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30" windowWidth="15480" windowHeight="11640" tabRatio="876"/>
  </bookViews>
  <sheets>
    <sheet name="A. Org. Chart" sheetId="28" r:id="rId1"/>
    <sheet name="B. Summ of Req." sheetId="30" r:id="rId2"/>
    <sheet name="B. Summ of Req. by DU" sheetId="31" r:id="rId3"/>
    <sheet name="C. Program Changes by DU" sheetId="44" r:id="rId4"/>
    <sheet name="D. Strategic Goals &amp; Objectives" sheetId="37" r:id="rId5"/>
    <sheet name="E. ATB Justification" sheetId="32" r:id="rId6"/>
    <sheet name="F. 2013 Crosswalk " sheetId="40" r:id="rId7"/>
    <sheet name="G. 2014 Crosswalk " sheetId="38" r:id="rId8"/>
    <sheet name="H. Reimbursable Resources" sheetId="41" r:id="rId9"/>
    <sheet name="I. Permanent Positions" sheetId="42" r:id="rId10"/>
    <sheet name="J. Financial Analysis" sheetId="43" r:id="rId11"/>
    <sheet name="K. Summary by Object Class" sheetId="9" r:id="rId12"/>
    <sheet name="L. Studies, Reports &amp; Eval." sheetId="46" r:id="rId13"/>
    <sheet name="M. Summary by Appropriation" sheetId="10" r:id="rId14"/>
    <sheet name="N. Summary of Change" sheetId="11" r:id="rId15"/>
    <sheet name="O.Historical Obligations " sheetId="50" r:id="rId16"/>
    <sheet name="P. PCAP" sheetId="51" r:id="rId17"/>
  </sheets>
  <definedNames>
    <definedName name="_11POS_BY_CAT" localSheetId="3">#REF!</definedName>
    <definedName name="_11POS_BY_CAT" localSheetId="4">#REF!</definedName>
    <definedName name="_11POS_BY_CAT" localSheetId="6">#REF!</definedName>
    <definedName name="_11POS_BY_CAT" localSheetId="7">#REF!</definedName>
    <definedName name="_11POS_BY_CAT" localSheetId="8">#REF!</definedName>
    <definedName name="_11POS_BY_CAT" localSheetId="9">#REF!</definedName>
    <definedName name="_11POS_BY_CAT" localSheetId="10">#REF!</definedName>
    <definedName name="_11POS_BY_CAT">#REF!</definedName>
    <definedName name="_1ATTORNEY_SUPP" localSheetId="3">#REF!</definedName>
    <definedName name="_1ATTORNEY_SUPP" localSheetId="6">#REF!</definedName>
    <definedName name="_1ATTORNEY_SUPP" localSheetId="7">#REF!</definedName>
    <definedName name="_1ATTORNEY_SUPP" localSheetId="8">#REF!</definedName>
    <definedName name="_1ATTORNEY_SUPP" localSheetId="9">#REF!</definedName>
    <definedName name="_1ATTORNEY_SUPP" localSheetId="10">#REF!</definedName>
    <definedName name="_1ATTORNEY_SUPP">#REF!</definedName>
    <definedName name="_2ATTORNEY_SUPP" localSheetId="3">#REF!</definedName>
    <definedName name="_2ATTORNEY_SUPP" localSheetId="6">#REF!</definedName>
    <definedName name="_2ATTORNEY_SUPP" localSheetId="7">#REF!</definedName>
    <definedName name="_2ATTORNEY_SUPP" localSheetId="8">#REF!</definedName>
    <definedName name="_2ATTORNEY_SUPP" localSheetId="9">#REF!</definedName>
    <definedName name="_2ATTORNEY_SUPP" localSheetId="10">#REF!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'A. Org. Chart'!$A$1:$L$34</definedName>
    <definedName name="_xlnm.Print_Area" localSheetId="1">'B. Summ of Req.'!$A$1:$D$29</definedName>
    <definedName name="_xlnm.Print_Area" localSheetId="2">'B. Summ of Req. by DU'!$A$1:$M$35</definedName>
    <definedName name="_xlnm.Print_Area" localSheetId="3">'C. Program Changes by DU'!$A$1:$N$14</definedName>
    <definedName name="_xlnm.Print_Area" localSheetId="4">'D. Strategic Goals &amp; Objectives'!$A$1:$N$12</definedName>
    <definedName name="_xlnm.Print_Area" localSheetId="5">'E. ATB Justification'!$A$1:$G$22</definedName>
    <definedName name="_xlnm.Print_Area" localSheetId="6">'F. 2013 Crosswalk '!$A$1:$R$31</definedName>
    <definedName name="_xlnm.Print_Area" localSheetId="7">'G. 2014 Crosswalk '!$A$1:$M$35</definedName>
    <definedName name="_xlnm.Print_Area" localSheetId="8">'H. Reimbursable Resources'!$A$1:$M$27</definedName>
    <definedName name="_xlnm.Print_Area" localSheetId="9">'I. Permanent Positions'!$A$1:$J$32</definedName>
    <definedName name="_xlnm.Print_Area" localSheetId="10">'J. Financial Analysis'!$A$1:$L$36</definedName>
    <definedName name="_xlnm.Print_Area" localSheetId="11">'K. Summary by Object Class'!$A$1:$I$54</definedName>
    <definedName name="_xlnm.Print_Area" localSheetId="12">'L. Studies, Reports &amp; Eval.'!$A$1:$J$17</definedName>
    <definedName name="_xlnm.Print_Area" localSheetId="13">'M. Summary by Appropriation'!$A$1:$J$22</definedName>
    <definedName name="_xlnm.Print_Area" localSheetId="14">'N. Summary of Change'!$A$1:$F$39</definedName>
    <definedName name="_xlnm.Print_Area" localSheetId="15">'O.Historical Obligations '!$A$1:$F$20</definedName>
    <definedName name="_xlnm.Print_Area" localSheetId="16">'P. PCAP'!$A$1:$E$34</definedName>
    <definedName name="_xlnm.Print_Area">#REF!</definedName>
    <definedName name="_xlnm.Print_Titles" localSheetId="5">'E. ATB Justification'!$1:$5</definedName>
    <definedName name="_xlnm.Print_Titles" localSheetId="10">'J. Financial Analysis'!$1:$5</definedName>
    <definedName name="_xlnm.Print_Titles" localSheetId="11">'K. Summary by Object Class'!$1:$4</definedName>
    <definedName name="REIMPRO" localSheetId="3">#REF!</definedName>
    <definedName name="REIMPRO" localSheetId="4">#REF!</definedName>
    <definedName name="REIMPRO" localSheetId="6">#REF!</definedName>
    <definedName name="REIMPRO" localSheetId="7">#REF!</definedName>
    <definedName name="REIMPRO" localSheetId="8">#REF!</definedName>
    <definedName name="REIMPRO" localSheetId="9">#REF!</definedName>
    <definedName name="REIMPRO" localSheetId="10">#REF!</definedName>
    <definedName name="REIMPRO">#REF!</definedName>
    <definedName name="REIMSOR" localSheetId="3">#REF!</definedName>
    <definedName name="REIMSOR" localSheetId="4">#REF!</definedName>
    <definedName name="REIMSOR" localSheetId="6">#REF!</definedName>
    <definedName name="REIMSOR" localSheetId="7">#REF!</definedName>
    <definedName name="REIMSOR" localSheetId="8">#REF!</definedName>
    <definedName name="REIMSOR" localSheetId="9">#REF!</definedName>
    <definedName name="REIMSOR" localSheetId="10">#REF!</definedName>
    <definedName name="REIMSOR">#REF!</definedName>
    <definedName name="Test" localSheetId="3">#REF!</definedName>
    <definedName name="Test" localSheetId="4">#REF!</definedName>
    <definedName name="Test" localSheetId="6">#REF!</definedName>
    <definedName name="Test" localSheetId="8">#REF!</definedName>
    <definedName name="Test" localSheetId="9">#REF!</definedName>
    <definedName name="Test" localSheetId="10">#REF!</definedName>
    <definedName name="Test">#REF!</definedName>
  </definedNames>
  <calcPr calcId="145621"/>
</workbook>
</file>

<file path=xl/calcChain.xml><?xml version="1.0" encoding="utf-8"?>
<calcChain xmlns="http://schemas.openxmlformats.org/spreadsheetml/2006/main">
  <c r="J31" i="43" l="1"/>
  <c r="D10" i="37" l="1"/>
  <c r="D9" i="37" s="1"/>
  <c r="D12" i="37" s="1"/>
  <c r="C10" i="37"/>
  <c r="C9" i="37" s="1"/>
  <c r="C12" i="37" s="1"/>
  <c r="L9" i="37"/>
  <c r="L12" i="37" s="1"/>
  <c r="K12" i="37"/>
  <c r="J12" i="37"/>
  <c r="I12" i="37"/>
  <c r="H10" i="37"/>
  <c r="H9" i="37" s="1"/>
  <c r="G12" i="37"/>
  <c r="F10" i="37"/>
  <c r="F9" i="37" s="1"/>
  <c r="F12" i="37" s="1"/>
  <c r="E10" i="37"/>
  <c r="E9" i="37" s="1"/>
  <c r="E12" i="37" s="1"/>
  <c r="M9" i="37"/>
  <c r="H12" i="37" l="1"/>
  <c r="C51" i="9"/>
  <c r="E22" i="9"/>
  <c r="E26" i="9"/>
  <c r="E25" i="9"/>
  <c r="E15" i="9"/>
  <c r="E10" i="9"/>
  <c r="G15" i="9"/>
  <c r="G41" i="9"/>
  <c r="G38" i="9"/>
  <c r="G10" i="9" s="1"/>
  <c r="G24" i="9"/>
  <c r="G23" i="9"/>
  <c r="D9" i="41"/>
  <c r="M9" i="40"/>
  <c r="B11" i="44" l="1"/>
  <c r="A11" i="44"/>
  <c r="D12" i="10" l="1"/>
  <c r="G26" i="9" l="1"/>
  <c r="I26" i="9" s="1"/>
  <c r="J34" i="43" l="1"/>
  <c r="J33" i="43"/>
  <c r="J32" i="43"/>
  <c r="J30" i="43"/>
  <c r="J29" i="43"/>
  <c r="J28" i="43"/>
  <c r="J27" i="43"/>
  <c r="J26" i="43"/>
  <c r="C25" i="43"/>
  <c r="C35" i="43" s="1"/>
  <c r="K22" i="43" l="1"/>
  <c r="K34" i="43"/>
  <c r="K33" i="43"/>
  <c r="K32" i="43"/>
  <c r="K31" i="43"/>
  <c r="K29" i="43"/>
  <c r="K28" i="43"/>
  <c r="K27" i="43"/>
  <c r="K26" i="43"/>
  <c r="K24" i="43"/>
  <c r="K21" i="43"/>
  <c r="K20" i="43"/>
  <c r="K19" i="43"/>
  <c r="K18" i="43"/>
  <c r="K17" i="43"/>
  <c r="K16" i="43"/>
  <c r="K15" i="43"/>
  <c r="K14" i="43"/>
  <c r="K13" i="43"/>
  <c r="K12" i="43"/>
  <c r="K11" i="43"/>
  <c r="K10" i="43"/>
  <c r="K9" i="43"/>
  <c r="J24" i="43"/>
  <c r="J23" i="43"/>
  <c r="J21" i="43"/>
  <c r="J20" i="43"/>
  <c r="J19" i="43"/>
  <c r="J18" i="43"/>
  <c r="J17" i="43"/>
  <c r="J16" i="43"/>
  <c r="J15" i="43"/>
  <c r="J14" i="43"/>
  <c r="J13" i="43"/>
  <c r="J12" i="43"/>
  <c r="J11" i="43"/>
  <c r="J10" i="43"/>
  <c r="J9" i="43"/>
  <c r="F7" i="43"/>
  <c r="H7" i="43"/>
  <c r="B25" i="43"/>
  <c r="B35" i="43" s="1"/>
  <c r="D22" i="43"/>
  <c r="D25" i="43" s="1"/>
  <c r="D35" i="43" s="1"/>
  <c r="E25" i="43"/>
  <c r="E35" i="43" s="1"/>
  <c r="F22" i="43"/>
  <c r="F25" i="43" s="1"/>
  <c r="F35" i="43" s="1"/>
  <c r="H22" i="43"/>
  <c r="H25" i="43" s="1"/>
  <c r="H35" i="43" s="1"/>
  <c r="I25" i="43"/>
  <c r="I35" i="43" s="1"/>
  <c r="J25" i="43" l="1"/>
  <c r="J35" i="43" s="1"/>
  <c r="J22" i="43"/>
  <c r="G25" i="43"/>
  <c r="G35" i="43" s="1"/>
  <c r="K25" i="43" l="1"/>
  <c r="K35" i="43" s="1"/>
  <c r="I10" i="38"/>
  <c r="F10" i="50" l="1"/>
  <c r="E10" i="50"/>
  <c r="D10" i="50"/>
  <c r="C10" i="50"/>
  <c r="B10" i="50"/>
  <c r="C23" i="9" l="1"/>
  <c r="C24" i="9"/>
  <c r="C10" i="9" l="1"/>
  <c r="C15" i="9"/>
  <c r="D12" i="40" l="1"/>
  <c r="D11" i="40"/>
  <c r="D10" i="40"/>
  <c r="D9" i="40"/>
  <c r="D36" i="11" l="1"/>
  <c r="F36" i="11"/>
  <c r="E36" i="11"/>
  <c r="E39" i="9" l="1"/>
  <c r="E46" i="9" s="1"/>
  <c r="D33" i="9"/>
  <c r="D13" i="9"/>
  <c r="D47" i="9" s="1"/>
  <c r="E13" i="9"/>
  <c r="E29" i="9" l="1"/>
  <c r="E47" i="9" s="1"/>
  <c r="E52" i="9" s="1"/>
  <c r="R9" i="40" l="1"/>
  <c r="R12" i="40"/>
  <c r="R11" i="40"/>
  <c r="R10" i="40"/>
  <c r="G13" i="40"/>
  <c r="F13" i="40"/>
  <c r="F15" i="40" s="1"/>
  <c r="F20" i="40" s="1"/>
  <c r="E13" i="40"/>
  <c r="M10" i="37" l="1"/>
  <c r="M12" i="37" s="1"/>
  <c r="D9" i="30" l="1"/>
  <c r="G16" i="32" l="1"/>
  <c r="F16" i="32"/>
  <c r="E16" i="32"/>
  <c r="Q12" i="40"/>
  <c r="P12" i="40"/>
  <c r="Q11" i="40"/>
  <c r="P11" i="40"/>
  <c r="Q10" i="40"/>
  <c r="P10" i="40"/>
  <c r="Q9" i="40"/>
  <c r="P9" i="40"/>
  <c r="D14" i="30" l="1"/>
  <c r="C14" i="30"/>
  <c r="B14" i="30"/>
  <c r="H26" i="31" l="1"/>
  <c r="M11" i="31"/>
  <c r="J26" i="31" s="1"/>
  <c r="M10" i="31"/>
  <c r="J25" i="31" s="1"/>
  <c r="M9" i="31"/>
  <c r="J24" i="31" s="1"/>
  <c r="M8" i="31"/>
  <c r="G12" i="31"/>
  <c r="F12" i="31"/>
  <c r="E12" i="31"/>
  <c r="M12" i="31" l="1"/>
  <c r="J23" i="31"/>
  <c r="B28" i="42" l="1"/>
  <c r="I51" i="9" l="1"/>
  <c r="I50" i="9"/>
  <c r="I49" i="9"/>
  <c r="I48" i="9"/>
  <c r="I8" i="42" l="1"/>
  <c r="I9" i="42"/>
  <c r="I10" i="42"/>
  <c r="I11" i="42"/>
  <c r="I12" i="42"/>
  <c r="I13" i="42"/>
  <c r="I14" i="42"/>
  <c r="I15" i="42"/>
  <c r="I16" i="42"/>
  <c r="I17" i="42"/>
  <c r="I18" i="42"/>
  <c r="I19" i="42"/>
  <c r="I20" i="42"/>
  <c r="I21" i="42"/>
  <c r="I22" i="42"/>
  <c r="I23" i="42"/>
  <c r="I24" i="42"/>
  <c r="I25" i="42"/>
  <c r="I26" i="42"/>
  <c r="I27" i="42"/>
  <c r="B30" i="42" l="1"/>
  <c r="G21" i="32" l="1"/>
  <c r="B13" i="44" l="1"/>
  <c r="A13" i="44"/>
  <c r="D25" i="30"/>
  <c r="D26" i="30" s="1"/>
  <c r="B11" i="30"/>
  <c r="C11" i="30"/>
  <c r="D11" i="30"/>
  <c r="H22" i="41" l="1"/>
  <c r="E22" i="41"/>
  <c r="B22" i="41"/>
  <c r="Q14" i="40" l="1"/>
  <c r="J30" i="44" l="1"/>
  <c r="I30" i="44"/>
  <c r="H30" i="44"/>
  <c r="G30" i="44"/>
  <c r="F30" i="44"/>
  <c r="E30" i="44"/>
  <c r="D30" i="44"/>
  <c r="C30" i="44"/>
  <c r="N29" i="44"/>
  <c r="M29" i="44"/>
  <c r="L29" i="44"/>
  <c r="K29" i="44"/>
  <c r="N28" i="44"/>
  <c r="M28" i="44"/>
  <c r="L28" i="44"/>
  <c r="K28" i="44"/>
  <c r="N27" i="44"/>
  <c r="M27" i="44"/>
  <c r="L27" i="44"/>
  <c r="K27" i="44"/>
  <c r="N26" i="44"/>
  <c r="M26" i="44"/>
  <c r="L26" i="44"/>
  <c r="K26" i="44"/>
  <c r="J22" i="44"/>
  <c r="I22" i="44"/>
  <c r="H22" i="44"/>
  <c r="G22" i="44"/>
  <c r="F22" i="44"/>
  <c r="E22" i="44"/>
  <c r="D22" i="44"/>
  <c r="C22" i="44"/>
  <c r="J14" i="44"/>
  <c r="I14" i="44"/>
  <c r="H14" i="44"/>
  <c r="G14" i="44"/>
  <c r="F14" i="44"/>
  <c r="E14" i="44"/>
  <c r="D14" i="44"/>
  <c r="C14" i="44"/>
  <c r="N13" i="44"/>
  <c r="M13" i="44"/>
  <c r="L13" i="44"/>
  <c r="K13" i="44"/>
  <c r="J9" i="44"/>
  <c r="I9" i="44"/>
  <c r="H9" i="44"/>
  <c r="G9" i="44"/>
  <c r="F9" i="44"/>
  <c r="E9" i="44"/>
  <c r="D9" i="44"/>
  <c r="C9" i="44"/>
  <c r="L30" i="44" l="1"/>
  <c r="M30" i="44"/>
  <c r="K30" i="44"/>
  <c r="N30" i="44"/>
  <c r="M14" i="44"/>
  <c r="N14" i="44"/>
  <c r="K14" i="44"/>
  <c r="L14" i="44"/>
  <c r="E12" i="32"/>
  <c r="F12" i="32"/>
  <c r="G12" i="32"/>
  <c r="G22" i="32" s="1"/>
  <c r="E21" i="32"/>
  <c r="F21" i="32"/>
  <c r="F22" i="32" l="1"/>
  <c r="E22" i="32"/>
  <c r="D28" i="42" l="1"/>
  <c r="D30" i="42" s="1"/>
  <c r="B32" i="42"/>
  <c r="C28" i="42"/>
  <c r="E28" i="42"/>
  <c r="F28" i="42"/>
  <c r="G28" i="42"/>
  <c r="G30" i="42" s="1"/>
  <c r="G32" i="42" s="1"/>
  <c r="H28" i="42"/>
  <c r="H29" i="42" s="1"/>
  <c r="J28" i="42"/>
  <c r="C32" i="42"/>
  <c r="E32" i="42"/>
  <c r="F32" i="42"/>
  <c r="J32" i="42"/>
  <c r="K9" i="41"/>
  <c r="L9" i="41"/>
  <c r="M9" i="41"/>
  <c r="K10" i="41"/>
  <c r="L10" i="41"/>
  <c r="M10" i="41"/>
  <c r="K11" i="41"/>
  <c r="L11" i="41"/>
  <c r="M11" i="41"/>
  <c r="K12" i="41"/>
  <c r="L12" i="41"/>
  <c r="M12" i="41"/>
  <c r="K13" i="41"/>
  <c r="L13" i="41"/>
  <c r="M13" i="41"/>
  <c r="K14" i="41"/>
  <c r="L14" i="41"/>
  <c r="M14" i="41"/>
  <c r="K15" i="41"/>
  <c r="L15" i="41"/>
  <c r="M15" i="41"/>
  <c r="K16" i="41"/>
  <c r="L16" i="41"/>
  <c r="M16" i="41"/>
  <c r="K17" i="41"/>
  <c r="L17" i="41"/>
  <c r="M17" i="41"/>
  <c r="K18" i="41"/>
  <c r="L18" i="41"/>
  <c r="M18" i="41"/>
  <c r="K19" i="41"/>
  <c r="L19" i="41"/>
  <c r="M19" i="41"/>
  <c r="B20" i="41"/>
  <c r="C20" i="41"/>
  <c r="D20" i="41"/>
  <c r="E20" i="41"/>
  <c r="F20" i="41"/>
  <c r="G20" i="41"/>
  <c r="H20" i="41"/>
  <c r="I20" i="41"/>
  <c r="J20" i="41"/>
  <c r="K24" i="41"/>
  <c r="K26" i="41" s="1"/>
  <c r="L24" i="41"/>
  <c r="M24" i="41"/>
  <c r="M26" i="41" s="1"/>
  <c r="B26" i="41"/>
  <c r="C26" i="41"/>
  <c r="D26" i="41"/>
  <c r="E26" i="41"/>
  <c r="F26" i="41"/>
  <c r="G26" i="41"/>
  <c r="H26" i="41"/>
  <c r="I26" i="41"/>
  <c r="J26" i="41"/>
  <c r="L26" i="41"/>
  <c r="B13" i="40"/>
  <c r="C13" i="40"/>
  <c r="C15" i="40" s="1"/>
  <c r="C20" i="40" s="1"/>
  <c r="D13" i="40"/>
  <c r="H13" i="40"/>
  <c r="I13" i="40"/>
  <c r="I15" i="40" s="1"/>
  <c r="I20" i="40" s="1"/>
  <c r="J13" i="40"/>
  <c r="K13" i="40"/>
  <c r="L13" i="40"/>
  <c r="L15" i="40" s="1"/>
  <c r="L20" i="40" s="1"/>
  <c r="M13" i="40"/>
  <c r="N13" i="40"/>
  <c r="O13" i="40"/>
  <c r="Q18" i="40"/>
  <c r="Q19" i="40"/>
  <c r="Q13" i="40" l="1"/>
  <c r="Q15" i="40" s="1"/>
  <c r="Q20" i="40" s="1"/>
  <c r="P13" i="40"/>
  <c r="I28" i="42"/>
  <c r="L20" i="41"/>
  <c r="K20" i="41"/>
  <c r="R13" i="40"/>
  <c r="M20" i="41"/>
  <c r="D32" i="42"/>
  <c r="I29" i="42"/>
  <c r="H30" i="42"/>
  <c r="I30" i="42" s="1"/>
  <c r="H31" i="42"/>
  <c r="I31" i="42" s="1"/>
  <c r="H32" i="42" l="1"/>
  <c r="I32" i="42"/>
  <c r="K9" i="38" l="1"/>
  <c r="L9" i="38"/>
  <c r="M9" i="38"/>
  <c r="K10" i="38"/>
  <c r="L10" i="38"/>
  <c r="M10" i="38"/>
  <c r="K11" i="38"/>
  <c r="L11" i="38"/>
  <c r="M11" i="38"/>
  <c r="K12" i="38"/>
  <c r="L12" i="38"/>
  <c r="M12" i="38"/>
  <c r="B13" i="38"/>
  <c r="C13" i="38"/>
  <c r="C17" i="38" s="1"/>
  <c r="C22" i="38" s="1"/>
  <c r="D13" i="38"/>
  <c r="D15" i="38" s="1"/>
  <c r="E13" i="38"/>
  <c r="F13" i="38"/>
  <c r="G13" i="38"/>
  <c r="G17" i="38" s="1"/>
  <c r="G22" i="38" s="1"/>
  <c r="H13" i="38"/>
  <c r="I13" i="38"/>
  <c r="I17" i="38" s="1"/>
  <c r="I22" i="38" s="1"/>
  <c r="J13" i="38"/>
  <c r="M14" i="38"/>
  <c r="L16" i="38"/>
  <c r="L20" i="38"/>
  <c r="L21" i="38"/>
  <c r="L13" i="38" l="1"/>
  <c r="L17" i="38" s="1"/>
  <c r="L22" i="38" s="1"/>
  <c r="M13" i="38"/>
  <c r="M15" i="38" s="1"/>
  <c r="K13" i="38"/>
  <c r="N10" i="37"/>
  <c r="N9" i="37" s="1"/>
  <c r="N12" i="37" s="1"/>
  <c r="F27" i="31" l="1"/>
  <c r="F29" i="31" s="1"/>
  <c r="F34" i="31" s="1"/>
  <c r="E27" i="31"/>
  <c r="G27" i="31"/>
  <c r="D27" i="31"/>
  <c r="B27" i="31"/>
  <c r="L18" i="31"/>
  <c r="I33" i="31" s="1"/>
  <c r="L17" i="31"/>
  <c r="I32" i="31" s="1"/>
  <c r="L13" i="31"/>
  <c r="I28" i="31" s="1"/>
  <c r="J12" i="31"/>
  <c r="H12" i="31"/>
  <c r="F14" i="31"/>
  <c r="F19" i="31" s="1"/>
  <c r="D12" i="31"/>
  <c r="C12" i="31"/>
  <c r="C14" i="31" s="1"/>
  <c r="C19" i="31" s="1"/>
  <c r="B12" i="31"/>
  <c r="L11" i="31"/>
  <c r="I26" i="31" s="1"/>
  <c r="K11" i="31"/>
  <c r="L10" i="31"/>
  <c r="I25" i="31" s="1"/>
  <c r="K10" i="31"/>
  <c r="H25" i="31" s="1"/>
  <c r="K9" i="31"/>
  <c r="H24" i="31" s="1"/>
  <c r="L9" i="31"/>
  <c r="I24" i="31" s="1"/>
  <c r="L8" i="31"/>
  <c r="I23" i="31" s="1"/>
  <c r="K8" i="31"/>
  <c r="H23" i="31" s="1"/>
  <c r="C25" i="30"/>
  <c r="C26" i="30" s="1"/>
  <c r="B25" i="30"/>
  <c r="B26" i="30" s="1"/>
  <c r="D20" i="30"/>
  <c r="D21" i="30" s="1"/>
  <c r="C20" i="30"/>
  <c r="C21" i="30" s="1"/>
  <c r="B20" i="30"/>
  <c r="B21" i="30" s="1"/>
  <c r="K12" i="31" l="1"/>
  <c r="C27" i="31"/>
  <c r="C29" i="31" s="1"/>
  <c r="C34" i="31" s="1"/>
  <c r="L12" i="31"/>
  <c r="I12" i="31"/>
  <c r="I14" i="31" s="1"/>
  <c r="H27" i="31" l="1"/>
  <c r="J27" i="31"/>
  <c r="I27" i="31"/>
  <c r="C27" i="30"/>
  <c r="C28" i="30" s="1"/>
  <c r="B27" i="30"/>
  <c r="B28" i="30" s="1"/>
  <c r="D27" i="30"/>
  <c r="D28" i="30" s="1"/>
  <c r="I19" i="31"/>
  <c r="L19" i="31" s="1"/>
  <c r="I34" i="31" s="1"/>
  <c r="L14" i="31"/>
  <c r="I29" i="31" s="1"/>
  <c r="F17" i="11" l="1"/>
  <c r="F23" i="11" l="1"/>
  <c r="F30" i="11" s="1"/>
  <c r="E23" i="11"/>
  <c r="D23" i="11"/>
  <c r="F28" i="11"/>
  <c r="E28" i="11"/>
  <c r="D28" i="11"/>
  <c r="E17" i="11"/>
  <c r="D17" i="11"/>
  <c r="F31" i="11" l="1"/>
  <c r="E30" i="11"/>
  <c r="E31" i="11" s="1"/>
  <c r="D30" i="11"/>
  <c r="D31" i="11" s="1"/>
  <c r="H11" i="9"/>
  <c r="H10" i="9"/>
  <c r="J14" i="10" l="1"/>
  <c r="J20" i="10" s="1"/>
  <c r="I28" i="9" l="1"/>
  <c r="I27" i="9"/>
  <c r="I25" i="9"/>
  <c r="I24" i="9"/>
  <c r="I23" i="9"/>
  <c r="I22" i="9"/>
  <c r="I21" i="9"/>
  <c r="I20" i="9"/>
  <c r="I19" i="9"/>
  <c r="I18" i="9"/>
  <c r="I17" i="9"/>
  <c r="I16" i="9"/>
  <c r="I15" i="9" l="1"/>
  <c r="D14" i="10" l="1"/>
  <c r="D20" i="10" s="1"/>
  <c r="C20" i="10" l="1"/>
  <c r="B20" i="10"/>
  <c r="E20" i="10" l="1"/>
  <c r="F20" i="10"/>
  <c r="G14" i="10"/>
  <c r="G20" i="10" s="1"/>
  <c r="H33" i="9" l="1"/>
  <c r="F33" i="9"/>
  <c r="B33" i="9"/>
  <c r="I20" i="10" l="1"/>
  <c r="H20" i="10"/>
  <c r="G13" i="9" l="1"/>
  <c r="G29" i="9" s="1"/>
  <c r="C13" i="9"/>
  <c r="F13" i="9"/>
  <c r="F47" i="9" s="1"/>
  <c r="H12" i="9"/>
  <c r="B13" i="9"/>
  <c r="B47" i="9" s="1"/>
  <c r="G39" i="9"/>
  <c r="G46" i="9" s="1"/>
  <c r="I10" i="9"/>
  <c r="I12" i="9"/>
  <c r="I11" i="9"/>
  <c r="I38" i="9"/>
  <c r="I39" i="9" s="1"/>
  <c r="I41" i="9"/>
  <c r="I42" i="9"/>
  <c r="I43" i="9"/>
  <c r="I44" i="9"/>
  <c r="C39" i="9"/>
  <c r="C46" i="9" s="1"/>
  <c r="I46" i="9" l="1"/>
  <c r="H13" i="9"/>
  <c r="H47" i="9" s="1"/>
  <c r="C29" i="9"/>
  <c r="C47" i="9" s="1"/>
  <c r="C52" i="9" s="1"/>
  <c r="G47" i="9"/>
  <c r="G52" i="9" s="1"/>
  <c r="I13" i="9"/>
  <c r="I29" i="9" s="1"/>
  <c r="I47" i="9" l="1"/>
  <c r="I52" i="9" s="1"/>
  <c r="E38" i="11" l="1"/>
  <c r="F38" i="11"/>
  <c r="D38" i="11"/>
</calcChain>
</file>

<file path=xl/sharedStrings.xml><?xml version="1.0" encoding="utf-8"?>
<sst xmlns="http://schemas.openxmlformats.org/spreadsheetml/2006/main" count="1248" uniqueCount="340">
  <si>
    <t xml:space="preserve">     42.0 Insurance claims and indemnities</t>
  </si>
  <si>
    <t xml:space="preserve">     12.1 Personnel benefits:  PHS</t>
  </si>
  <si>
    <t>Continued on next Page</t>
  </si>
  <si>
    <t xml:space="preserve">     11.1 Personnel compensation:  PHS</t>
  </si>
  <si>
    <t xml:space="preserve">              Total workyears and personnel comp.</t>
  </si>
  <si>
    <t xml:space="preserve">              Total obligations Salaries and Exp.</t>
  </si>
  <si>
    <t>Detail of Permanent Positions by Category</t>
  </si>
  <si>
    <t>Reimbursable FTE</t>
  </si>
  <si>
    <t xml:space="preserve">   FTE</t>
  </si>
  <si>
    <t xml:space="preserve">  Pos.</t>
  </si>
  <si>
    <t>FTE</t>
  </si>
  <si>
    <t>Amount</t>
  </si>
  <si>
    <t>Total Program Increases</t>
  </si>
  <si>
    <t>Total Offsets</t>
  </si>
  <si>
    <t>Pos.</t>
  </si>
  <si>
    <t>Object Class</t>
  </si>
  <si>
    <t>Federal Prison System</t>
  </si>
  <si>
    <t>Salaries and Expenses</t>
  </si>
  <si>
    <t>Total</t>
  </si>
  <si>
    <t>Category</t>
  </si>
  <si>
    <t>Total Program Changes</t>
  </si>
  <si>
    <t>(Dollars in thousands)</t>
  </si>
  <si>
    <t>Federal Prison Industries</t>
  </si>
  <si>
    <t>Attorneys (905)</t>
  </si>
  <si>
    <t>Correctional Institution Administration (006)</t>
  </si>
  <si>
    <t>Correctional Officers (007)</t>
  </si>
  <si>
    <t>Personnel Management (200-299)</t>
  </si>
  <si>
    <t>Accounting and Budget (500-599)</t>
  </si>
  <si>
    <t>Engineering and Architecture Group (800-899)</t>
  </si>
  <si>
    <t>Transportation (2100-2199)</t>
  </si>
  <si>
    <t>U.S. Field</t>
  </si>
  <si>
    <t>Headquarters (Washington, D.C.)</t>
  </si>
  <si>
    <t>12.0 Personnel benefits</t>
  </si>
  <si>
    <t>31.0 Equipment</t>
  </si>
  <si>
    <t>11.5 Other personnel compensation</t>
  </si>
  <si>
    <t>11.1 Full-time permanent</t>
  </si>
  <si>
    <t>11.3 Other than full-time permanent</t>
  </si>
  <si>
    <t xml:space="preserve">                   Total</t>
  </si>
  <si>
    <t>Reimbursable Workyears Full-time permanent</t>
  </si>
  <si>
    <t>(Dollars in Thousands)</t>
  </si>
  <si>
    <t>Grades</t>
  </si>
  <si>
    <t xml:space="preserve">  </t>
  </si>
  <si>
    <t xml:space="preserve">    Appropriation</t>
  </si>
  <si>
    <t xml:space="preserve"> $000's</t>
  </si>
  <si>
    <t>$000's</t>
  </si>
  <si>
    <t>Other Objects:</t>
  </si>
  <si>
    <t xml:space="preserve"> </t>
  </si>
  <si>
    <t>Commissary</t>
  </si>
  <si>
    <t xml:space="preserve">  TOTAL</t>
  </si>
  <si>
    <t>Program Offsets</t>
  </si>
  <si>
    <t>Financial Analysis of Program Changes</t>
  </si>
  <si>
    <t>Summary of Requirements by Object Class</t>
  </si>
  <si>
    <t>Other Object Classes</t>
  </si>
  <si>
    <t xml:space="preserve">     12.0 Personnel benefits</t>
  </si>
  <si>
    <t xml:space="preserve">     13.0 Benefits for former personnel</t>
  </si>
  <si>
    <t xml:space="preserve">     21.0 Travel and transportation of persons</t>
  </si>
  <si>
    <t xml:space="preserve">     22.0 Transportation of things</t>
  </si>
  <si>
    <t xml:space="preserve">     23.1 GSA rent</t>
  </si>
  <si>
    <t xml:space="preserve">     24.0 Printing and reproduction</t>
  </si>
  <si>
    <t xml:space="preserve">     25.2 Other services</t>
  </si>
  <si>
    <t xml:space="preserve">     23.3 Comm., utilities and misc. charges</t>
  </si>
  <si>
    <t xml:space="preserve">     26.0 Supplies and materials</t>
  </si>
  <si>
    <t xml:space="preserve">     31.0 Equipment</t>
  </si>
  <si>
    <t xml:space="preserve">     41.0 Grants, subsidies, and contributions</t>
  </si>
  <si>
    <t>Contract Confinement</t>
  </si>
  <si>
    <t>Program Changes</t>
  </si>
  <si>
    <t>WG</t>
  </si>
  <si>
    <t>end of line</t>
  </si>
  <si>
    <t>end of sheet</t>
  </si>
  <si>
    <t>Summary of Requirements</t>
  </si>
  <si>
    <t>ATBs</t>
  </si>
  <si>
    <t xml:space="preserve">              Total direct obl., HHS Allocation</t>
  </si>
  <si>
    <t>Summary of Change</t>
  </si>
  <si>
    <t>Total B&amp;F Resources</t>
  </si>
  <si>
    <t>Program Increases</t>
  </si>
  <si>
    <t>IT Savings</t>
  </si>
  <si>
    <t>Pay and Benefits:</t>
  </si>
  <si>
    <t>Prison and Detention:</t>
  </si>
  <si>
    <t xml:space="preserve">     Unobligated Balance, Start of year</t>
  </si>
  <si>
    <t>Domestic Rent and Facilities:</t>
  </si>
  <si>
    <t xml:space="preserve"> Institution Security &amp; Administration</t>
  </si>
  <si>
    <t xml:space="preserve"> Management &amp; Administration</t>
  </si>
  <si>
    <t>FTE*</t>
  </si>
  <si>
    <t xml:space="preserve">  Rescission of prior funding**</t>
  </si>
  <si>
    <t>Summary of Reimbursable Resources</t>
  </si>
  <si>
    <t>Increase/Decrease</t>
  </si>
  <si>
    <t>States and Other</t>
  </si>
  <si>
    <t>Staff Housing Rental</t>
  </si>
  <si>
    <t>Meal Tickets</t>
  </si>
  <si>
    <t>Sale of Farm By-Products</t>
  </si>
  <si>
    <t>USMS Medical Reimbursement</t>
  </si>
  <si>
    <t>NIC</t>
  </si>
  <si>
    <t>Recycling</t>
  </si>
  <si>
    <t>Sale of Vehicles</t>
  </si>
  <si>
    <t>Energy Savings</t>
  </si>
  <si>
    <t>Institution Security &amp; Administration</t>
  </si>
  <si>
    <t>Management and Administration</t>
  </si>
  <si>
    <t xml:space="preserve">     23.2 Rental Payments to Others</t>
  </si>
  <si>
    <t>Retirement Increases</t>
  </si>
  <si>
    <t>Health Benefit Increases</t>
  </si>
  <si>
    <t xml:space="preserve">  Total Program Changes</t>
  </si>
  <si>
    <t>Resources by Department of Justice Strategic Goal/Objective</t>
  </si>
  <si>
    <t>Strategic Goal and Strategic Objective</t>
  </si>
  <si>
    <t xml:space="preserve">Subtotal, Adjustments to Base </t>
  </si>
  <si>
    <t xml:space="preserve">Medical Cost Adjustment </t>
  </si>
  <si>
    <t xml:space="preserve">Food Cost Adjustment </t>
  </si>
  <si>
    <t xml:space="preserve">Utility Cost Adjustment </t>
  </si>
  <si>
    <t>Subtotal, Pay and Benefits</t>
  </si>
  <si>
    <t>Subtotal, Domestic Rent &amp; Facilities</t>
  </si>
  <si>
    <t>Subtotal Prison and Detention</t>
  </si>
  <si>
    <t>Direct Pos.</t>
  </si>
  <si>
    <t>Estimate FTE</t>
  </si>
  <si>
    <t>Base Adjustments</t>
  </si>
  <si>
    <t>Pay and Benefits</t>
  </si>
  <si>
    <t>Domestic Rent and Facilities</t>
  </si>
  <si>
    <t>Prison and Detention</t>
  </si>
  <si>
    <t>Total Base Adjustments</t>
  </si>
  <si>
    <t>Program Activity</t>
  </si>
  <si>
    <t>Actual FTE</t>
  </si>
  <si>
    <t>Est. FTE</t>
  </si>
  <si>
    <t>Inmate Care and Programs</t>
  </si>
  <si>
    <t>Institution Security and Administration</t>
  </si>
  <si>
    <t>Total Direct</t>
  </si>
  <si>
    <t>Balance Rescission</t>
  </si>
  <si>
    <t>Total Direct with Rescission</t>
  </si>
  <si>
    <t>Total Direct and Reimb. FTE</t>
  </si>
  <si>
    <t>Other FTE:</t>
  </si>
  <si>
    <t>LEAP</t>
  </si>
  <si>
    <t>Overtime</t>
  </si>
  <si>
    <t>Grand Total, FTE</t>
  </si>
  <si>
    <t>Justifications for Technical and Base Adjustments</t>
  </si>
  <si>
    <t>Subtotal, Prison and Detention</t>
  </si>
  <si>
    <t>TOTAL DIRECT TECHNICAL and BASE ADJUSTMENTS</t>
  </si>
  <si>
    <t>Crosswalk of 2013 Availability</t>
  </si>
  <si>
    <t>Administrative Efficiencies</t>
  </si>
  <si>
    <t>Expand Sentence Credit for Inmates</t>
  </si>
  <si>
    <t>Obligations by Program Activity</t>
  </si>
  <si>
    <t>Direct</t>
  </si>
  <si>
    <t>Reprogramming/Transfers</t>
  </si>
  <si>
    <t>Total Program Change Requests</t>
  </si>
  <si>
    <t xml:space="preserve">     Unobligated Balance, End of year , Expiring</t>
  </si>
  <si>
    <t xml:space="preserve">     Unobligated Balance, End of year, Available</t>
  </si>
  <si>
    <t>GS-5</t>
  </si>
  <si>
    <t>GS-6</t>
  </si>
  <si>
    <t>GS-7</t>
  </si>
  <si>
    <t>GS-8</t>
  </si>
  <si>
    <t>GS-9</t>
  </si>
  <si>
    <t>GS-10</t>
  </si>
  <si>
    <t>GS-11</t>
  </si>
  <si>
    <t>GS-12</t>
  </si>
  <si>
    <t>GS-13</t>
  </si>
  <si>
    <t>GS-14</t>
  </si>
  <si>
    <t>GS-15</t>
  </si>
  <si>
    <t>Ungraded</t>
  </si>
  <si>
    <t>SES</t>
  </si>
  <si>
    <t>BOP Medical Costs Adjustment (Medicare Rate)</t>
  </si>
  <si>
    <t xml:space="preserve">                   Total Obligations</t>
  </si>
  <si>
    <t xml:space="preserve">              Total Direct Requirements</t>
  </si>
  <si>
    <t>ALLOCATION TO DEPT OF HHS</t>
  </si>
  <si>
    <t>TOTAL</t>
  </si>
  <si>
    <t>Ensure and Support the Fair, Impartial, Efficient, and Transparent Administration of Justice at the Federal, State, Local, Tribal and International Levels.</t>
  </si>
  <si>
    <t>Goal 3</t>
  </si>
  <si>
    <t>Direct Amount</t>
  </si>
  <si>
    <t>Direct/
Reimb FTE</t>
  </si>
  <si>
    <t>Recoveries/Refunds:</t>
  </si>
  <si>
    <t>Carryover:</t>
  </si>
  <si>
    <t>Management &amp; Administration</t>
  </si>
  <si>
    <t>Recoveries/Refunds</t>
  </si>
  <si>
    <t xml:space="preserve">Carryover </t>
  </si>
  <si>
    <t>Supplemental Appropriation</t>
  </si>
  <si>
    <t>Total Program Offsets</t>
  </si>
  <si>
    <t xml:space="preserve"> Inmate Care &amp; Programs</t>
  </si>
  <si>
    <t xml:space="preserve"> Inmate Care &amp; Institution Security</t>
  </si>
  <si>
    <t>Location of Description by Program Activity</t>
  </si>
  <si>
    <t>None</t>
  </si>
  <si>
    <t>Budgetary Resources</t>
  </si>
  <si>
    <t>Reimb. FTE</t>
  </si>
  <si>
    <t>Reimb. Pos.</t>
  </si>
  <si>
    <t>Travel and Purchase Cards</t>
  </si>
  <si>
    <t>Collections by Source</t>
  </si>
  <si>
    <t>Foreign Field</t>
  </si>
  <si>
    <t>Information Technology Mgmt  (2210)</t>
  </si>
  <si>
    <t>Supply Services (2000-2099)</t>
  </si>
  <si>
    <t>Education Group (1210-1411; 1700-1799)</t>
  </si>
  <si>
    <t>Equipment/Facilities Services (1600-1699)</t>
  </si>
  <si>
    <t>Business &amp; Industry (1100-1199)</t>
  </si>
  <si>
    <t>Information &amp; Arts (1000-1099)</t>
  </si>
  <si>
    <t>Paralegals / Other Law (900-998)</t>
  </si>
  <si>
    <t>Medical, Dental and Public Health (600-799)</t>
  </si>
  <si>
    <t>Biological Science (400-499)</t>
  </si>
  <si>
    <t>Clerical and Office Services (300-399)</t>
  </si>
  <si>
    <t>Soc. Science, Econ. And Kindred (100-199)</t>
  </si>
  <si>
    <t>Miscellaneous Operations (010-099)</t>
  </si>
  <si>
    <t>Total Reimb. Pos.</t>
  </si>
  <si>
    <t>Total Direct Pos.</t>
  </si>
  <si>
    <t>26.0 Supplies and Materials</t>
  </si>
  <si>
    <t>25.2 Other Services from Non-Federal Sources</t>
  </si>
  <si>
    <t>24.0 Printing and Reproduction</t>
  </si>
  <si>
    <t>23.3 Communications, Utilities, and Miscellaneous Charges</t>
  </si>
  <si>
    <t>22.0 Transportation of Things</t>
  </si>
  <si>
    <t>21.0 Travel and Transportation of Persons</t>
  </si>
  <si>
    <t>Total FTEs and Personnel Compensation</t>
  </si>
  <si>
    <t>11.5 Other Personnel Compensation</t>
  </si>
  <si>
    <t>Lapse (-)</t>
  </si>
  <si>
    <t>Total Positions and Annual Amount</t>
  </si>
  <si>
    <t>41.0 Grants, subsidies</t>
  </si>
  <si>
    <t xml:space="preserve"> Inmate Care and Programs</t>
  </si>
  <si>
    <t>None.</t>
  </si>
  <si>
    <t xml:space="preserve">     Transfers</t>
  </si>
  <si>
    <t>Agt./
Atty.</t>
  </si>
  <si>
    <t>Good Conduct Time</t>
  </si>
  <si>
    <t>BOP Medical Costs Adjustment (Contract Rates)</t>
  </si>
  <si>
    <t>Crosswalk of 2014 Availability</t>
  </si>
  <si>
    <t>2014 Availability</t>
  </si>
  <si>
    <t>2014 Planned</t>
  </si>
  <si>
    <t>2015 Request</t>
  </si>
  <si>
    <t>FY 2015 Request</t>
  </si>
  <si>
    <t>2015 Technical and Base Adjustments</t>
  </si>
  <si>
    <t>2015 Current Services</t>
  </si>
  <si>
    <t>2015 Increases</t>
  </si>
  <si>
    <t>2015 Offsets</t>
  </si>
  <si>
    <t>2015 Total Request</t>
  </si>
  <si>
    <t>Summary by Appropriation (FY 2013 - FY 2015)</t>
  </si>
  <si>
    <t>2015 Current services</t>
  </si>
  <si>
    <t>2014 - 2015 Total Change</t>
  </si>
  <si>
    <t>2013 Enacted</t>
  </si>
  <si>
    <t xml:space="preserve">                                                                                                 </t>
  </si>
  <si>
    <t xml:space="preserve">     Total Program Changes</t>
  </si>
  <si>
    <t>COs</t>
  </si>
  <si>
    <t>FY 2015 Program Changes by Decision Unit</t>
  </si>
  <si>
    <t>2013 Enacted with Rescissions and Sequester</t>
  </si>
  <si>
    <t>Estim. FTE</t>
  </si>
  <si>
    <t>Sequester</t>
  </si>
  <si>
    <r>
      <t>Food Cost Adjustments:</t>
    </r>
    <r>
      <rPr>
        <sz val="9"/>
        <color theme="1"/>
        <rFont val="Arial"/>
        <family val="2"/>
      </rPr>
      <t xml:space="preserve">
The Nation is experiencing high increases in food costs.  An increase of </t>
    </r>
    <r>
      <rPr>
        <u/>
        <sz val="9"/>
        <color theme="1"/>
        <rFont val="Arial"/>
        <family val="2"/>
      </rPr>
      <t>$14,394,000</t>
    </r>
    <r>
      <rPr>
        <sz val="9"/>
        <color theme="1"/>
        <rFont val="Arial"/>
        <family val="2"/>
      </rPr>
      <t xml:space="preserve"> for FY 2015 is necessary to keep pace with the cost of providing inmate meals.   </t>
    </r>
  </si>
  <si>
    <t>Subtotal, Domestic Rent and Facilities</t>
  </si>
  <si>
    <t xml:space="preserve">    2013 Rescissions (1.877% &amp; 0.2%)</t>
  </si>
  <si>
    <t xml:space="preserve">GSA Rent  </t>
  </si>
  <si>
    <t xml:space="preserve">Guard Service </t>
  </si>
  <si>
    <t>Inst. Security and Admin.</t>
  </si>
  <si>
    <t>Mgmt &amp; Admin</t>
  </si>
  <si>
    <r>
      <t>Health Insurance:</t>
    </r>
    <r>
      <rPr>
        <sz val="9"/>
        <color theme="1"/>
        <rFont val="Arial"/>
        <family val="2"/>
      </rPr>
      <t xml:space="preserve">
Effective January 2015, the component's contribution to Federal employees' health insurance increases by 3.7 percent.  Applied against the 2014 estimate of </t>
    </r>
    <r>
      <rPr>
        <u/>
        <sz val="9"/>
        <color theme="1"/>
        <rFont val="Arial"/>
        <family val="2"/>
      </rPr>
      <t>$279,108,000</t>
    </r>
    <r>
      <rPr>
        <sz val="9"/>
        <color theme="1"/>
        <rFont val="Arial"/>
        <family val="2"/>
      </rPr>
      <t xml:space="preserve"> the additional amount required is </t>
    </r>
    <r>
      <rPr>
        <u/>
        <sz val="9"/>
        <color theme="1"/>
        <rFont val="Arial"/>
        <family val="2"/>
      </rPr>
      <t>$10,301,000</t>
    </r>
    <r>
      <rPr>
        <sz val="9"/>
        <color theme="1"/>
        <rFont val="Arial"/>
        <family val="2"/>
      </rPr>
      <t>.</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</si>
  <si>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t>
    </r>
    <r>
      <rPr>
        <u/>
        <sz val="9"/>
        <color theme="1"/>
        <rFont val="Arial"/>
        <family val="2"/>
      </rPr>
      <t>115,000</t>
    </r>
    <r>
      <rPr>
        <sz val="9"/>
        <color theme="1"/>
        <rFont val="Arial"/>
        <family val="2"/>
      </rPr>
      <t xml:space="preserve"> is required to meet these commitments. </t>
    </r>
  </si>
  <si>
    <t xml:space="preserve"> Balance Rescission</t>
  </si>
  <si>
    <t>2015 Pay Raise (1%)</t>
  </si>
  <si>
    <t xml:space="preserve">    Total 2013 Enacted (with Rescissions and Sequester)</t>
  </si>
  <si>
    <t xml:space="preserve">    2013 Sequester </t>
  </si>
  <si>
    <t>$50.0 million is transferred from FY 2012 to FY 2012/FY 2013 Account.</t>
  </si>
  <si>
    <t>$146M Transfer from Department ($128 million from FBI; $5.5 million from DEA; and $12.5 million from FEW.</t>
  </si>
  <si>
    <t>2013 Appropriation Enacted w/o Balance Rescission 1</t>
  </si>
  <si>
    <t xml:space="preserve"> 1) The 2013 Enacted appropriation includes the 2 across-the-board rescissions of 1.877% and 0.2%</t>
  </si>
  <si>
    <t>2013 Actual</t>
  </si>
  <si>
    <t>2013 Enacted with Rescissions &amp; Sequestration</t>
  </si>
  <si>
    <t xml:space="preserve">     43.0 Interest</t>
  </si>
  <si>
    <t>2014 Enacted</t>
  </si>
  <si>
    <t>Historical Obligations by Program Area</t>
  </si>
  <si>
    <t>PROGRAM AREA</t>
  </si>
  <si>
    <t>FY 2009</t>
  </si>
  <si>
    <t>FY 2010</t>
  </si>
  <si>
    <t>FY 2011</t>
  </si>
  <si>
    <t>FY 2012</t>
  </si>
  <si>
    <t>FY 2013</t>
  </si>
  <si>
    <t xml:space="preserve">Medical </t>
  </si>
  <si>
    <t>Food Services</t>
  </si>
  <si>
    <t>Drug Treatment</t>
  </si>
  <si>
    <t>Unit Management</t>
  </si>
  <si>
    <t>Education</t>
  </si>
  <si>
    <t>Religious Services</t>
  </si>
  <si>
    <t>Psychology Services</t>
  </si>
  <si>
    <t>Laundry Services</t>
  </si>
  <si>
    <t xml:space="preserve">    Total 2014 Enacted (with Balance Rescission)</t>
  </si>
  <si>
    <t>FY 2014 Enacted</t>
  </si>
  <si>
    <t>Direct Carryover in no-year account $2.968 million, and in 2013/2014 carryover account $5.0 million.</t>
  </si>
  <si>
    <t>2015 President's Budget</t>
  </si>
  <si>
    <t>Annualization of 2014 Pay Raise</t>
  </si>
  <si>
    <t>FERS Rate Increase</t>
  </si>
  <si>
    <t xml:space="preserve">  Program Decreases:</t>
  </si>
  <si>
    <t>Program Offset - Miscellaneous Program and Administrative Reductions</t>
  </si>
  <si>
    <t>Total FY 2015 Congressional Budget</t>
  </si>
  <si>
    <t>FY 2015 Congressional Budget</t>
  </si>
  <si>
    <t xml:space="preserve"> FY 2014 Enacted</t>
  </si>
  <si>
    <t>Program Offset-Misc. Program &amp; Administrative Reductions</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</si>
  <si>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$8,918,000</t>
    </r>
    <r>
      <rPr>
        <sz val="9"/>
        <color theme="1"/>
        <rFont val="Arial"/>
        <family val="2"/>
      </rPr>
      <t xml:space="preserve"> is necessary to meet our increased retirement obligations as a result of this conversion.</t>
    </r>
  </si>
  <si>
    <t>Program Offset - Misc. Program &amp; Admin Reductions</t>
  </si>
  <si>
    <t>Inmate Care &amp; Programs, Inst. Security &amp; Admin, Contract Confinement, Management &amp; Administration</t>
  </si>
  <si>
    <t xml:space="preserve">Buildings and Facilities </t>
  </si>
  <si>
    <t>2013 Enacted with Rescissions, Hurricane Supp. and Sequester</t>
  </si>
  <si>
    <t>Note:  The FTE for FY 2013 is actual and for FY 2014 and FY 2015 is estimated.</t>
  </si>
  <si>
    <t>Location of Description in Narrative</t>
  </si>
  <si>
    <r>
      <rPr>
        <u/>
        <sz val="9"/>
        <rFont val="Arial"/>
        <family val="2"/>
      </rPr>
      <t>2015 Pay Raise</t>
    </r>
    <r>
      <rPr>
        <sz val="9"/>
        <rFont val="Arial"/>
        <family val="2"/>
      </rPr>
      <t>:
This request provides for a proposed 1 percent pay raise to be effective in January of 2015.  The amount requested, $</t>
    </r>
    <r>
      <rPr>
        <u/>
        <sz val="9"/>
        <rFont val="Arial"/>
        <family val="2"/>
      </rPr>
      <t>24,181,000,</t>
    </r>
    <r>
      <rPr>
        <sz val="9"/>
        <rFont val="Arial"/>
        <family val="2"/>
      </rPr>
      <t xml:space="preserve"> represents the pay amounts for 3/4 of the fiscal year plus appropriate benefits ($</t>
    </r>
    <r>
      <rPr>
        <u/>
        <sz val="9"/>
        <rFont val="Arial"/>
        <family val="2"/>
      </rPr>
      <t>16,927,000</t>
    </r>
    <r>
      <rPr>
        <sz val="9"/>
        <rFont val="Arial"/>
        <family val="2"/>
      </rPr>
      <t xml:space="preserve"> for pay and $</t>
    </r>
    <r>
      <rPr>
        <u/>
        <sz val="9"/>
        <rFont val="Arial"/>
        <family val="2"/>
      </rPr>
      <t>7,254,000</t>
    </r>
    <r>
      <rPr>
        <sz val="9"/>
        <rFont val="Arial"/>
        <family val="2"/>
      </rPr>
      <t xml:space="preserve"> for benefits.)</t>
    </r>
  </si>
  <si>
    <r>
      <t xml:space="preserve">General Services  Administration (GSA) Rent:
</t>
    </r>
    <r>
      <rPr>
        <sz val="9"/>
        <color theme="1"/>
        <rFont val="Arial"/>
        <family val="2"/>
      </rPr>
      <t xml:space="preserve">GSA will continue to charge rental rates that approximate those charged to commercial tenants for equivalent space and related services.  The requested increase of </t>
    </r>
    <r>
      <rPr>
        <u/>
        <sz val="9"/>
        <color theme="1"/>
        <rFont val="Arial"/>
        <family val="2"/>
      </rPr>
      <t>$3,547,000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</si>
  <si>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Medical Cost Adjustments:</t>
    </r>
    <r>
      <rPr>
        <sz val="9"/>
        <color theme="1"/>
        <rFont val="Arial"/>
        <family val="2"/>
      </rPr>
      <t xml:space="preserve">
This provides the Bureau of Prisons with </t>
    </r>
    <r>
      <rPr>
        <u/>
        <sz val="9"/>
        <color theme="1"/>
        <rFont val="Arial"/>
        <family val="2"/>
      </rPr>
      <t>$34,921,000</t>
    </r>
    <r>
      <rPr>
        <sz val="9"/>
        <color theme="1"/>
        <rFont val="Arial"/>
        <family val="2"/>
      </rPr>
      <t xml:space="preserve"> in funding for FY 2015 mandatory cost increases incurred due to rising health care costs in the U.S. </t>
    </r>
  </si>
  <si>
    <r>
      <t>Utility Cost Adjustments:</t>
    </r>
    <r>
      <rPr>
        <sz val="9"/>
        <color theme="1"/>
        <rFont val="Arial"/>
        <family val="2"/>
      </rPr>
      <t xml:space="preserve">
This provides the Bureau of Prisons with </t>
    </r>
    <r>
      <rPr>
        <u/>
        <sz val="9"/>
        <color theme="1"/>
        <rFont val="Arial"/>
        <family val="2"/>
      </rPr>
      <t>$23,022,000</t>
    </r>
    <r>
      <rPr>
        <sz val="9"/>
        <color theme="1"/>
        <rFont val="Arial"/>
        <family val="2"/>
      </rPr>
      <t xml:space="preserve"> in funding for FY 2015 mandatory cost increases incurred due to rising utility costs in the U.S. </t>
    </r>
  </si>
  <si>
    <t xml:space="preserve"> * FY 2013 FTEs are actual.</t>
  </si>
  <si>
    <r>
      <rPr>
        <u/>
        <sz val="9"/>
        <rFont val="Arial"/>
        <family val="2"/>
      </rPr>
      <t>FERS Regular/Law Enforcement Retirement Contribution</t>
    </r>
    <r>
      <rPr>
        <sz val="9"/>
        <rFont val="Arial"/>
        <family val="2"/>
      </rPr>
      <t xml:space="preserve">:
Effective October 1, 2014 (FY 2015), the new agency contribution rates will increase to 13.2 % (up from the current 11.9%, or an increase of 1.3% for regular FERS personnel) and 28.8% for law enforcement personnel (up from the current 26.3%, or an increase of 2.5%).  The amount requested, </t>
    </r>
    <r>
      <rPr>
        <u/>
        <sz val="9"/>
        <rFont val="Arial"/>
        <family val="2"/>
      </rPr>
      <t>$65,818,000</t>
    </r>
    <r>
      <rPr>
        <sz val="9"/>
        <rFont val="Arial"/>
        <family val="2"/>
      </rPr>
      <t xml:space="preserve">, represents the funds needed to cover this increase. </t>
    </r>
  </si>
  <si>
    <t>Residential Reentry Centers</t>
  </si>
  <si>
    <t>Privately Operated Institutions</t>
  </si>
  <si>
    <t>Note: This exhibit is provided in response to GAO Report 14-121.  The report recommends</t>
  </si>
  <si>
    <t xml:space="preserve">  that the Attorney General consult with congressional decision makers on providing additional</t>
  </si>
  <si>
    <t xml:space="preserve">  BOP funding detail in future budget justifications.</t>
  </si>
  <si>
    <t>Offsets:</t>
  </si>
  <si>
    <t>Subtotal, Offsets</t>
  </si>
  <si>
    <r>
      <rPr>
        <u/>
        <sz val="9"/>
        <rFont val="Arial"/>
        <family val="2"/>
      </rPr>
      <t>Annualization of 2014 Pay Raise</t>
    </r>
    <r>
      <rPr>
        <sz val="9"/>
        <rFont val="Arial"/>
        <family val="2"/>
      </rPr>
      <t xml:space="preserve">:
This pay annualization represents first quarter amounts (October through December) of the 2014 pay increase of 1.0% included in the 2014 President's Budget. The amount requested, </t>
    </r>
    <r>
      <rPr>
        <u/>
        <sz val="9"/>
        <rFont val="Arial"/>
        <family val="2"/>
      </rPr>
      <t>$7,756,000,</t>
    </r>
    <r>
      <rPr>
        <sz val="9"/>
        <rFont val="Arial"/>
        <family val="2"/>
      </rPr>
      <t xml:space="preserve"> represents the pay amounts for 1/4 of the fiscal year plus appropriate benefits (</t>
    </r>
    <r>
      <rPr>
        <u/>
        <sz val="9"/>
        <rFont val="Arial"/>
        <family val="2"/>
      </rPr>
      <t>$5,429,200</t>
    </r>
    <r>
      <rPr>
        <sz val="9"/>
        <rFont val="Arial"/>
        <family val="2"/>
      </rPr>
      <t xml:space="preserve"> for pay and </t>
    </r>
    <r>
      <rPr>
        <u/>
        <sz val="9"/>
        <rFont val="Arial"/>
        <family val="2"/>
      </rPr>
      <t>$2,326,800</t>
    </r>
    <r>
      <rPr>
        <sz val="9"/>
        <rFont val="Arial"/>
        <family val="2"/>
      </rPr>
      <t xml:space="preserve"> for benefits.)</t>
    </r>
  </si>
  <si>
    <t>$5.275M direct carryover in no-year account</t>
  </si>
  <si>
    <t>Physicians’ Comparability Allowance (PCA) Worksheet</t>
  </si>
  <si>
    <t>Department of Justice: Federal Bureau of Prisons</t>
  </si>
  <si>
    <t>Table 1</t>
  </si>
  <si>
    <t>BY 2015* (Estimates)</t>
  </si>
  <si>
    <t>6) Number of Physicians Receiving PCAs by Category (non-add)</t>
  </si>
  <si>
    <t>NA</t>
  </si>
  <si>
    <t>Maximum-Clinical Positions - $30,000</t>
  </si>
  <si>
    <t>Physicians/Dentists that have over 24 months of service.</t>
  </si>
  <si>
    <t xml:space="preserve">PY 2013 (Actual) </t>
  </si>
  <si>
    <t xml:space="preserve">CY 2014 (Estimates) </t>
  </si>
  <si>
    <t>1) Number of Physicians Receiving PCAs</t>
  </si>
  <si>
    <t>2) Number of Physicians with One-Year PCA Agreements</t>
  </si>
  <si>
    <t>3) Number of Physicians with Multi-Year PCA Agreements</t>
  </si>
  <si>
    <t>4) Average Annual PCA Physician Pay (without PCA payment)</t>
  </si>
  <si>
    <t>5) Average Annual PCA Payment</t>
  </si>
  <si>
    <t>Category I Clinical Position</t>
  </si>
  <si>
    <t>Category II Research Position</t>
  </si>
  <si>
    <t>Category III Occupational Health</t>
  </si>
  <si>
    <t xml:space="preserve">Category IV-A Disability Evaluation </t>
  </si>
  <si>
    <t>Category IV-B Health and Medical Admin.</t>
  </si>
  <si>
    <t xml:space="preserve">*FY 2015 data will be approved during the FY 2016 Budget cycle. </t>
  </si>
  <si>
    <r>
      <t>7)</t>
    </r>
    <r>
      <rPr>
        <sz val="7"/>
        <rFont val="Times New Roman"/>
        <family val="1"/>
      </rPr>
      <t xml:space="preserve">     </t>
    </r>
    <r>
      <rPr>
        <sz val="10"/>
        <rFont val="Arial"/>
        <family val="2"/>
      </rPr>
      <t xml:space="preserve">If applicable, list and explain the necessity of any additional physician categories designated by your agency (for categories other than I through IV-B). Provide the number of PCA agreements per additional category for the PY, CY and BY. </t>
    </r>
  </si>
  <si>
    <r>
      <t>8)</t>
    </r>
    <r>
      <rPr>
        <sz val="7"/>
        <rFont val="Times New Roman"/>
        <family val="1"/>
      </rPr>
      <t xml:space="preserve">     </t>
    </r>
    <r>
      <rPr>
        <sz val="10"/>
        <rFont val="Arial"/>
        <family val="2"/>
      </rPr>
      <t xml:space="preserve">Provide the maximum annual PCA amount paid to each category of physician in your agency and explain the reasoning for these amounts by category. </t>
    </r>
  </si>
  <si>
    <r>
      <t>9)</t>
    </r>
    <r>
      <rPr>
        <sz val="7"/>
        <rFont val="Times New Roman"/>
        <family val="1"/>
      </rPr>
      <t xml:space="preserve">     </t>
    </r>
    <r>
      <rPr>
        <sz val="10"/>
        <rFont val="Arial"/>
        <family val="2"/>
      </rPr>
      <t xml:space="preserve">Explain the recruitment and retention problem(s) for each category of physician in your agency (this should demonstrate that a current need continues to persist). </t>
    </r>
  </si>
  <si>
    <t>In the past year, the National Recruitment Office has attended at least 19 physician-related recruitment functions and posted ads.  Despite local and national efforts to recruit physicians, the BOP currently many vacant positions which average 24 months unfilled.  Many of the facilities are in remote locations which make it difficult to recruit to these areas.</t>
  </si>
  <si>
    <r>
      <t>10)</t>
    </r>
    <r>
      <rPr>
        <sz val="7"/>
        <rFont val="Times New Roman"/>
        <family val="1"/>
      </rPr>
      <t xml:space="preserve">  </t>
    </r>
    <r>
      <rPr>
        <sz val="10"/>
        <rFont val="Arial"/>
        <family val="2"/>
      </rPr>
      <t xml:space="preserve">Explain the degree to which recruitment and retention problems were alleviated in your agency through the use of PCAs in the prior fiscal year. </t>
    </r>
  </si>
  <si>
    <r>
      <t>Recruitment bonuses, student loan repayments, PCAPS, and annual leave credit for non-federal service have all been inducement packages to attract and retain physicians.  Historical data shows that physician positions have been among the top five in the highest turnover rates.  The loss of the PCAP tool would be devastating to BOP efforts to hire physicians.</t>
    </r>
    <r>
      <rPr>
        <sz val="10"/>
        <rFont val="Arial"/>
        <family val="2"/>
      </rPr>
      <t xml:space="preserve">  </t>
    </r>
  </si>
  <si>
    <r>
      <t>11)</t>
    </r>
    <r>
      <rPr>
        <sz val="7"/>
        <rFont val="Times New Roman"/>
        <family val="1"/>
      </rPr>
      <t xml:space="preserve">  </t>
    </r>
    <r>
      <rPr>
        <sz val="10"/>
        <rFont val="Arial"/>
        <family val="2"/>
      </rPr>
      <t xml:space="preserve">Provide any additional information that may be useful in planning PCA staffing levels and amounts in your agency.  </t>
    </r>
  </si>
  <si>
    <r>
      <t>The BOP will be activating USP Yazoo City, FCI Hazelton and USP Thomson in the year 2015 and will have additional physicians receiving PCAs.</t>
    </r>
    <r>
      <rPr>
        <sz val="10"/>
        <rFont val="Arial"/>
        <family val="2"/>
      </rPr>
      <t xml:space="preserve"> </t>
    </r>
  </si>
  <si>
    <t>Status of Congressionally Requested Studies, Reports, and Evaluations</t>
  </si>
  <si>
    <t>1.  The CJS Explanatory Statement associated with the Consolidated Appropriations Act, 2014 (page 26) adopted  language by reference regarding a Government Accountability office (GAO) assessment of the growing cost of housing Federal inmates and detainees, as is the requirement for the BOP to submit a comprehensive plan to address prison population growth. Target response to Committee May 2014.</t>
  </si>
  <si>
    <t>2.  The CJS Explanatory Statement associated with the Consolidated Appropriations Act, 2014 (page 26) directs BOP to submit a detailed project-specify spending plans for both the New Construction and the Modernization and Repair decision units, along with a comprehensive report on the current modernization and repair backlog, in the Department's spending plan required by this Act. .  Target response to Committee March 2014.</t>
  </si>
  <si>
    <t xml:space="preserve">3.  The Senate Report, Title II (page 78) associated with the Consolidated Appropriations Act, 2014, directs the Bureau to develop a comprehensive plan to address the anticipated growth in the Federal prison population utilizing the programs and policies already authorized. The plan shall be provided to the Committee not later than 180 days after the date of enactment of this act. Target response to Committee July 2014.        </t>
  </si>
  <si>
    <t xml:space="preserve">4.  The House Report, Title II (page 48) associated with the Consolidated Appropriations Act, 2014, directs FPI to continue to maintain this information in a database to help inform its board of directors of opportunities to repatriate manufacturing, with the object of creating new American jobs, not competing with existing U.S. businesses, and to provide a quarterly report to the Committee on FPI’s capacity to provide these services as an alternative to foreign manufacturers. Target responses to Committee quarterly during 2014. </t>
  </si>
  <si>
    <t>Provide safe, secure, humane, and cost-effective confinement and transportation of federal detainees and inmates</t>
  </si>
  <si>
    <t>Reform and strengthen America's criminal justice system by targeting only the most serious offenses for federal prosecution, expanding the use of diversion programs, and aiding inmates in reentering society</t>
  </si>
  <si>
    <t xml:space="preserve">5.  The Senate Report, Title II (page 80) and House Report, Title II (page 47) associated with the Consolidated Appropriations Act, 2014,  directs the BOP to continue to provide a monthly status of construction report, and to notify the Committee of any deviation from the construction and activation schedule identified in those reports.  Target responses to Committee monthly in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</si>
</sst>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1" formatCode="_(* #,##0_);_(* \(#,##0\);_(* &quot;-&quot;_);_(@_)"/>
    <numFmt numFmtId="44" formatCode="_(&quot;$&quot;* #,##0.00_);_(&quot;$&quot;* \(#,##0.00\);_(&quot;$&quot;* &quot;-&quot;??_);_(@_)"/>
    <numFmt numFmtId="43" formatCode="_(* #,##0.00_);_(* \(#,##0.00\);_(* &quot;-&quot;??_);_(@_)"/>
    <numFmt numFmtId="165" formatCode="_(* #,##0_);_(* \(#,##0\);_(* &quot;-&quot;??_);_(@_)"/>
    <numFmt numFmtId="166" formatCode="_(* #,##0_);_(* \(#,##0\);_(* &quot;0&quot;_);_(@_)"/>
    <numFmt numFmtId="167" formatCode="_(&quot;$&quot;#,##0_);_(&quot;$&quot;\(#,##0\);_(&quot;$&quot;&quot;0&quot;_);_(@_)"/>
    <numFmt numFmtId="168" formatCode="_(* #,##0_);_(* \-#,##0_);_(* &quot;0&quot;_);_(@_)"/>
    <numFmt numFmtId="169" formatCode="#,##0;[Red]#,##0"/>
    <numFmt numFmtId="170" formatCode="&quot;$&quot;#,##0;[Red]&quot;$&quot;#,##0"/>
  </numFmts>
  <fonts count="53" x14ac:knownFonts="1">
    <font>
      <sz val="12"/>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Arial"/>
      <family val="2"/>
    </font>
    <font>
      <b/>
      <sz val="14"/>
      <name val="Times New Roman"/>
      <family val="1"/>
    </font>
    <font>
      <b/>
      <sz val="10"/>
      <name val="Times New Roman"/>
      <family val="1"/>
    </font>
    <font>
      <b/>
      <i/>
      <sz val="12"/>
      <name val="Times New Roman"/>
      <family val="1"/>
    </font>
    <font>
      <sz val="10"/>
      <name val="Arial"/>
      <family val="2"/>
    </font>
    <font>
      <sz val="8"/>
      <color indexed="9"/>
      <name val="Times New Roman"/>
      <family val="1"/>
    </font>
    <font>
      <sz val="10"/>
      <name val="Times New Roman"/>
      <family val="1"/>
    </font>
    <font>
      <sz val="10"/>
      <color indexed="9"/>
      <name val="Times New Roman"/>
      <family val="1"/>
    </font>
    <font>
      <sz val="14"/>
      <name val="Times New Roman"/>
      <family val="1"/>
    </font>
    <font>
      <b/>
      <sz val="14"/>
      <color theme="1"/>
      <name val="Arial"/>
      <family val="2"/>
    </font>
    <font>
      <sz val="11"/>
      <color theme="0"/>
      <name val="Arial"/>
      <family val="2"/>
    </font>
    <font>
      <sz val="11"/>
      <color theme="1"/>
      <name val="Arial"/>
      <family val="2"/>
    </font>
    <font>
      <b/>
      <u/>
      <sz val="11"/>
      <color theme="0"/>
      <name val="Arial"/>
      <family val="2"/>
    </font>
    <font>
      <sz val="12"/>
      <color theme="1"/>
      <name val="Arial"/>
      <family val="2"/>
    </font>
    <font>
      <sz val="10"/>
      <color theme="1"/>
      <name val="Arial"/>
      <family val="2"/>
    </font>
    <font>
      <b/>
      <sz val="11"/>
      <color theme="1"/>
      <name val="Arial"/>
      <family val="2"/>
    </font>
    <font>
      <sz val="11"/>
      <name val="Arial"/>
      <family val="2"/>
    </font>
    <font>
      <b/>
      <sz val="11"/>
      <name val="Arial"/>
      <family val="2"/>
    </font>
    <font>
      <b/>
      <vertAlign val="superscript"/>
      <sz val="11"/>
      <color theme="1"/>
      <name val="Arial"/>
      <family val="2"/>
    </font>
    <font>
      <b/>
      <sz val="11"/>
      <color theme="0"/>
      <name val="Arial"/>
      <family val="2"/>
    </font>
    <font>
      <b/>
      <sz val="12"/>
      <color theme="1"/>
      <name val="Arial"/>
      <family val="2"/>
    </font>
    <font>
      <sz val="9"/>
      <color theme="0"/>
      <name val="Arial"/>
      <family val="2"/>
    </font>
    <font>
      <sz val="9"/>
      <color theme="1"/>
      <name val="Arial"/>
      <family val="2"/>
    </font>
    <font>
      <sz val="8"/>
      <color theme="1"/>
      <name val="Arial"/>
      <family val="2"/>
    </font>
    <font>
      <b/>
      <sz val="9"/>
      <color theme="1"/>
      <name val="Arial"/>
      <family val="2"/>
    </font>
    <font>
      <b/>
      <sz val="10"/>
      <color theme="1"/>
      <name val="Arial"/>
      <family val="2"/>
    </font>
    <font>
      <u/>
      <sz val="9"/>
      <color theme="1"/>
      <name val="Arial"/>
      <family val="2"/>
    </font>
    <font>
      <sz val="9"/>
      <name val="Arial"/>
      <family val="2"/>
    </font>
    <font>
      <sz val="9"/>
      <color indexed="9"/>
      <name val="Arial"/>
      <family val="2"/>
    </font>
    <font>
      <b/>
      <sz val="9"/>
      <name val="Arial"/>
      <family val="2"/>
    </font>
    <font>
      <sz val="14"/>
      <color theme="0"/>
      <name val="Arial"/>
      <family val="2"/>
    </font>
    <font>
      <b/>
      <sz val="14"/>
      <name val="Arial"/>
      <family val="2"/>
    </font>
    <font>
      <u/>
      <sz val="9"/>
      <name val="Arial"/>
      <family val="2"/>
    </font>
    <font>
      <b/>
      <sz val="12"/>
      <name val="Arial"/>
      <family val="2"/>
    </font>
    <font>
      <b/>
      <shadow/>
      <sz val="54"/>
      <color rgb="FFD73A36"/>
      <name val="Calibri"/>
      <family val="2"/>
    </font>
    <font>
      <sz val="11"/>
      <name val="Calibri"/>
      <family val="2"/>
    </font>
    <font>
      <b/>
      <sz val="9"/>
      <color rgb="FF000000"/>
      <name val="Arial"/>
      <family val="2"/>
    </font>
    <font>
      <sz val="9"/>
      <color rgb="FF000000"/>
      <name val="Arial"/>
      <family val="2"/>
    </font>
    <font>
      <sz val="8"/>
      <name val="Arial"/>
      <family val="2"/>
    </font>
    <font>
      <sz val="7"/>
      <name val="Times New Roman"/>
      <family val="1"/>
    </font>
    <font>
      <b/>
      <sz val="10"/>
      <name val="Arial"/>
      <family val="2"/>
    </font>
    <font>
      <b/>
      <u/>
      <sz val="11"/>
      <name val="Arial"/>
      <family val="2"/>
    </font>
    <font>
      <u/>
      <sz val="11"/>
      <name val="Arial"/>
      <family val="2"/>
    </font>
  </fonts>
  <fills count="3">
    <fill>
      <patternFill patternType="none"/>
    </fill>
    <fill>
      <patternFill patternType="gray125"/>
    </fill>
    <fill>
      <patternFill patternType="solid">
        <fgColor rgb="FFFFFFFF"/>
        <bgColor indexed="64"/>
      </patternFill>
    </fill>
  </fills>
  <borders count="150">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diagonal/>
    </border>
    <border>
      <left/>
      <right style="thin">
        <color auto="1"/>
      </right>
      <top/>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top style="dashed">
        <color theme="0" tint="-0.1499679555650502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thin">
        <color auto="1"/>
      </right>
      <top style="medium">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diagonal/>
    </border>
    <border>
      <left style="medium">
        <color auto="1"/>
      </left>
      <right/>
      <top style="thin">
        <color auto="1"/>
      </top>
      <bottom style="thin">
        <color auto="1"/>
      </bottom>
      <diagonal/>
    </border>
    <border>
      <left/>
      <right/>
      <top/>
      <bottom style="medium">
        <color indexed="64"/>
      </bottom>
      <diagonal/>
    </border>
    <border>
      <left style="thin">
        <color auto="1"/>
      </left>
      <right style="medium">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medium">
        <color auto="1"/>
      </left>
      <right/>
      <top style="dashed">
        <color theme="0" tint="-0.14996795556505021"/>
      </top>
      <bottom style="thin">
        <color auto="1"/>
      </bottom>
      <diagonal/>
    </border>
    <border>
      <left/>
      <right style="thin">
        <color auto="1"/>
      </right>
      <top style="dashed">
        <color theme="0" tint="-0.1499679555650502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right style="thin">
        <color auto="1"/>
      </right>
      <top style="thin">
        <color auto="1"/>
      </top>
      <bottom style="dashed">
        <color theme="0" tint="-0.14996795556505021"/>
      </bottom>
      <diagonal/>
    </border>
    <border>
      <left style="medium">
        <color auto="1"/>
      </left>
      <right/>
      <top style="thin">
        <color auto="1"/>
      </top>
      <bottom style="dashed">
        <color theme="0" tint="-0.14996795556505021"/>
      </bottom>
      <diagonal/>
    </border>
    <border>
      <left style="medium">
        <color auto="1"/>
      </left>
      <right style="thin">
        <color auto="1"/>
      </right>
      <top style="dashed">
        <color theme="0" tint="-0.14996795556505021"/>
      </top>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medium">
        <color auto="1"/>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thin">
        <color auto="1"/>
      </right>
      <top style="thin">
        <color auto="1"/>
      </top>
      <bottom/>
      <diagonal/>
    </border>
    <border>
      <left style="medium">
        <color auto="1"/>
      </left>
      <right style="thin">
        <color auto="1"/>
      </right>
      <top style="thin">
        <color auto="1"/>
      </top>
      <bottom style="dashed">
        <color theme="0" tint="-0.14996795556505021"/>
      </bottom>
      <diagonal/>
    </border>
    <border>
      <left style="medium">
        <color auto="1"/>
      </left>
      <right style="thin">
        <color auto="1"/>
      </right>
      <top style="dashed">
        <color theme="0" tint="-0.14996795556505021"/>
      </top>
      <bottom style="thin">
        <color auto="1"/>
      </bottom>
      <diagonal/>
    </border>
    <border>
      <left style="medium">
        <color auto="1"/>
      </left>
      <right/>
      <top/>
      <bottom style="dashed">
        <color theme="0" tint="-0.14996795556505021"/>
      </bottom>
      <diagonal/>
    </border>
    <border>
      <left style="medium">
        <color auto="1"/>
      </left>
      <right/>
      <top style="dashed">
        <color theme="0" tint="-0.14996795556505021"/>
      </top>
      <bottom/>
      <diagonal/>
    </border>
    <border>
      <left style="thin">
        <color auto="1"/>
      </left>
      <right/>
      <top style="medium">
        <color auto="1"/>
      </top>
      <bottom/>
      <diagonal/>
    </border>
    <border>
      <left style="medium">
        <color auto="1"/>
      </left>
      <right style="medium">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bottom style="hair">
        <color auto="1"/>
      </bottom>
      <diagonal/>
    </border>
    <border>
      <left style="medium">
        <color auto="1"/>
      </left>
      <right/>
      <top style="hair">
        <color auto="1"/>
      </top>
      <bottom style="thin">
        <color indexed="64"/>
      </bottom>
      <diagonal/>
    </border>
    <border>
      <left style="medium">
        <color auto="1"/>
      </left>
      <right style="thin">
        <color auto="1"/>
      </right>
      <top style="medium">
        <color auto="1"/>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n">
        <color indexed="64"/>
      </left>
      <right style="medium">
        <color indexed="64"/>
      </right>
      <top style="dashed">
        <color theme="0" tint="-0.14996795556505021"/>
      </top>
      <bottom style="medium">
        <color auto="1"/>
      </bottom>
      <diagonal/>
    </border>
    <border>
      <left style="thin">
        <color auto="1"/>
      </left>
      <right style="thin">
        <color auto="1"/>
      </right>
      <top style="medium">
        <color indexed="64"/>
      </top>
      <bottom style="medium">
        <color indexed="64"/>
      </bottom>
      <diagonal/>
    </border>
    <border>
      <left style="thin">
        <color auto="1"/>
      </left>
      <right/>
      <top style="thin">
        <color indexed="64"/>
      </top>
      <bottom style="medium">
        <color indexed="64"/>
      </bottom>
      <diagonal/>
    </border>
  </borders>
  <cellStyleXfs count="32">
    <xf numFmtId="0" fontId="0" fillId="0" borderId="0"/>
    <xf numFmtId="43" fontId="10" fillId="0" borderId="0" applyFont="0" applyFill="0" applyBorder="0" applyAlignment="0" applyProtection="0"/>
    <xf numFmtId="0" fontId="14" fillId="0" borderId="0"/>
    <xf numFmtId="0" fontId="10" fillId="0" borderId="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0" fontId="3"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0" fontId="10" fillId="0" borderId="0"/>
    <xf numFmtId="0" fontId="14" fillId="0" borderId="0"/>
    <xf numFmtId="0" fontId="14" fillId="0" borderId="0"/>
  </cellStyleXfs>
  <cellXfs count="765">
    <xf numFmtId="0" fontId="0" fillId="0" borderId="0" xfId="0"/>
    <xf numFmtId="0" fontId="8" fillId="0" borderId="0" xfId="0" applyFont="1"/>
    <xf numFmtId="0" fontId="8" fillId="0" borderId="0" xfId="0" applyFont="1" applyBorder="1"/>
    <xf numFmtId="0" fontId="8" fillId="0" borderId="3" xfId="0" applyFont="1" applyBorder="1"/>
    <xf numFmtId="0" fontId="8" fillId="0" borderId="4" xfId="0" applyFont="1" applyBorder="1"/>
    <xf numFmtId="0" fontId="8" fillId="0" borderId="5" xfId="0" applyFont="1" applyBorder="1"/>
    <xf numFmtId="0" fontId="8" fillId="0" borderId="7" xfId="0" applyFont="1" applyBorder="1"/>
    <xf numFmtId="3" fontId="8" fillId="0" borderId="14" xfId="0" applyNumberFormat="1" applyFont="1" applyBorder="1"/>
    <xf numFmtId="0" fontId="8" fillId="0" borderId="14" xfId="0" applyFont="1" applyBorder="1"/>
    <xf numFmtId="41" fontId="8" fillId="0" borderId="0" xfId="0" applyNumberFormat="1" applyFont="1" applyBorder="1"/>
    <xf numFmtId="3" fontId="8" fillId="0" borderId="34" xfId="0" applyNumberFormat="1" applyFont="1" applyBorder="1"/>
    <xf numFmtId="3" fontId="8" fillId="0" borderId="0" xfId="0" applyNumberFormat="1" applyFont="1" applyBorder="1"/>
    <xf numFmtId="41" fontId="8" fillId="0" borderId="12" xfId="0" applyNumberFormat="1" applyFont="1" applyBorder="1"/>
    <xf numFmtId="41" fontId="8" fillId="0" borderId="0" xfId="0" applyNumberFormat="1" applyFont="1"/>
    <xf numFmtId="0" fontId="8" fillId="0" borderId="0" xfId="0" applyFont="1" applyFill="1"/>
    <xf numFmtId="41" fontId="9" fillId="0" borderId="0" xfId="0" applyNumberFormat="1" applyFont="1"/>
    <xf numFmtId="0" fontId="8" fillId="0" borderId="41" xfId="0" applyFont="1" applyBorder="1"/>
    <xf numFmtId="0" fontId="8" fillId="0" borderId="46" xfId="0" applyFont="1" applyBorder="1"/>
    <xf numFmtId="0" fontId="13" fillId="0" borderId="0" xfId="0" applyFont="1" applyBorder="1"/>
    <xf numFmtId="0" fontId="15" fillId="0" borderId="0" xfId="2" applyFont="1"/>
    <xf numFmtId="0" fontId="16" fillId="0" borderId="0" xfId="0" applyFont="1"/>
    <xf numFmtId="0" fontId="17" fillId="0" borderId="0" xfId="2" applyFont="1"/>
    <xf numFmtId="0" fontId="8" fillId="0" borderId="1" xfId="0" applyFont="1" applyBorder="1" applyAlignment="1">
      <alignment horizontal="center"/>
    </xf>
    <xf numFmtId="165" fontId="8" fillId="0" borderId="0" xfId="1" applyNumberFormat="1" applyFont="1"/>
    <xf numFmtId="165" fontId="8" fillId="0" borderId="14" xfId="1" applyNumberFormat="1" applyFont="1" applyBorder="1"/>
    <xf numFmtId="0" fontId="8" fillId="0" borderId="34" xfId="0" applyFont="1" applyBorder="1"/>
    <xf numFmtId="3" fontId="8" fillId="0" borderId="14" xfId="1" applyNumberFormat="1" applyFont="1" applyBorder="1"/>
    <xf numFmtId="165" fontId="8" fillId="0" borderId="0" xfId="0" applyNumberFormat="1" applyFont="1"/>
    <xf numFmtId="0" fontId="8" fillId="0" borderId="2" xfId="0" applyFont="1" applyBorder="1" applyAlignment="1">
      <alignment horizontal="center"/>
    </xf>
    <xf numFmtId="0" fontId="8" fillId="0" borderId="3" xfId="0" applyFont="1" applyBorder="1" applyAlignment="1">
      <alignment horizontal="center"/>
    </xf>
    <xf numFmtId="0" fontId="8" fillId="0" borderId="0" xfId="0" applyFont="1" applyBorder="1"/>
    <xf numFmtId="0" fontId="8" fillId="0" borderId="6" xfId="0" applyFont="1" applyBorder="1"/>
    <xf numFmtId="0" fontId="8" fillId="0" borderId="32" xfId="0" applyFont="1" applyBorder="1"/>
    <xf numFmtId="0" fontId="8" fillId="0" borderId="33" xfId="0" applyFont="1" applyBorder="1"/>
    <xf numFmtId="3" fontId="8" fillId="0" borderId="33" xfId="0" applyNumberFormat="1" applyFont="1" applyBorder="1"/>
    <xf numFmtId="3" fontId="8" fillId="0" borderId="47" xfId="0" applyNumberFormat="1" applyFont="1" applyBorder="1"/>
    <xf numFmtId="3" fontId="8" fillId="0" borderId="1" xfId="0" applyNumberFormat="1" applyFont="1" applyBorder="1"/>
    <xf numFmtId="0" fontId="9" fillId="0" borderId="46" xfId="0" applyFont="1" applyBorder="1"/>
    <xf numFmtId="0" fontId="9" fillId="0" borderId="32" xfId="0" applyFont="1" applyBorder="1"/>
    <xf numFmtId="3" fontId="9" fillId="0" borderId="47" xfId="0" applyNumberFormat="1" applyFont="1" applyBorder="1"/>
    <xf numFmtId="0" fontId="8" fillId="0" borderId="0" xfId="0" applyFont="1" applyBorder="1"/>
    <xf numFmtId="166" fontId="8" fillId="0" borderId="37" xfId="0" applyNumberFormat="1" applyFont="1" applyBorder="1"/>
    <xf numFmtId="166" fontId="8" fillId="0" borderId="30" xfId="0" applyNumberFormat="1" applyFont="1" applyBorder="1"/>
    <xf numFmtId="166" fontId="8" fillId="0" borderId="0" xfId="0" applyNumberFormat="1" applyFont="1" applyBorder="1"/>
    <xf numFmtId="166" fontId="8" fillId="0" borderId="12" xfId="0" applyNumberFormat="1" applyFont="1" applyBorder="1"/>
    <xf numFmtId="166" fontId="8" fillId="0" borderId="0" xfId="0" applyNumberFormat="1" applyFont="1" applyBorder="1" applyAlignment="1">
      <alignment horizontal="right"/>
    </xf>
    <xf numFmtId="166" fontId="8" fillId="0" borderId="0" xfId="1" applyNumberFormat="1" applyFont="1" applyBorder="1"/>
    <xf numFmtId="166" fontId="8" fillId="0" borderId="40" xfId="0" applyNumberFormat="1" applyFont="1" applyBorder="1"/>
    <xf numFmtId="166" fontId="9" fillId="0" borderId="27" xfId="0" applyNumberFormat="1" applyFont="1" applyBorder="1"/>
    <xf numFmtId="166" fontId="8" fillId="0" borderId="26" xfId="0" applyNumberFormat="1" applyFont="1" applyBorder="1"/>
    <xf numFmtId="166" fontId="8" fillId="0" borderId="27" xfId="0" applyNumberFormat="1" applyFont="1" applyBorder="1"/>
    <xf numFmtId="166" fontId="8" fillId="0" borderId="40" xfId="0" applyNumberFormat="1" applyFont="1" applyFill="1" applyBorder="1"/>
    <xf numFmtId="166" fontId="8" fillId="0" borderId="12" xfId="0" applyNumberFormat="1" applyFont="1" applyFill="1" applyBorder="1"/>
    <xf numFmtId="166" fontId="8" fillId="0" borderId="12" xfId="0" applyNumberFormat="1" applyFont="1" applyBorder="1" applyAlignment="1">
      <alignment horizontal="right"/>
    </xf>
    <xf numFmtId="166" fontId="8" fillId="0" borderId="40" xfId="0" applyNumberFormat="1" applyFont="1" applyBorder="1" applyAlignment="1">
      <alignment horizontal="right"/>
    </xf>
    <xf numFmtId="166" fontId="9" fillId="0" borderId="40" xfId="0" applyNumberFormat="1" applyFont="1" applyBorder="1"/>
    <xf numFmtId="166" fontId="9" fillId="0" borderId="39" xfId="0" applyNumberFormat="1" applyFont="1" applyBorder="1"/>
    <xf numFmtId="166" fontId="9" fillId="0" borderId="12" xfId="0" applyNumberFormat="1" applyFont="1" applyBorder="1"/>
    <xf numFmtId="0" fontId="11" fillId="0" borderId="0" xfId="0" applyFont="1"/>
    <xf numFmtId="0" fontId="18" fillId="0" borderId="0" xfId="0" applyFont="1"/>
    <xf numFmtId="41" fontId="11" fillId="0" borderId="0" xfId="0" applyNumberFormat="1" applyFont="1" applyAlignment="1">
      <alignment vertical="top"/>
    </xf>
    <xf numFmtId="3" fontId="8" fillId="0" borderId="4" xfId="0" applyNumberFormat="1" applyFont="1" applyBorder="1"/>
    <xf numFmtId="170" fontId="8" fillId="0" borderId="34" xfId="0" applyNumberFormat="1" applyFont="1" applyBorder="1" applyAlignment="1">
      <alignment horizontal="right"/>
    </xf>
    <xf numFmtId="0" fontId="8" fillId="0" borderId="0" xfId="0" applyFont="1" applyBorder="1"/>
    <xf numFmtId="0" fontId="9" fillId="0" borderId="42" xfId="0" applyFont="1" applyBorder="1"/>
    <xf numFmtId="3" fontId="9" fillId="0" borderId="2" xfId="0" applyNumberFormat="1" applyFont="1" applyBorder="1"/>
    <xf numFmtId="3" fontId="9" fillId="0" borderId="1" xfId="0" applyNumberFormat="1" applyFont="1" applyBorder="1"/>
    <xf numFmtId="3" fontId="9" fillId="0" borderId="3" xfId="0" applyNumberFormat="1" applyFont="1" applyBorder="1"/>
    <xf numFmtId="169" fontId="8" fillId="0" borderId="0" xfId="1" applyNumberFormat="1" applyFont="1"/>
    <xf numFmtId="169" fontId="8" fillId="0" borderId="1" xfId="0" applyNumberFormat="1" applyFont="1" applyBorder="1" applyAlignment="1">
      <alignment horizontal="right"/>
    </xf>
    <xf numFmtId="0" fontId="8" fillId="0" borderId="0" xfId="0" applyFont="1" applyBorder="1"/>
    <xf numFmtId="0" fontId="8" fillId="0" borderId="48" xfId="0" applyFont="1" applyBorder="1"/>
    <xf numFmtId="0" fontId="8" fillId="0" borderId="55" xfId="0" applyFont="1" applyBorder="1"/>
    <xf numFmtId="3" fontId="8" fillId="0" borderId="56" xfId="1" applyNumberFormat="1" applyFont="1" applyBorder="1"/>
    <xf numFmtId="3" fontId="8" fillId="0" borderId="56" xfId="0" applyNumberFormat="1" applyFont="1" applyBorder="1"/>
    <xf numFmtId="169" fontId="8" fillId="0" borderId="4" xfId="0" applyNumberFormat="1" applyFont="1" applyBorder="1"/>
    <xf numFmtId="0" fontId="8" fillId="0" borderId="0" xfId="0" applyFont="1" applyBorder="1"/>
    <xf numFmtId="3" fontId="8" fillId="0" borderId="47" xfId="0" applyNumberFormat="1" applyFont="1" applyBorder="1" applyAlignment="1"/>
    <xf numFmtId="0" fontId="20" fillId="0" borderId="0" xfId="0" applyFont="1"/>
    <xf numFmtId="0" fontId="21" fillId="0" borderId="0" xfId="0" applyFont="1"/>
    <xf numFmtId="3" fontId="21" fillId="0" borderId="0" xfId="0" applyNumberFormat="1" applyFont="1"/>
    <xf numFmtId="165" fontId="21" fillId="0" borderId="0" xfId="1" applyNumberFormat="1" applyFont="1"/>
    <xf numFmtId="0" fontId="26" fillId="0" borderId="0" xfId="0" applyFont="1" applyBorder="1" applyAlignment="1">
      <alignment horizontal="left" vertical="top"/>
    </xf>
    <xf numFmtId="3" fontId="25" fillId="0" borderId="60" xfId="0" applyNumberFormat="1" applyFont="1" applyBorder="1"/>
    <xf numFmtId="3" fontId="25" fillId="0" borderId="61" xfId="0" applyNumberFormat="1" applyFont="1" applyBorder="1"/>
    <xf numFmtId="3" fontId="25" fillId="0" borderId="62" xfId="0" applyNumberFormat="1" applyFont="1" applyBorder="1"/>
    <xf numFmtId="3" fontId="25" fillId="0" borderId="64" xfId="0" applyNumberFormat="1" applyFont="1" applyBorder="1"/>
    <xf numFmtId="3" fontId="25" fillId="0" borderId="65" xfId="0" applyNumberFormat="1" applyFont="1" applyBorder="1"/>
    <xf numFmtId="3" fontId="21" fillId="0" borderId="66" xfId="0" applyNumberFormat="1" applyFont="1" applyBorder="1"/>
    <xf numFmtId="3" fontId="21" fillId="0" borderId="69" xfId="0" applyNumberFormat="1" applyFont="1" applyBorder="1"/>
    <xf numFmtId="3" fontId="25" fillId="0" borderId="70" xfId="0" applyNumberFormat="1" applyFont="1" applyBorder="1"/>
    <xf numFmtId="3" fontId="25" fillId="0" borderId="71" xfId="0" applyNumberFormat="1" applyFont="1" applyBorder="1"/>
    <xf numFmtId="3" fontId="25" fillId="0" borderId="66" xfId="0" applyNumberFormat="1" applyFont="1" applyBorder="1"/>
    <xf numFmtId="0" fontId="25" fillId="0" borderId="63" xfId="0" applyFont="1" applyBorder="1"/>
    <xf numFmtId="3" fontId="21" fillId="0" borderId="70" xfId="0" applyNumberFormat="1" applyFont="1" applyBorder="1"/>
    <xf numFmtId="3" fontId="21" fillId="0" borderId="65" xfId="0" applyNumberFormat="1" applyFont="1" applyBorder="1"/>
    <xf numFmtId="0" fontId="21" fillId="0" borderId="63" xfId="0" applyFont="1" applyBorder="1" applyAlignment="1">
      <alignment horizontal="left" indent="3"/>
    </xf>
    <xf numFmtId="0" fontId="21" fillId="0" borderId="67" xfId="0" applyFont="1" applyBorder="1" applyAlignment="1">
      <alignment horizontal="left" indent="3"/>
    </xf>
    <xf numFmtId="3" fontId="21" fillId="0" borderId="72" xfId="0" applyNumberFormat="1" applyFont="1" applyBorder="1"/>
    <xf numFmtId="3" fontId="21" fillId="0" borderId="68" xfId="0" applyNumberFormat="1" applyFont="1" applyBorder="1"/>
    <xf numFmtId="3" fontId="25" fillId="0" borderId="74" xfId="0" applyNumberFormat="1" applyFont="1" applyBorder="1"/>
    <xf numFmtId="3" fontId="25" fillId="0" borderId="75" xfId="0" applyNumberFormat="1" applyFont="1" applyBorder="1"/>
    <xf numFmtId="3" fontId="25" fillId="0" borderId="76" xfId="0" applyNumberFormat="1" applyFont="1" applyBorder="1"/>
    <xf numFmtId="0" fontId="25" fillId="0" borderId="63" xfId="0" applyFont="1" applyBorder="1" applyAlignment="1">
      <alignment horizontal="left"/>
    </xf>
    <xf numFmtId="3" fontId="21" fillId="0" borderId="64" xfId="0" applyNumberFormat="1" applyFont="1" applyBorder="1"/>
    <xf numFmtId="3" fontId="21" fillId="0" borderId="77" xfId="0" applyNumberFormat="1" applyFont="1" applyBorder="1"/>
    <xf numFmtId="3" fontId="21" fillId="0" borderId="75" xfId="0" applyNumberFormat="1" applyFont="1" applyBorder="1"/>
    <xf numFmtId="3" fontId="21" fillId="0" borderId="76" xfId="0" applyNumberFormat="1" applyFont="1" applyBorder="1"/>
    <xf numFmtId="0" fontId="20" fillId="0" borderId="0" xfId="0" applyFont="1" applyAlignment="1"/>
    <xf numFmtId="0" fontId="19" fillId="0" borderId="0" xfId="0" applyFont="1" applyAlignment="1"/>
    <xf numFmtId="0" fontId="23" fillId="0" borderId="0" xfId="0" applyFont="1" applyAlignment="1"/>
    <xf numFmtId="0" fontId="21" fillId="0" borderId="0" xfId="0" applyFont="1" applyAlignment="1"/>
    <xf numFmtId="0" fontId="24" fillId="0" borderId="0" xfId="0" applyFont="1" applyAlignment="1"/>
    <xf numFmtId="0" fontId="21" fillId="0" borderId="79" xfId="0" applyFont="1" applyBorder="1" applyAlignment="1">
      <alignment horizontal="center" vertical="top" wrapText="1"/>
    </xf>
    <xf numFmtId="0" fontId="21" fillId="0" borderId="80" xfId="0" applyFont="1" applyBorder="1" applyAlignment="1">
      <alignment horizontal="center" vertical="top" wrapText="1"/>
    </xf>
    <xf numFmtId="0" fontId="21" fillId="0" borderId="81" xfId="0" applyFont="1" applyBorder="1" applyAlignment="1">
      <alignment horizontal="left" indent="3"/>
    </xf>
    <xf numFmtId="3" fontId="21" fillId="0" borderId="82" xfId="0" applyNumberFormat="1" applyFont="1" applyBorder="1"/>
    <xf numFmtId="3" fontId="21" fillId="0" borderId="83" xfId="0" applyNumberFormat="1" applyFont="1" applyBorder="1"/>
    <xf numFmtId="0" fontId="21" fillId="0" borderId="70" xfId="0" applyFont="1" applyBorder="1" applyAlignment="1">
      <alignment horizontal="left" indent="3"/>
    </xf>
    <xf numFmtId="0" fontId="21" fillId="0" borderId="84" xfId="0" applyFont="1" applyBorder="1" applyAlignment="1">
      <alignment horizontal="left" indent="3"/>
    </xf>
    <xf numFmtId="3" fontId="21" fillId="0" borderId="85" xfId="0" applyNumberFormat="1" applyFont="1" applyBorder="1"/>
    <xf numFmtId="3" fontId="21" fillId="0" borderId="86" xfId="0" applyNumberFormat="1" applyFont="1" applyBorder="1"/>
    <xf numFmtId="0" fontId="25" fillId="0" borderId="87" xfId="0" applyFont="1" applyBorder="1" applyAlignment="1">
      <alignment horizontal="right"/>
    </xf>
    <xf numFmtId="3" fontId="25" fillId="0" borderId="79" xfId="0" applyNumberFormat="1" applyFont="1" applyBorder="1"/>
    <xf numFmtId="3" fontId="25" fillId="0" borderId="80" xfId="0" applyNumberFormat="1" applyFont="1" applyBorder="1"/>
    <xf numFmtId="0" fontId="21" fillId="0" borderId="70" xfId="0" applyFont="1" applyBorder="1" applyAlignment="1">
      <alignment horizontal="left" indent="5"/>
    </xf>
    <xf numFmtId="0" fontId="21" fillId="0" borderId="84" xfId="0" applyFont="1" applyBorder="1" applyAlignment="1">
      <alignment horizontal="left" indent="5"/>
    </xf>
    <xf numFmtId="0" fontId="21" fillId="0" borderId="57" xfId="0" applyFont="1" applyBorder="1" applyAlignment="1">
      <alignment horizontal="left" indent="3"/>
    </xf>
    <xf numFmtId="3" fontId="21" fillId="0" borderId="58" xfId="0" applyNumberFormat="1" applyFont="1" applyBorder="1"/>
    <xf numFmtId="3" fontId="21" fillId="0" borderId="59" xfId="0" applyNumberFormat="1" applyFont="1" applyBorder="1"/>
    <xf numFmtId="0" fontId="22" fillId="0" borderId="0" xfId="0" applyFont="1" applyBorder="1" applyAlignment="1">
      <alignment horizontal="center"/>
    </xf>
    <xf numFmtId="0" fontId="21" fillId="0" borderId="0" xfId="0" applyFont="1" applyBorder="1"/>
    <xf numFmtId="0" fontId="20" fillId="0" borderId="0" xfId="0" applyFont="1" applyBorder="1"/>
    <xf numFmtId="0" fontId="26" fillId="0" borderId="0" xfId="0" applyFont="1" applyBorder="1"/>
    <xf numFmtId="0" fontId="27" fillId="0" borderId="0" xfId="0" applyFont="1" applyBorder="1"/>
    <xf numFmtId="0" fontId="25" fillId="0" borderId="0" xfId="0" applyFont="1" applyBorder="1"/>
    <xf numFmtId="0" fontId="19" fillId="0" borderId="0" xfId="0" applyFont="1" applyBorder="1" applyAlignment="1"/>
    <xf numFmtId="0" fontId="23" fillId="0" borderId="0" xfId="0" applyFont="1" applyBorder="1" applyAlignment="1"/>
    <xf numFmtId="0" fontId="21" fillId="0" borderId="0" xfId="0" applyFont="1" applyBorder="1" applyAlignment="1"/>
    <xf numFmtId="0" fontId="24" fillId="0" borderId="0" xfId="0" applyFont="1" applyBorder="1" applyAlignment="1"/>
    <xf numFmtId="0" fontId="25" fillId="0" borderId="0" xfId="0" applyFont="1" applyBorder="1" applyAlignment="1"/>
    <xf numFmtId="0" fontId="31" fillId="0" borderId="0" xfId="0" applyFont="1" applyAlignment="1"/>
    <xf numFmtId="0" fontId="34" fillId="0" borderId="88" xfId="0" applyFont="1" applyBorder="1" applyAlignment="1">
      <alignment vertical="center" wrapText="1"/>
    </xf>
    <xf numFmtId="0" fontId="32" fillId="0" borderId="0" xfId="0" applyFont="1"/>
    <xf numFmtId="0" fontId="24" fillId="0" borderId="0" xfId="0" applyFont="1"/>
    <xf numFmtId="0" fontId="32" fillId="0" borderId="46" xfId="0" applyFont="1" applyBorder="1" applyAlignment="1">
      <alignment vertical="top"/>
    </xf>
    <xf numFmtId="0" fontId="32" fillId="0" borderId="0" xfId="0" applyFont="1" applyBorder="1"/>
    <xf numFmtId="0" fontId="32" fillId="0" borderId="48" xfId="0" applyFont="1" applyBorder="1"/>
    <xf numFmtId="3" fontId="34" fillId="0" borderId="28" xfId="0" applyNumberFormat="1" applyFont="1" applyBorder="1"/>
    <xf numFmtId="3" fontId="34" fillId="0" borderId="45" xfId="0" applyNumberFormat="1" applyFont="1" applyBorder="1"/>
    <xf numFmtId="3" fontId="32" fillId="0" borderId="89" xfId="0" applyNumberFormat="1" applyFont="1" applyBorder="1"/>
    <xf numFmtId="3" fontId="32" fillId="0" borderId="13" xfId="0" applyNumberFormat="1" applyFont="1" applyBorder="1" applyAlignment="1">
      <alignment vertical="top"/>
    </xf>
    <xf numFmtId="3" fontId="32" fillId="0" borderId="16" xfId="0" applyNumberFormat="1" applyFont="1" applyBorder="1" applyAlignment="1">
      <alignment vertical="top"/>
    </xf>
    <xf numFmtId="0" fontId="32" fillId="0" borderId="52" xfId="0" applyFont="1" applyBorder="1" applyAlignment="1">
      <alignment vertical="top"/>
    </xf>
    <xf numFmtId="3" fontId="34" fillId="0" borderId="31" xfId="0" applyNumberFormat="1" applyFont="1" applyBorder="1"/>
    <xf numFmtId="0" fontId="32" fillId="0" borderId="95" xfId="0" applyFont="1" applyBorder="1" applyAlignment="1">
      <alignment vertical="top"/>
    </xf>
    <xf numFmtId="3" fontId="34" fillId="0" borderId="96" xfId="0" applyNumberFormat="1" applyFont="1" applyBorder="1"/>
    <xf numFmtId="0" fontId="31" fillId="0" borderId="0" xfId="0" applyFont="1"/>
    <xf numFmtId="0" fontId="35" fillId="0" borderId="0" xfId="0" applyFont="1" applyBorder="1"/>
    <xf numFmtId="0" fontId="24" fillId="0" borderId="0" xfId="0" applyFont="1" applyBorder="1"/>
    <xf numFmtId="0" fontId="8" fillId="0" borderId="0" xfId="0" applyFont="1" applyBorder="1"/>
    <xf numFmtId="166" fontId="9" fillId="0" borderId="90" xfId="0" applyNumberFormat="1" applyFont="1" applyBorder="1"/>
    <xf numFmtId="166" fontId="8" fillId="0" borderId="90" xfId="0" applyNumberFormat="1" applyFont="1" applyBorder="1" applyAlignment="1">
      <alignment horizontal="right"/>
    </xf>
    <xf numFmtId="0" fontId="8" fillId="0" borderId="0" xfId="0" applyFont="1" applyBorder="1"/>
    <xf numFmtId="0" fontId="9" fillId="0" borderId="41" xfId="0" applyFont="1" applyBorder="1"/>
    <xf numFmtId="0" fontId="8" fillId="0" borderId="98" xfId="0" applyFont="1" applyBorder="1"/>
    <xf numFmtId="0" fontId="9" fillId="0" borderId="6" xfId="0" applyFont="1" applyBorder="1"/>
    <xf numFmtId="0" fontId="37" fillId="0" borderId="0" xfId="0" applyFont="1"/>
    <xf numFmtId="0" fontId="38" fillId="0" borderId="0" xfId="2" applyFont="1"/>
    <xf numFmtId="0" fontId="37" fillId="0" borderId="0" xfId="0" applyFont="1" applyBorder="1"/>
    <xf numFmtId="0" fontId="39" fillId="0" borderId="0" xfId="0" applyFont="1" applyAlignment="1">
      <alignment vertical="top"/>
    </xf>
    <xf numFmtId="0" fontId="37" fillId="0" borderId="0" xfId="0" applyFont="1" applyFill="1"/>
    <xf numFmtId="0" fontId="37" fillId="0" borderId="5" xfId="0" applyFont="1" applyBorder="1"/>
    <xf numFmtId="0" fontId="37" fillId="0" borderId="4" xfId="0" applyFont="1" applyBorder="1"/>
    <xf numFmtId="0" fontId="37" fillId="0" borderId="1" xfId="0" applyFont="1" applyBorder="1"/>
    <xf numFmtId="0" fontId="37" fillId="0" borderId="22" xfId="0" applyFont="1" applyBorder="1" applyAlignment="1">
      <alignment horizontal="center"/>
    </xf>
    <xf numFmtId="0" fontId="37" fillId="0" borderId="23" xfId="0" applyFont="1" applyBorder="1" applyAlignment="1">
      <alignment horizontal="center"/>
    </xf>
    <xf numFmtId="0" fontId="37" fillId="0" borderId="3" xfId="0" applyFont="1" applyBorder="1" applyAlignment="1">
      <alignment horizontal="center"/>
    </xf>
    <xf numFmtId="0" fontId="37" fillId="0" borderId="24" xfId="0" applyFont="1" applyBorder="1" applyAlignment="1">
      <alignment horizontal="center"/>
    </xf>
    <xf numFmtId="0" fontId="37" fillId="0" borderId="2" xfId="0" applyFont="1" applyBorder="1" applyAlignment="1">
      <alignment horizontal="center"/>
    </xf>
    <xf numFmtId="168" fontId="37" fillId="0" borderId="15" xfId="0" applyNumberFormat="1" applyFont="1" applyBorder="1"/>
    <xf numFmtId="168" fontId="37" fillId="0" borderId="13" xfId="0" applyNumberFormat="1" applyFont="1" applyBorder="1"/>
    <xf numFmtId="168" fontId="37" fillId="0" borderId="14" xfId="0" applyNumberFormat="1" applyFont="1" applyBorder="1"/>
    <xf numFmtId="168" fontId="37" fillId="0" borderId="12" xfId="0" applyNumberFormat="1" applyFont="1" applyBorder="1"/>
    <xf numFmtId="168" fontId="37" fillId="0" borderId="0" xfId="0" applyNumberFormat="1" applyFont="1" applyBorder="1"/>
    <xf numFmtId="167" fontId="37" fillId="0" borderId="14" xfId="0" applyNumberFormat="1" applyFont="1" applyBorder="1"/>
    <xf numFmtId="167" fontId="37" fillId="0" borderId="0" xfId="0" applyNumberFormat="1" applyFont="1" applyBorder="1"/>
    <xf numFmtId="168" fontId="37" fillId="0" borderId="16" xfId="0" applyNumberFormat="1" applyFont="1" applyBorder="1"/>
    <xf numFmtId="168" fontId="37" fillId="0" borderId="43" xfId="0" applyNumberFormat="1" applyFont="1" applyBorder="1"/>
    <xf numFmtId="168" fontId="37" fillId="0" borderId="28" xfId="0" applyNumberFormat="1" applyFont="1" applyBorder="1"/>
    <xf numFmtId="168" fontId="37" fillId="0" borderId="44" xfId="0" applyNumberFormat="1" applyFont="1" applyBorder="1"/>
    <xf numFmtId="168" fontId="37" fillId="0" borderId="40" xfId="0" applyNumberFormat="1" applyFont="1" applyBorder="1"/>
    <xf numFmtId="168" fontId="37" fillId="0" borderId="44" xfId="1" applyNumberFormat="1" applyFont="1" applyBorder="1"/>
    <xf numFmtId="168" fontId="37" fillId="0" borderId="19" xfId="0" applyNumberFormat="1" applyFont="1" applyBorder="1"/>
    <xf numFmtId="168" fontId="37" fillId="0" borderId="18" xfId="0" applyNumberFormat="1" applyFont="1" applyBorder="1"/>
    <xf numFmtId="168" fontId="37" fillId="0" borderId="3" xfId="0" applyNumberFormat="1" applyFont="1" applyBorder="1"/>
    <xf numFmtId="168" fontId="37" fillId="0" borderId="17" xfId="0" applyNumberFormat="1" applyFont="1" applyBorder="1"/>
    <xf numFmtId="168" fontId="37" fillId="0" borderId="2" xfId="0" applyNumberFormat="1" applyFont="1" applyBorder="1"/>
    <xf numFmtId="168" fontId="37" fillId="0" borderId="35" xfId="0" applyNumberFormat="1" applyFont="1" applyBorder="1"/>
    <xf numFmtId="168" fontId="37" fillId="0" borderId="34" xfId="0" applyNumberFormat="1" applyFont="1" applyBorder="1"/>
    <xf numFmtId="0" fontId="9" fillId="0" borderId="39" xfId="0" applyFont="1" applyBorder="1" applyAlignment="1">
      <alignment horizontal="center"/>
    </xf>
    <xf numFmtId="0" fontId="9" fillId="0" borderId="0" xfId="0" applyFont="1" applyBorder="1" applyAlignment="1">
      <alignment horizontal="center"/>
    </xf>
    <xf numFmtId="41" fontId="8" fillId="0" borderId="40" xfId="0" applyNumberFormat="1" applyFont="1" applyBorder="1" applyAlignment="1">
      <alignment horizontal="center"/>
    </xf>
    <xf numFmtId="41" fontId="9" fillId="0" borderId="0" xfId="0" applyNumberFormat="1" applyFont="1" applyBorder="1" applyAlignment="1">
      <alignment horizontal="center"/>
    </xf>
    <xf numFmtId="0" fontId="9" fillId="0" borderId="90" xfId="0" applyFont="1" applyBorder="1" applyAlignment="1">
      <alignment horizontal="center"/>
    </xf>
    <xf numFmtId="0" fontId="8" fillId="0" borderId="31" xfId="0" applyFont="1" applyBorder="1" applyAlignment="1">
      <alignment horizontal="center"/>
    </xf>
    <xf numFmtId="41" fontId="8" fillId="0" borderId="28" xfId="0" applyNumberFormat="1" applyFont="1" applyBorder="1" applyAlignment="1">
      <alignment horizontal="center"/>
    </xf>
    <xf numFmtId="166" fontId="8" fillId="0" borderId="31" xfId="0" applyNumberFormat="1" applyFont="1" applyBorder="1"/>
    <xf numFmtId="166" fontId="8" fillId="0" borderId="13" xfId="0" applyNumberFormat="1" applyFont="1" applyBorder="1"/>
    <xf numFmtId="166" fontId="8" fillId="0" borderId="13" xfId="0" applyNumberFormat="1" applyFont="1" applyBorder="1" applyAlignment="1">
      <alignment horizontal="right"/>
    </xf>
    <xf numFmtId="166" fontId="8" fillId="0" borderId="28" xfId="0" applyNumberFormat="1" applyFont="1" applyBorder="1" applyAlignment="1">
      <alignment horizontal="right"/>
    </xf>
    <xf numFmtId="166" fontId="8" fillId="0" borderId="28" xfId="0" applyNumberFormat="1" applyFont="1" applyBorder="1"/>
    <xf numFmtId="166" fontId="8" fillId="0" borderId="79" xfId="0" applyNumberFormat="1" applyFont="1" applyBorder="1"/>
    <xf numFmtId="41" fontId="8" fillId="0" borderId="31" xfId="0" applyNumberFormat="1" applyFont="1" applyBorder="1" applyAlignment="1">
      <alignment horizontal="center"/>
    </xf>
    <xf numFmtId="41" fontId="8" fillId="0" borderId="31" xfId="0" applyNumberFormat="1" applyFont="1" applyBorder="1"/>
    <xf numFmtId="166" fontId="9" fillId="0" borderId="28" xfId="0" applyNumberFormat="1" applyFont="1" applyBorder="1"/>
    <xf numFmtId="166" fontId="9" fillId="0" borderId="13" xfId="0" applyNumberFormat="1" applyFont="1" applyBorder="1"/>
    <xf numFmtId="0" fontId="9" fillId="0" borderId="0" xfId="0" applyFont="1" applyBorder="1" applyAlignment="1">
      <alignment horizontal="center"/>
    </xf>
    <xf numFmtId="0" fontId="21" fillId="0" borderId="0" xfId="20" applyFont="1"/>
    <xf numFmtId="0" fontId="20" fillId="0" borderId="0" xfId="20" applyFont="1"/>
    <xf numFmtId="0" fontId="24" fillId="0" borderId="0" xfId="20" applyFont="1"/>
    <xf numFmtId="0" fontId="20" fillId="0" borderId="0" xfId="20" applyFont="1" applyAlignment="1"/>
    <xf numFmtId="3" fontId="25" fillId="0" borderId="59" xfId="20" applyNumberFormat="1" applyFont="1" applyBorder="1"/>
    <xf numFmtId="3" fontId="25" fillId="0" borderId="58" xfId="20" applyNumberFormat="1" applyFont="1" applyBorder="1"/>
    <xf numFmtId="0" fontId="25" fillId="0" borderId="24" xfId="20" applyFont="1" applyBorder="1" applyAlignment="1">
      <alignment horizontal="center"/>
    </xf>
    <xf numFmtId="0" fontId="21" fillId="0" borderId="51" xfId="20" applyFont="1" applyBorder="1"/>
    <xf numFmtId="3" fontId="25" fillId="0" borderId="104" xfId="20" applyNumberFormat="1" applyFont="1" applyBorder="1"/>
    <xf numFmtId="3" fontId="25" fillId="0" borderId="105" xfId="20" applyNumberFormat="1" applyFont="1" applyBorder="1"/>
    <xf numFmtId="0" fontId="25" fillId="0" borderId="106" xfId="20" applyFont="1" applyBorder="1" applyAlignment="1">
      <alignment horizontal="right"/>
    </xf>
    <xf numFmtId="0" fontId="21" fillId="0" borderId="107" xfId="20" applyFont="1" applyBorder="1"/>
    <xf numFmtId="3" fontId="21" fillId="0" borderId="92" xfId="20" applyNumberFormat="1" applyFont="1" applyBorder="1"/>
    <xf numFmtId="3" fontId="21" fillId="0" borderId="91" xfId="20" applyNumberFormat="1" applyFont="1" applyBorder="1"/>
    <xf numFmtId="0" fontId="21" fillId="0" borderId="108" xfId="20" applyFont="1" applyBorder="1" applyAlignment="1">
      <alignment vertical="top" wrapText="1"/>
    </xf>
    <xf numFmtId="0" fontId="21" fillId="0" borderId="109" xfId="20" applyFont="1" applyBorder="1" applyAlignment="1">
      <alignment vertical="top"/>
    </xf>
    <xf numFmtId="0" fontId="21" fillId="0" borderId="110" xfId="20" applyFont="1" applyBorder="1"/>
    <xf numFmtId="0" fontId="21" fillId="0" borderId="111" xfId="20" applyFont="1" applyBorder="1"/>
    <xf numFmtId="0" fontId="25" fillId="0" borderId="112" xfId="20" applyFont="1" applyBorder="1" applyAlignment="1">
      <alignment vertical="top" wrapText="1"/>
    </xf>
    <xf numFmtId="0" fontId="25" fillId="0" borderId="113" xfId="20" applyFont="1" applyBorder="1" applyAlignment="1">
      <alignment vertical="top"/>
    </xf>
    <xf numFmtId="0" fontId="21" fillId="0" borderId="80" xfId="20" applyFont="1" applyBorder="1" applyAlignment="1">
      <alignment horizontal="center" vertical="top" wrapText="1"/>
    </xf>
    <xf numFmtId="0" fontId="21" fillId="0" borderId="79" xfId="20" applyFont="1" applyBorder="1" applyAlignment="1">
      <alignment horizontal="center" vertical="top" wrapText="1"/>
    </xf>
    <xf numFmtId="0" fontId="24" fillId="0" borderId="0" xfId="20" applyFont="1" applyAlignment="1"/>
    <xf numFmtId="0" fontId="21" fillId="0" borderId="0" xfId="20" applyFont="1" applyAlignment="1"/>
    <xf numFmtId="0" fontId="23" fillId="0" borderId="0" xfId="20" applyFont="1" applyAlignment="1"/>
    <xf numFmtId="0" fontId="19" fillId="0" borderId="0" xfId="20" applyFont="1" applyAlignment="1"/>
    <xf numFmtId="0" fontId="8" fillId="0" borderId="38" xfId="0" applyFont="1" applyBorder="1" applyAlignment="1">
      <alignment horizontal="center"/>
    </xf>
    <xf numFmtId="0" fontId="21" fillId="0" borderId="0" xfId="22" applyFont="1"/>
    <xf numFmtId="0" fontId="20" fillId="0" borderId="0" xfId="22" applyFont="1"/>
    <xf numFmtId="0" fontId="20" fillId="0" borderId="0" xfId="22" applyFont="1" applyAlignment="1"/>
    <xf numFmtId="0" fontId="25" fillId="0" borderId="0" xfId="22" applyFont="1"/>
    <xf numFmtId="0" fontId="24" fillId="0" borderId="0" xfId="22" applyFont="1" applyAlignment="1">
      <alignment horizontal="left" wrapText="1"/>
    </xf>
    <xf numFmtId="0" fontId="24" fillId="0" borderId="0" xfId="22" applyFont="1" applyFill="1" applyAlignment="1">
      <alignment horizontal="left" wrapText="1"/>
    </xf>
    <xf numFmtId="0" fontId="24" fillId="0" borderId="0" xfId="22" applyFont="1" applyFill="1" applyAlignment="1">
      <alignment horizontal="left"/>
    </xf>
    <xf numFmtId="0" fontId="21" fillId="0" borderId="0" xfId="22" applyFont="1" applyFill="1"/>
    <xf numFmtId="3" fontId="21" fillId="0" borderId="59" xfId="22" applyNumberFormat="1" applyFont="1" applyBorder="1"/>
    <xf numFmtId="3" fontId="21" fillId="0" borderId="58" xfId="22" applyNumberFormat="1" applyFont="1" applyBorder="1"/>
    <xf numFmtId="0" fontId="21" fillId="0" borderId="57" xfId="22" applyFont="1" applyBorder="1" applyAlignment="1">
      <alignment horizontal="left" indent="3"/>
    </xf>
    <xf numFmtId="3" fontId="21" fillId="0" borderId="94" xfId="22" applyNumberFormat="1" applyFont="1" applyBorder="1"/>
    <xf numFmtId="3" fontId="21" fillId="0" borderId="93" xfId="22" applyNumberFormat="1" applyFont="1" applyBorder="1"/>
    <xf numFmtId="0" fontId="21" fillId="0" borderId="114" xfId="22" applyFont="1" applyBorder="1" applyAlignment="1">
      <alignment horizontal="left" indent="5"/>
    </xf>
    <xf numFmtId="3" fontId="21" fillId="0" borderId="92" xfId="22" applyNumberFormat="1" applyFont="1" applyBorder="1"/>
    <xf numFmtId="3" fontId="21" fillId="0" borderId="91" xfId="22" applyNumberFormat="1" applyFont="1" applyBorder="1"/>
    <xf numFmtId="0" fontId="21" fillId="0" borderId="115" xfId="22" applyFont="1" applyBorder="1" applyAlignment="1">
      <alignment horizontal="left" indent="5"/>
    </xf>
    <xf numFmtId="0" fontId="21" fillId="0" borderId="115" xfId="22" applyFont="1" applyBorder="1" applyAlignment="1">
      <alignment horizontal="left" indent="3"/>
    </xf>
    <xf numFmtId="3" fontId="21" fillId="0" borderId="116" xfId="22" applyNumberFormat="1" applyFont="1" applyBorder="1"/>
    <xf numFmtId="3" fontId="21" fillId="0" borderId="117" xfId="22" applyNumberFormat="1" applyFont="1" applyBorder="1"/>
    <xf numFmtId="0" fontId="21" fillId="0" borderId="118" xfId="22" applyFont="1" applyBorder="1" applyAlignment="1">
      <alignment horizontal="left" indent="3"/>
    </xf>
    <xf numFmtId="3" fontId="21" fillId="0" borderId="104" xfId="22" applyNumberFormat="1" applyFont="1" applyBorder="1"/>
    <xf numFmtId="3" fontId="21" fillId="0" borderId="105" xfId="22" applyNumberFormat="1" applyFont="1" applyBorder="1"/>
    <xf numFmtId="0" fontId="21" fillId="0" borderId="43" xfId="22" applyFont="1" applyBorder="1" applyAlignment="1">
      <alignment horizontal="left" indent="1"/>
    </xf>
    <xf numFmtId="3" fontId="21" fillId="0" borderId="110" xfId="22" applyNumberFormat="1" applyFont="1" applyBorder="1"/>
    <xf numFmtId="3" fontId="21" fillId="0" borderId="111" xfId="22" applyNumberFormat="1" applyFont="1" applyBorder="1"/>
    <xf numFmtId="0" fontId="21" fillId="0" borderId="119" xfId="22" applyFont="1" applyBorder="1" applyAlignment="1">
      <alignment horizontal="left" indent="1"/>
    </xf>
    <xf numFmtId="3" fontId="25" fillId="0" borderId="80" xfId="22" applyNumberFormat="1" applyFont="1" applyBorder="1"/>
    <xf numFmtId="3" fontId="25" fillId="0" borderId="79" xfId="22" applyNumberFormat="1" applyFont="1" applyBorder="1"/>
    <xf numFmtId="0" fontId="25" fillId="0" borderId="87" xfId="22" applyFont="1" applyBorder="1" applyAlignment="1">
      <alignment horizontal="right"/>
    </xf>
    <xf numFmtId="3" fontId="21" fillId="0" borderId="45" xfId="22" applyNumberFormat="1" applyFont="1" applyBorder="1"/>
    <xf numFmtId="3" fontId="21" fillId="0" borderId="28" xfId="22" applyNumberFormat="1" applyFont="1" applyBorder="1"/>
    <xf numFmtId="0" fontId="21" fillId="0" borderId="43" xfId="22" applyFont="1" applyBorder="1" applyAlignment="1">
      <alignment horizontal="left" indent="3"/>
    </xf>
    <xf numFmtId="0" fontId="21" fillId="0" borderId="120" xfId="22" applyFont="1" applyBorder="1" applyAlignment="1">
      <alignment horizontal="left" indent="3"/>
    </xf>
    <xf numFmtId="0" fontId="21" fillId="0" borderId="80" xfId="22" applyFont="1" applyBorder="1" applyAlignment="1">
      <alignment horizontal="center" vertical="top" wrapText="1"/>
    </xf>
    <xf numFmtId="0" fontId="21" fillId="0" borderId="79" xfId="22" applyFont="1" applyBorder="1" applyAlignment="1">
      <alignment horizontal="center" vertical="top" wrapText="1"/>
    </xf>
    <xf numFmtId="0" fontId="25" fillId="0" borderId="9" xfId="22" applyFont="1" applyBorder="1" applyAlignment="1">
      <alignment horizontal="center" vertical="center" wrapText="1"/>
    </xf>
    <xf numFmtId="0" fontId="24" fillId="0" borderId="0" xfId="22" applyFont="1" applyAlignment="1"/>
    <xf numFmtId="0" fontId="24" fillId="0" borderId="88" xfId="22" applyFont="1" applyBorder="1" applyAlignment="1"/>
    <xf numFmtId="0" fontId="21" fillId="0" borderId="0" xfId="22" applyFont="1" applyAlignment="1"/>
    <xf numFmtId="0" fontId="23" fillId="0" borderId="0" xfId="22" applyFont="1" applyAlignment="1"/>
    <xf numFmtId="0" fontId="19" fillId="0" borderId="0" xfId="22" applyFont="1" applyAlignment="1"/>
    <xf numFmtId="0" fontId="21" fillId="0" borderId="0" xfId="23" applyFont="1"/>
    <xf numFmtId="0" fontId="20" fillId="0" borderId="0" xfId="23" applyFont="1"/>
    <xf numFmtId="3" fontId="21" fillId="0" borderId="92" xfId="23" applyNumberFormat="1" applyFont="1" applyBorder="1"/>
    <xf numFmtId="3" fontId="21" fillId="0" borderId="91" xfId="23" applyNumberFormat="1" applyFont="1" applyBorder="1"/>
    <xf numFmtId="0" fontId="21" fillId="0" borderId="115" xfId="23" applyFont="1" applyBorder="1" applyAlignment="1">
      <alignment horizontal="left" indent="3"/>
    </xf>
    <xf numFmtId="3" fontId="21" fillId="0" borderId="110" xfId="23" applyNumberFormat="1" applyFont="1" applyBorder="1"/>
    <xf numFmtId="3" fontId="21" fillId="0" borderId="111" xfId="23" applyNumberFormat="1" applyFont="1" applyBorder="1"/>
    <xf numFmtId="0" fontId="21" fillId="0" borderId="80" xfId="23" applyFont="1" applyBorder="1" applyAlignment="1">
      <alignment horizontal="center" vertical="top" wrapText="1"/>
    </xf>
    <xf numFmtId="0" fontId="21" fillId="0" borderId="79" xfId="23" applyFont="1" applyBorder="1" applyAlignment="1">
      <alignment horizontal="center" vertical="top" wrapText="1"/>
    </xf>
    <xf numFmtId="3" fontId="21" fillId="0" borderId="104" xfId="23" applyNumberFormat="1" applyFont="1" applyBorder="1"/>
    <xf numFmtId="3" fontId="21" fillId="0" borderId="105" xfId="23" applyNumberFormat="1" applyFont="1" applyBorder="1"/>
    <xf numFmtId="0" fontId="21" fillId="0" borderId="121" xfId="23" applyFont="1" applyBorder="1" applyAlignment="1">
      <alignment horizontal="left" indent="3"/>
    </xf>
    <xf numFmtId="0" fontId="21" fillId="0" borderId="120" xfId="23" applyFont="1" applyBorder="1" applyAlignment="1">
      <alignment horizontal="left" indent="3"/>
    </xf>
    <xf numFmtId="0" fontId="24" fillId="0" borderId="0" xfId="23" applyFont="1" applyAlignment="1"/>
    <xf numFmtId="0" fontId="21" fillId="0" borderId="0" xfId="23" applyFont="1" applyAlignment="1"/>
    <xf numFmtId="0" fontId="23" fillId="0" borderId="0" xfId="23" applyFont="1" applyAlignment="1"/>
    <xf numFmtId="0" fontId="19" fillId="0" borderId="0" xfId="23" applyFont="1" applyAlignment="1"/>
    <xf numFmtId="0" fontId="20" fillId="0" borderId="0" xfId="23" applyFont="1" applyAlignment="1"/>
    <xf numFmtId="0" fontId="25" fillId="0" borderId="0" xfId="23" applyFont="1"/>
    <xf numFmtId="0" fontId="21" fillId="0" borderId="0" xfId="23" applyFont="1" applyAlignment="1">
      <alignment horizontal="left" wrapText="1"/>
    </xf>
    <xf numFmtId="3" fontId="21" fillId="0" borderId="59" xfId="23" applyNumberFormat="1" applyFont="1" applyBorder="1"/>
    <xf numFmtId="3" fontId="21" fillId="0" borderId="58" xfId="23" applyNumberFormat="1" applyFont="1" applyBorder="1"/>
    <xf numFmtId="3" fontId="21" fillId="0" borderId="94" xfId="23" applyNumberFormat="1" applyFont="1" applyBorder="1"/>
    <xf numFmtId="3" fontId="21" fillId="0" borderId="93" xfId="23" applyNumberFormat="1" applyFont="1" applyBorder="1"/>
    <xf numFmtId="3" fontId="21" fillId="0" borderId="117" xfId="23" applyNumberFormat="1" applyFont="1" applyBorder="1"/>
    <xf numFmtId="3" fontId="21" fillId="0" borderId="116" xfId="23" applyNumberFormat="1" applyFont="1" applyBorder="1"/>
    <xf numFmtId="3" fontId="25" fillId="0" borderId="80" xfId="23" applyNumberFormat="1" applyFont="1" applyBorder="1"/>
    <xf numFmtId="3" fontId="25" fillId="0" borderId="79" xfId="23" applyNumberFormat="1" applyFont="1" applyBorder="1"/>
    <xf numFmtId="0" fontId="25" fillId="0" borderId="87" xfId="23" applyFont="1" applyBorder="1" applyAlignment="1">
      <alignment horizontal="right"/>
    </xf>
    <xf numFmtId="3" fontId="21" fillId="0" borderId="45" xfId="23" applyNumberFormat="1" applyFont="1" applyBorder="1"/>
    <xf numFmtId="3" fontId="21" fillId="0" borderId="28" xfId="23" applyNumberFormat="1" applyFont="1" applyBorder="1"/>
    <xf numFmtId="0" fontId="25" fillId="0" borderId="9" xfId="23" applyFont="1" applyBorder="1" applyAlignment="1">
      <alignment horizontal="center" vertical="center" wrapText="1"/>
    </xf>
    <xf numFmtId="0" fontId="24" fillId="0" borderId="88" xfId="23" applyFont="1" applyBorder="1" applyAlignment="1"/>
    <xf numFmtId="0" fontId="25" fillId="0" borderId="102" xfId="23" applyFont="1" applyBorder="1" applyAlignment="1">
      <alignment horizontal="center"/>
    </xf>
    <xf numFmtId="0" fontId="21" fillId="0" borderId="109" xfId="23" applyFont="1" applyBorder="1" applyAlignment="1">
      <alignment horizontal="left" indent="1"/>
    </xf>
    <xf numFmtId="0" fontId="21" fillId="0" borderId="122" xfId="23" applyFont="1" applyBorder="1" applyAlignment="1">
      <alignment horizontal="left" indent="1"/>
    </xf>
    <xf numFmtId="0" fontId="21" fillId="0" borderId="109" xfId="23" applyFont="1" applyBorder="1"/>
    <xf numFmtId="0" fontId="21" fillId="0" borderId="122" xfId="23" applyFont="1" applyBorder="1"/>
    <xf numFmtId="0" fontId="21" fillId="0" borderId="123" xfId="23" applyFont="1" applyBorder="1"/>
    <xf numFmtId="3" fontId="21" fillId="0" borderId="13" xfId="23" applyNumberFormat="1" applyFont="1" applyBorder="1"/>
    <xf numFmtId="0" fontId="21" fillId="0" borderId="15" xfId="23" applyFont="1" applyBorder="1"/>
    <xf numFmtId="3" fontId="21" fillId="0" borderId="31" xfId="23" applyNumberFormat="1" applyFont="1" applyBorder="1"/>
    <xf numFmtId="0" fontId="21" fillId="0" borderId="119" xfId="23" applyFont="1" applyBorder="1"/>
    <xf numFmtId="0" fontId="21" fillId="0" borderId="0" xfId="24" applyFont="1"/>
    <xf numFmtId="0" fontId="20" fillId="0" borderId="0" xfId="24" applyFont="1"/>
    <xf numFmtId="0" fontId="25" fillId="0" borderId="0" xfId="24" applyFont="1" applyBorder="1"/>
    <xf numFmtId="0" fontId="20" fillId="0" borderId="0" xfId="24" applyFont="1" applyAlignment="1"/>
    <xf numFmtId="3" fontId="21" fillId="0" borderId="13" xfId="24" applyNumberFormat="1" applyFont="1" applyBorder="1"/>
    <xf numFmtId="3" fontId="21" fillId="0" borderId="117" xfId="24" applyNumberFormat="1" applyFont="1" applyBorder="1"/>
    <xf numFmtId="3" fontId="21" fillId="0" borderId="105" xfId="24" applyNumberFormat="1" applyFont="1" applyBorder="1"/>
    <xf numFmtId="3" fontId="21" fillId="0" borderId="111" xfId="24" applyNumberFormat="1" applyFont="1" applyBorder="1"/>
    <xf numFmtId="3" fontId="21" fillId="0" borderId="93" xfId="24" applyNumberFormat="1" applyFont="1" applyBorder="1"/>
    <xf numFmtId="0" fontId="21" fillId="0" borderId="79" xfId="24" applyFont="1" applyBorder="1" applyAlignment="1">
      <alignment horizontal="center" vertical="top" wrapText="1"/>
    </xf>
    <xf numFmtId="0" fontId="21" fillId="0" borderId="0" xfId="24" applyFont="1" applyBorder="1"/>
    <xf numFmtId="0" fontId="21" fillId="0" borderId="0" xfId="24" applyFont="1" applyBorder="1" applyAlignment="1">
      <alignment horizontal="center" vertical="top" wrapText="1"/>
    </xf>
    <xf numFmtId="3" fontId="25" fillId="0" borderId="0" xfId="24" applyNumberFormat="1" applyFont="1" applyBorder="1"/>
    <xf numFmtId="0" fontId="24" fillId="0" borderId="0" xfId="24" applyFont="1" applyAlignment="1"/>
    <xf numFmtId="0" fontId="21" fillId="0" borderId="0" xfId="24" applyFont="1" applyAlignment="1"/>
    <xf numFmtId="0" fontId="23" fillId="0" borderId="0" xfId="24" applyFont="1" applyAlignment="1"/>
    <xf numFmtId="0" fontId="19" fillId="0" borderId="0" xfId="24" applyFont="1" applyAlignment="1"/>
    <xf numFmtId="0" fontId="19" fillId="0" borderId="0" xfId="24" applyFont="1" applyAlignment="1">
      <alignment horizontal="center"/>
    </xf>
    <xf numFmtId="0" fontId="23" fillId="0" borderId="0" xfId="24" applyFont="1" applyAlignment="1">
      <alignment horizontal="center"/>
    </xf>
    <xf numFmtId="0" fontId="21" fillId="0" borderId="0" xfId="24" applyFont="1" applyAlignment="1">
      <alignment horizontal="center"/>
    </xf>
    <xf numFmtId="0" fontId="24" fillId="0" borderId="0" xfId="24" applyFont="1" applyAlignment="1">
      <alignment horizontal="center"/>
    </xf>
    <xf numFmtId="0" fontId="25" fillId="0" borderId="0" xfId="24" applyFont="1" applyBorder="1" applyAlignment="1">
      <alignment horizontal="center" vertical="center" wrapText="1"/>
    </xf>
    <xf numFmtId="0" fontId="40" fillId="0" borderId="0" xfId="25" applyFont="1" applyAlignment="1"/>
    <xf numFmtId="0" fontId="19" fillId="0" borderId="0" xfId="25" applyFont="1" applyAlignment="1"/>
    <xf numFmtId="0" fontId="1" fillId="0" borderId="0" xfId="25" applyFont="1"/>
    <xf numFmtId="0" fontId="23" fillId="0" borderId="0" xfId="25" applyFont="1" applyAlignment="1"/>
    <xf numFmtId="0" fontId="1" fillId="0" borderId="0" xfId="25" applyFont="1" applyAlignment="1"/>
    <xf numFmtId="0" fontId="24" fillId="0" borderId="0" xfId="25" applyFont="1" applyAlignment="1"/>
    <xf numFmtId="0" fontId="25" fillId="0" borderId="0" xfId="25" applyFont="1" applyBorder="1" applyAlignment="1">
      <alignment horizontal="center" vertical="center" wrapText="1"/>
    </xf>
    <xf numFmtId="0" fontId="25" fillId="0" borderId="0" xfId="25" applyFont="1" applyBorder="1" applyAlignment="1">
      <alignment vertical="center" wrapText="1"/>
    </xf>
    <xf numFmtId="0" fontId="1" fillId="0" borderId="79" xfId="25" applyFont="1" applyBorder="1" applyAlignment="1">
      <alignment horizontal="center" vertical="top" wrapText="1"/>
    </xf>
    <xf numFmtId="0" fontId="1" fillId="0" borderId="80" xfId="25" applyFont="1" applyBorder="1" applyAlignment="1">
      <alignment horizontal="center" vertical="top" wrapText="1"/>
    </xf>
    <xf numFmtId="0" fontId="1" fillId="0" borderId="0" xfId="25" applyFont="1" applyBorder="1" applyAlignment="1">
      <alignment horizontal="center" vertical="top" wrapText="1"/>
    </xf>
    <xf numFmtId="3" fontId="1" fillId="0" borderId="111" xfId="25" applyNumberFormat="1" applyFont="1" applyBorder="1"/>
    <xf numFmtId="3" fontId="1" fillId="0" borderId="110" xfId="25" applyNumberFormat="1" applyFont="1" applyBorder="1"/>
    <xf numFmtId="0" fontId="1" fillId="0" borderId="0" xfId="25" applyFont="1" applyBorder="1"/>
    <xf numFmtId="3" fontId="1" fillId="0" borderId="91" xfId="25" applyNumberFormat="1" applyFont="1" applyBorder="1"/>
    <xf numFmtId="3" fontId="1" fillId="0" borderId="92" xfId="25" applyNumberFormat="1" applyFont="1" applyBorder="1"/>
    <xf numFmtId="3" fontId="1" fillId="0" borderId="105" xfId="25" applyNumberFormat="1" applyFont="1" applyBorder="1"/>
    <xf numFmtId="3" fontId="1" fillId="0" borderId="104" xfId="25" applyNumberFormat="1" applyFont="1" applyBorder="1"/>
    <xf numFmtId="0" fontId="25" fillId="0" borderId="57" xfId="25" applyFont="1" applyBorder="1" applyAlignment="1">
      <alignment horizontal="right"/>
    </xf>
    <xf numFmtId="0" fontId="25" fillId="0" borderId="24" xfId="25" applyFont="1" applyBorder="1" applyAlignment="1">
      <alignment horizontal="right"/>
    </xf>
    <xf numFmtId="3" fontId="25" fillId="0" borderId="58" xfId="25" applyNumberFormat="1" applyFont="1" applyBorder="1"/>
    <xf numFmtId="3" fontId="25" fillId="0" borderId="59" xfId="25" applyNumberFormat="1" applyFont="1" applyBorder="1"/>
    <xf numFmtId="0" fontId="25" fillId="0" borderId="0" xfId="25" applyFont="1" applyBorder="1"/>
    <xf numFmtId="0" fontId="20" fillId="0" borderId="0" xfId="25" applyFont="1"/>
    <xf numFmtId="0" fontId="1" fillId="0" borderId="0" xfId="25" applyFont="1" applyAlignment="1">
      <alignment vertical="top" wrapText="1"/>
    </xf>
    <xf numFmtId="0" fontId="1" fillId="0" borderId="112" xfId="25" applyFont="1" applyBorder="1" applyAlignment="1">
      <alignment horizontal="left"/>
    </xf>
    <xf numFmtId="0" fontId="1" fillId="0" borderId="108" xfId="25" applyFont="1" applyBorder="1" applyAlignment="1">
      <alignment horizontal="left"/>
    </xf>
    <xf numFmtId="0" fontId="1" fillId="0" borderId="106" xfId="25" applyFont="1" applyBorder="1" applyAlignment="1">
      <alignment horizontal="left"/>
    </xf>
    <xf numFmtId="0" fontId="1" fillId="0" borderId="120" xfId="25" applyFont="1" applyBorder="1" applyAlignment="1">
      <alignment horizontal="left" indent="2"/>
    </xf>
    <xf numFmtId="0" fontId="1" fillId="0" borderId="115" xfId="25" applyFont="1" applyBorder="1" applyAlignment="1">
      <alignment horizontal="left" indent="2"/>
    </xf>
    <xf numFmtId="0" fontId="1" fillId="0" borderId="121" xfId="25" applyFont="1" applyBorder="1" applyAlignment="1">
      <alignment horizontal="left" indent="2"/>
    </xf>
    <xf numFmtId="0" fontId="1" fillId="0" borderId="73" xfId="0" applyFont="1" applyBorder="1" applyAlignment="1">
      <alignment horizontal="left"/>
    </xf>
    <xf numFmtId="0" fontId="44" fillId="0" borderId="0" xfId="0" applyFont="1" applyAlignment="1"/>
    <xf numFmtId="0" fontId="1" fillId="0" borderId="63" xfId="0" applyFont="1" applyBorder="1" applyAlignment="1">
      <alignment horizontal="left" indent="4"/>
    </xf>
    <xf numFmtId="0" fontId="25" fillId="0" borderId="0" xfId="0" applyFont="1"/>
    <xf numFmtId="3" fontId="25" fillId="0" borderId="126" xfId="0" applyNumberFormat="1" applyFont="1" applyBorder="1"/>
    <xf numFmtId="3" fontId="25" fillId="0" borderId="127" xfId="0" applyNumberFormat="1" applyFont="1" applyBorder="1"/>
    <xf numFmtId="165" fontId="25" fillId="0" borderId="16" xfId="1" applyNumberFormat="1" applyFont="1" applyBorder="1" applyAlignment="1">
      <alignment horizontal="center" vertical="top" wrapText="1"/>
    </xf>
    <xf numFmtId="0" fontId="29" fillId="0" borderId="0" xfId="0" applyFont="1"/>
    <xf numFmtId="0" fontId="27" fillId="0" borderId="0" xfId="0" applyFont="1" applyBorder="1" applyAlignment="1">
      <alignment horizontal="left" vertical="top"/>
    </xf>
    <xf numFmtId="0" fontId="1" fillId="0" borderId="63" xfId="0" applyFont="1" applyBorder="1" applyAlignment="1"/>
    <xf numFmtId="0" fontId="21" fillId="0" borderId="3" xfId="0" applyFont="1" applyBorder="1"/>
    <xf numFmtId="0" fontId="25" fillId="0" borderId="5" xfId="0" applyFont="1" applyBorder="1"/>
    <xf numFmtId="0" fontId="25" fillId="0" borderId="63" xfId="0" applyFont="1" applyBorder="1" applyAlignment="1"/>
    <xf numFmtId="3" fontId="25" fillId="0" borderId="128" xfId="0" applyNumberFormat="1" applyFont="1" applyBorder="1"/>
    <xf numFmtId="3" fontId="21" fillId="0" borderId="84" xfId="0" applyNumberFormat="1" applyFont="1" applyBorder="1"/>
    <xf numFmtId="0" fontId="25" fillId="0" borderId="125" xfId="0" applyFont="1" applyBorder="1" applyAlignment="1">
      <alignment horizontal="left"/>
    </xf>
    <xf numFmtId="3" fontId="25" fillId="0" borderId="57" xfId="0" applyNumberFormat="1" applyFont="1" applyBorder="1" applyAlignment="1">
      <alignment horizontal="center" vertical="top" wrapText="1"/>
    </xf>
    <xf numFmtId="3" fontId="25" fillId="0" borderId="58" xfId="0" applyNumberFormat="1" applyFont="1" applyBorder="1" applyAlignment="1">
      <alignment horizontal="center" vertical="top" wrapText="1"/>
    </xf>
    <xf numFmtId="165" fontId="25" fillId="0" borderId="59" xfId="1" applyNumberFormat="1" applyFont="1" applyBorder="1" applyAlignment="1">
      <alignment horizontal="center" vertical="top" wrapText="1"/>
    </xf>
    <xf numFmtId="3" fontId="21" fillId="0" borderId="91" xfId="20" applyNumberFormat="1" applyFont="1" applyFill="1" applyBorder="1"/>
    <xf numFmtId="3" fontId="34" fillId="0" borderId="13" xfId="0" applyNumberFormat="1" applyFont="1" applyBorder="1" applyAlignment="1">
      <alignment vertical="top"/>
    </xf>
    <xf numFmtId="3" fontId="21" fillId="0" borderId="0" xfId="23" applyNumberFormat="1" applyFont="1"/>
    <xf numFmtId="0" fontId="1" fillId="0" borderId="0" xfId="23" applyFont="1" applyAlignment="1">
      <alignment horizontal="right"/>
    </xf>
    <xf numFmtId="166" fontId="9" fillId="0" borderId="31" xfId="0" applyNumberFormat="1" applyFont="1" applyBorder="1"/>
    <xf numFmtId="166" fontId="9" fillId="0" borderId="30" xfId="0" applyNumberFormat="1" applyFont="1" applyBorder="1"/>
    <xf numFmtId="166" fontId="8" fillId="0" borderId="90" xfId="0" applyNumberFormat="1" applyFont="1" applyBorder="1"/>
    <xf numFmtId="0" fontId="37" fillId="0" borderId="22" xfId="0" applyFont="1" applyBorder="1" applyAlignment="1">
      <alignment horizontal="center" wrapText="1"/>
    </xf>
    <xf numFmtId="170" fontId="8" fillId="0" borderId="14" xfId="0" applyNumberFormat="1" applyFont="1" applyBorder="1" applyAlignment="1">
      <alignment horizontal="right"/>
    </xf>
    <xf numFmtId="3" fontId="8" fillId="0" borderId="55" xfId="0" applyNumberFormat="1" applyFont="1" applyBorder="1"/>
    <xf numFmtId="3" fontId="25" fillId="0" borderId="19" xfId="0" applyNumberFormat="1" applyFont="1" applyBorder="1"/>
    <xf numFmtId="3" fontId="25" fillId="0" borderId="99" xfId="0" applyNumberFormat="1" applyFont="1" applyBorder="1"/>
    <xf numFmtId="3" fontId="25" fillId="0" borderId="100" xfId="0" applyNumberFormat="1" applyFont="1" applyBorder="1"/>
    <xf numFmtId="3" fontId="25" fillId="0" borderId="129" xfId="0" applyNumberFormat="1" applyFont="1" applyBorder="1"/>
    <xf numFmtId="3" fontId="25" fillId="0" borderId="85" xfId="0" applyNumberFormat="1" applyFont="1" applyBorder="1"/>
    <xf numFmtId="3" fontId="25" fillId="0" borderId="86" xfId="0" applyNumberFormat="1" applyFont="1" applyBorder="1"/>
    <xf numFmtId="3" fontId="25" fillId="0" borderId="84" xfId="0" applyNumberFormat="1" applyFont="1" applyBorder="1"/>
    <xf numFmtId="0" fontId="1" fillId="0" borderId="63" xfId="0" applyFont="1" applyBorder="1" applyAlignment="1">
      <alignment horizontal="left" indent="5"/>
    </xf>
    <xf numFmtId="0" fontId="1" fillId="0" borderId="79" xfId="23" applyFont="1" applyBorder="1" applyAlignment="1">
      <alignment horizontal="center" vertical="top" wrapText="1"/>
    </xf>
    <xf numFmtId="0" fontId="1" fillId="0" borderId="120" xfId="23" applyFont="1" applyBorder="1" applyAlignment="1">
      <alignment horizontal="left" indent="1"/>
    </xf>
    <xf numFmtId="0" fontId="21" fillId="0" borderId="115" xfId="23" applyFont="1" applyBorder="1" applyAlignment="1">
      <alignment horizontal="left" indent="1"/>
    </xf>
    <xf numFmtId="0" fontId="21" fillId="0" borderId="43" xfId="23" applyFont="1" applyBorder="1" applyAlignment="1">
      <alignment horizontal="left" indent="1"/>
    </xf>
    <xf numFmtId="0" fontId="21" fillId="0" borderId="118" xfId="23" applyFont="1" applyBorder="1" applyAlignment="1">
      <alignment horizontal="left" indent="1"/>
    </xf>
    <xf numFmtId="0" fontId="21" fillId="0" borderId="114" xfId="23" applyFont="1" applyBorder="1" applyAlignment="1">
      <alignment horizontal="left" indent="3"/>
    </xf>
    <xf numFmtId="0" fontId="21" fillId="0" borderId="57" xfId="23" applyFont="1" applyBorder="1" applyAlignment="1">
      <alignment horizontal="left" indent="1"/>
    </xf>
    <xf numFmtId="3" fontId="25" fillId="0" borderId="15" xfId="0" applyNumberFormat="1" applyFont="1" applyBorder="1"/>
    <xf numFmtId="3" fontId="25" fillId="0" borderId="13" xfId="0" applyNumberFormat="1" applyFont="1" applyBorder="1"/>
    <xf numFmtId="0" fontId="1" fillId="0" borderId="63" xfId="0" applyFont="1" applyBorder="1" applyAlignment="1">
      <alignment horizontal="left" indent="3"/>
    </xf>
    <xf numFmtId="0" fontId="21" fillId="0" borderId="79" xfId="24" applyFont="1" applyFill="1" applyBorder="1" applyAlignment="1">
      <alignment horizontal="center" vertical="top" wrapText="1"/>
    </xf>
    <xf numFmtId="3" fontId="21" fillId="0" borderId="111" xfId="24" applyNumberFormat="1" applyFont="1" applyFill="1" applyBorder="1"/>
    <xf numFmtId="3" fontId="21" fillId="0" borderId="117" xfId="24" applyNumberFormat="1" applyFont="1" applyFill="1" applyBorder="1"/>
    <xf numFmtId="3" fontId="21" fillId="0" borderId="93" xfId="24" applyNumberFormat="1" applyFont="1" applyFill="1" applyBorder="1"/>
    <xf numFmtId="3" fontId="21" fillId="0" borderId="28" xfId="24" applyNumberFormat="1" applyFont="1" applyFill="1" applyBorder="1"/>
    <xf numFmtId="3" fontId="21" fillId="0" borderId="105" xfId="24" applyNumberFormat="1" applyFont="1" applyFill="1" applyBorder="1"/>
    <xf numFmtId="3" fontId="21" fillId="0" borderId="13" xfId="24" applyNumberFormat="1" applyFont="1" applyFill="1" applyBorder="1"/>
    <xf numFmtId="0" fontId="8" fillId="0" borderId="46" xfId="0" applyFont="1" applyBorder="1" applyAlignment="1">
      <alignment horizontal="left" indent="1"/>
    </xf>
    <xf numFmtId="0" fontId="21" fillId="0" borderId="0" xfId="23" applyFont="1" applyAlignment="1">
      <alignment horizontal="left" wrapText="1"/>
    </xf>
    <xf numFmtId="0" fontId="24" fillId="0" borderId="103" xfId="23" applyFont="1" applyBorder="1" applyAlignment="1"/>
    <xf numFmtId="3" fontId="9" fillId="0" borderId="0" xfId="0" applyNumberFormat="1" applyFont="1"/>
    <xf numFmtId="169" fontId="8" fillId="0" borderId="0" xfId="0" applyNumberFormat="1" applyFont="1"/>
    <xf numFmtId="169" fontId="8" fillId="0" borderId="39" xfId="0" applyNumberFormat="1" applyFont="1" applyBorder="1"/>
    <xf numFmtId="0" fontId="1" fillId="0" borderId="0" xfId="23" applyFont="1"/>
    <xf numFmtId="0" fontId="1" fillId="0" borderId="0" xfId="0" applyFont="1"/>
    <xf numFmtId="0" fontId="25" fillId="0" borderId="79"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1" fillId="0" borderId="13" xfId="0" applyFont="1" applyBorder="1" applyAlignment="1">
      <alignment horizontal="left" indent="2"/>
    </xf>
    <xf numFmtId="165" fontId="1" fillId="0" borderId="0" xfId="1" applyNumberFormat="1" applyFont="1"/>
    <xf numFmtId="165" fontId="1" fillId="0" borderId="13" xfId="1" applyNumberFormat="1" applyFont="1" applyBorder="1"/>
    <xf numFmtId="165" fontId="1" fillId="0" borderId="90" xfId="1" applyNumberFormat="1" applyFont="1" applyBorder="1"/>
    <xf numFmtId="0" fontId="1" fillId="0" borderId="28" xfId="0" applyFont="1" applyBorder="1" applyAlignment="1">
      <alignment horizontal="left" indent="2"/>
    </xf>
    <xf numFmtId="0" fontId="8" fillId="0" borderId="46" xfId="0" applyFont="1" applyBorder="1" applyAlignment="1">
      <alignment horizontal="left" indent="2"/>
    </xf>
    <xf numFmtId="169" fontId="8" fillId="0" borderId="4" xfId="0" applyNumberFormat="1" applyFont="1" applyBorder="1" applyAlignment="1">
      <alignment horizontal="right"/>
    </xf>
    <xf numFmtId="0" fontId="25" fillId="0" borderId="24" xfId="25" applyFont="1" applyBorder="1" applyAlignment="1">
      <alignment horizontal="center" vertical="center"/>
    </xf>
    <xf numFmtId="0" fontId="1" fillId="0" borderId="0" xfId="25" applyFont="1" applyAlignment="1">
      <alignment horizontal="center" vertical="center"/>
    </xf>
    <xf numFmtId="0" fontId="34" fillId="0" borderId="38" xfId="0" applyFont="1" applyBorder="1" applyAlignment="1">
      <alignment vertical="top"/>
    </xf>
    <xf numFmtId="0" fontId="34" fillId="0" borderId="13" xfId="0" applyFont="1" applyBorder="1" applyAlignment="1">
      <alignment vertical="top"/>
    </xf>
    <xf numFmtId="165" fontId="20" fillId="0" borderId="0" xfId="1" applyNumberFormat="1" applyFont="1"/>
    <xf numFmtId="165" fontId="25" fillId="0" borderId="0" xfId="1" applyNumberFormat="1" applyFont="1" applyBorder="1"/>
    <xf numFmtId="165" fontId="0" fillId="0" borderId="0" xfId="1" applyNumberFormat="1" applyFont="1"/>
    <xf numFmtId="0" fontId="1" fillId="0" borderId="120" xfId="25" applyFont="1" applyBorder="1" applyAlignment="1">
      <alignment horizontal="left" vertical="center" wrapText="1" indent="2"/>
    </xf>
    <xf numFmtId="0" fontId="1" fillId="0" borderId="112" xfId="25" applyFont="1" applyBorder="1" applyAlignment="1">
      <alignment horizontal="left" vertical="center" wrapText="1"/>
    </xf>
    <xf numFmtId="0" fontId="1" fillId="0" borderId="0" xfId="0" applyFont="1" applyAlignment="1">
      <alignment horizontal="center"/>
    </xf>
    <xf numFmtId="165" fontId="1" fillId="0" borderId="40" xfId="0" applyNumberFormat="1" applyFont="1" applyBorder="1"/>
    <xf numFmtId="165" fontId="1" fillId="0" borderId="28" xfId="0" applyNumberFormat="1" applyFont="1" applyBorder="1"/>
    <xf numFmtId="165" fontId="1" fillId="0" borderId="13" xfId="0" applyNumberFormat="1" applyFont="1" applyBorder="1"/>
    <xf numFmtId="165" fontId="1" fillId="0" borderId="90" xfId="0" applyNumberFormat="1" applyFont="1" applyBorder="1"/>
    <xf numFmtId="0" fontId="1" fillId="0" borderId="0" xfId="20" applyFont="1"/>
    <xf numFmtId="0" fontId="21" fillId="0" borderId="46" xfId="0" applyFont="1" applyBorder="1"/>
    <xf numFmtId="3" fontId="32" fillId="0" borderId="13" xfId="0" applyNumberFormat="1" applyFont="1" applyBorder="1"/>
    <xf numFmtId="0" fontId="34" fillId="0" borderId="97" xfId="0" applyFont="1" applyBorder="1" applyAlignment="1">
      <alignment horizontal="center" vertical="center" wrapText="1"/>
    </xf>
    <xf numFmtId="3" fontId="32" fillId="0" borderId="16" xfId="0" applyNumberFormat="1" applyFont="1" applyBorder="1"/>
    <xf numFmtId="0" fontId="34" fillId="0" borderId="130" xfId="0" applyFont="1" applyBorder="1" applyAlignment="1">
      <alignment horizontal="center" vertical="center" wrapText="1"/>
    </xf>
    <xf numFmtId="3" fontId="32" fillId="0" borderId="97" xfId="0" applyNumberFormat="1" applyFont="1" applyBorder="1"/>
    <xf numFmtId="0" fontId="34" fillId="0" borderId="35" xfId="0" applyFont="1" applyBorder="1" applyAlignment="1">
      <alignment horizontal="center" vertical="center" wrapText="1"/>
    </xf>
    <xf numFmtId="0" fontId="43" fillId="0" borderId="0" xfId="0" applyFont="1" applyAlignment="1">
      <alignment vertical="center"/>
    </xf>
    <xf numFmtId="0" fontId="45" fillId="0" borderId="0" xfId="0" applyFont="1" applyAlignment="1">
      <alignment vertical="center"/>
    </xf>
    <xf numFmtId="0" fontId="14" fillId="0" borderId="0" xfId="0" applyFont="1" applyAlignment="1">
      <alignment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136" xfId="0" applyFont="1" applyBorder="1" applyAlignment="1">
      <alignment horizontal="center" vertical="center"/>
    </xf>
    <xf numFmtId="6" fontId="47" fillId="0" borderId="1" xfId="0" applyNumberFormat="1" applyFont="1" applyBorder="1" applyAlignment="1">
      <alignment vertical="center"/>
    </xf>
    <xf numFmtId="6" fontId="47" fillId="0" borderId="3" xfId="0" applyNumberFormat="1" applyFont="1" applyBorder="1" applyAlignment="1">
      <alignment vertical="center"/>
    </xf>
    <xf numFmtId="6" fontId="47" fillId="0" borderId="136" xfId="0" applyNumberFormat="1" applyFont="1" applyBorder="1" applyAlignment="1">
      <alignment vertical="center"/>
    </xf>
    <xf numFmtId="0" fontId="47" fillId="0" borderId="3" xfId="0" applyFont="1" applyBorder="1" applyAlignment="1">
      <alignment vertical="center"/>
    </xf>
    <xf numFmtId="0" fontId="47" fillId="0" borderId="134" xfId="0" applyFont="1" applyBorder="1" applyAlignment="1">
      <alignment horizontal="justify" vertical="center"/>
    </xf>
    <xf numFmtId="0" fontId="47" fillId="0" borderId="134" xfId="0" applyFont="1" applyBorder="1" applyAlignment="1">
      <alignment horizontal="center" vertical="center"/>
    </xf>
    <xf numFmtId="0" fontId="47" fillId="0" borderId="135" xfId="0" applyFont="1" applyBorder="1" applyAlignment="1">
      <alignment horizontal="center" vertical="center"/>
    </xf>
    <xf numFmtId="0" fontId="48" fillId="0" borderId="0" xfId="0" applyFont="1" applyAlignment="1">
      <alignment horizontal="left" vertical="center" indent="4"/>
    </xf>
    <xf numFmtId="0" fontId="14" fillId="0" borderId="0" xfId="0" applyFont="1" applyAlignment="1">
      <alignment horizontal="left" vertical="center" indent="4"/>
    </xf>
    <xf numFmtId="0" fontId="50" fillId="0" borderId="0" xfId="0" applyFont="1" applyAlignment="1">
      <alignment vertical="center"/>
    </xf>
    <xf numFmtId="0" fontId="1" fillId="0" borderId="0" xfId="24" applyFont="1" applyFill="1" applyAlignment="1"/>
    <xf numFmtId="0" fontId="26" fillId="0" borderId="0" xfId="3" applyFont="1" applyFill="1"/>
    <xf numFmtId="0" fontId="20" fillId="0" borderId="0" xfId="3" applyFont="1" applyFill="1"/>
    <xf numFmtId="0" fontId="26" fillId="0" borderId="0" xfId="31" applyFont="1" applyFill="1" applyAlignment="1">
      <alignment horizontal="center"/>
    </xf>
    <xf numFmtId="0" fontId="26" fillId="0" borderId="0" xfId="31" applyFont="1" applyFill="1"/>
    <xf numFmtId="0" fontId="27" fillId="0" borderId="0" xfId="31" applyFont="1" applyFill="1"/>
    <xf numFmtId="0" fontId="52" fillId="0" borderId="0" xfId="31" applyFont="1" applyFill="1"/>
    <xf numFmtId="0" fontId="26" fillId="0" borderId="0" xfId="31" applyFont="1" applyFill="1" applyAlignment="1">
      <alignment wrapText="1"/>
    </xf>
    <xf numFmtId="0" fontId="26" fillId="0" borderId="0" xfId="30" applyFont="1" applyFill="1"/>
    <xf numFmtId="0" fontId="27" fillId="0" borderId="0" xfId="30" applyFont="1" applyFill="1" applyAlignment="1">
      <alignment horizontal="centerContinuous"/>
    </xf>
    <xf numFmtId="0" fontId="27" fillId="0" borderId="0" xfId="3" applyFont="1" applyFill="1"/>
    <xf numFmtId="0" fontId="26" fillId="0" borderId="0" xfId="30" applyFont="1" applyFill="1" applyAlignment="1">
      <alignment horizontal="centerContinuous"/>
    </xf>
    <xf numFmtId="0" fontId="26" fillId="0" borderId="0" xfId="31" applyFont="1" applyFill="1" applyAlignment="1"/>
    <xf numFmtId="0" fontId="1" fillId="0" borderId="108" xfId="20" applyFont="1" applyBorder="1" applyAlignment="1">
      <alignment vertical="top" wrapText="1"/>
    </xf>
    <xf numFmtId="3" fontId="1" fillId="0" borderId="65" xfId="0" applyNumberFormat="1" applyFont="1" applyBorder="1"/>
    <xf numFmtId="3" fontId="34" fillId="0" borderId="147" xfId="0" applyNumberFormat="1" applyFont="1" applyBorder="1"/>
    <xf numFmtId="0" fontId="21" fillId="0" borderId="105" xfId="23" applyFont="1" applyBorder="1"/>
    <xf numFmtId="0" fontId="25" fillId="0" borderId="119" xfId="23" applyFont="1" applyBorder="1" applyAlignment="1">
      <alignment horizontal="right"/>
    </xf>
    <xf numFmtId="0" fontId="21" fillId="0" borderId="33" xfId="23" applyFont="1" applyBorder="1"/>
    <xf numFmtId="3" fontId="25" fillId="0" borderId="31" xfId="23" applyNumberFormat="1" applyFont="1" applyBorder="1"/>
    <xf numFmtId="3" fontId="25" fillId="0" borderId="58" xfId="23" applyNumberFormat="1" applyFont="1" applyBorder="1"/>
    <xf numFmtId="3" fontId="25" fillId="0" borderId="59" xfId="23" applyNumberFormat="1" applyFont="1" applyBorder="1"/>
    <xf numFmtId="0" fontId="25" fillId="0" borderId="57" xfId="23" applyFont="1" applyBorder="1" applyAlignment="1">
      <alignment horizontal="right"/>
    </xf>
    <xf numFmtId="0" fontId="21" fillId="0" borderId="6" xfId="23" applyFont="1" applyBorder="1"/>
    <xf numFmtId="3" fontId="21" fillId="0" borderId="89" xfId="23" applyNumberFormat="1" applyFont="1" applyBorder="1"/>
    <xf numFmtId="0" fontId="21" fillId="0" borderId="123" xfId="23" applyFont="1" applyBorder="1" applyAlignment="1">
      <alignment horizontal="left" indent="1"/>
    </xf>
    <xf numFmtId="0" fontId="25" fillId="0" borderId="130" xfId="23" applyFont="1" applyBorder="1" applyAlignment="1">
      <alignment horizontal="center"/>
    </xf>
    <xf numFmtId="3" fontId="25" fillId="0" borderId="148" xfId="23" applyNumberFormat="1" applyFont="1" applyBorder="1"/>
    <xf numFmtId="3" fontId="25" fillId="0" borderId="35" xfId="23" applyNumberFormat="1" applyFont="1" applyBorder="1"/>
    <xf numFmtId="3" fontId="21" fillId="0" borderId="16" xfId="23" applyNumberFormat="1" applyFont="1" applyBorder="1"/>
    <xf numFmtId="0" fontId="24" fillId="0" borderId="103" xfId="24" applyFont="1" applyBorder="1" applyAlignment="1">
      <alignment horizontal="center"/>
    </xf>
    <xf numFmtId="0" fontId="24" fillId="0" borderId="103" xfId="24" applyFont="1" applyFill="1" applyBorder="1" applyAlignment="1">
      <alignment horizontal="center"/>
    </xf>
    <xf numFmtId="0" fontId="21" fillId="0" borderId="80" xfId="24" applyFont="1" applyBorder="1" applyAlignment="1">
      <alignment horizontal="center" vertical="top" wrapText="1"/>
    </xf>
    <xf numFmtId="3" fontId="21" fillId="0" borderId="110" xfId="24" applyNumberFormat="1" applyFont="1" applyBorder="1"/>
    <xf numFmtId="3" fontId="21" fillId="0" borderId="116" xfId="24" applyNumberFormat="1" applyFont="1" applyBorder="1"/>
    <xf numFmtId="3" fontId="21" fillId="0" borderId="94" xfId="24" applyNumberFormat="1" applyFont="1" applyBorder="1"/>
    <xf numFmtId="3" fontId="21" fillId="0" borderId="45" xfId="24" applyNumberFormat="1" applyFont="1" applyBorder="1"/>
    <xf numFmtId="3" fontId="21" fillId="0" borderId="104" xfId="24" applyNumberFormat="1" applyFont="1" applyBorder="1"/>
    <xf numFmtId="3" fontId="21" fillId="0" borderId="16" xfId="24" applyNumberFormat="1" applyFont="1" applyBorder="1"/>
    <xf numFmtId="3" fontId="25" fillId="0" borderId="58" xfId="24" applyNumberFormat="1" applyFont="1" applyFill="1" applyBorder="1"/>
    <xf numFmtId="3" fontId="25" fillId="0" borderId="58" xfId="24" applyNumberFormat="1" applyFont="1" applyBorder="1"/>
    <xf numFmtId="3" fontId="25" fillId="0" borderId="59" xfId="24" applyNumberFormat="1" applyFont="1" applyBorder="1"/>
    <xf numFmtId="0" fontId="25" fillId="0" borderId="57" xfId="24" applyFont="1" applyBorder="1" applyAlignment="1">
      <alignment horizontal="right" indent="1"/>
    </xf>
    <xf numFmtId="0" fontId="21" fillId="0" borderId="115" xfId="24" applyFont="1" applyBorder="1" applyAlignment="1">
      <alignment horizontal="left" indent="1"/>
    </xf>
    <xf numFmtId="0" fontId="21" fillId="0" borderId="118" xfId="24" applyFont="1" applyBorder="1" applyAlignment="1">
      <alignment horizontal="left" indent="1"/>
    </xf>
    <xf numFmtId="0" fontId="21" fillId="0" borderId="15" xfId="24" applyFont="1" applyBorder="1" applyAlignment="1">
      <alignment horizontal="left" indent="1"/>
    </xf>
    <xf numFmtId="0" fontId="25" fillId="0" borderId="78" xfId="24" applyFont="1" applyBorder="1" applyAlignment="1">
      <alignment horizontal="center" vertical="center"/>
    </xf>
    <xf numFmtId="0" fontId="25" fillId="0" borderId="15" xfId="24" applyFont="1" applyBorder="1" applyAlignment="1">
      <alignment horizontal="center" vertical="center"/>
    </xf>
    <xf numFmtId="0" fontId="25" fillId="0" borderId="43" xfId="24" applyFont="1" applyBorder="1" applyAlignment="1">
      <alignment horizontal="center" vertical="center"/>
    </xf>
    <xf numFmtId="0" fontId="21" fillId="0" borderId="120" xfId="24" applyFont="1" applyBorder="1" applyAlignment="1">
      <alignment horizontal="left" indent="1"/>
    </xf>
    <xf numFmtId="0" fontId="21" fillId="0" borderId="114" xfId="24" applyFont="1" applyBorder="1" applyAlignment="1">
      <alignment horizontal="left" indent="1"/>
    </xf>
    <xf numFmtId="0" fontId="21" fillId="0" borderId="43" xfId="24" applyFont="1" applyBorder="1" applyAlignment="1">
      <alignment horizontal="left" indent="1"/>
    </xf>
    <xf numFmtId="0" fontId="21" fillId="0" borderId="118" xfId="24" applyFont="1" applyBorder="1" applyAlignment="1">
      <alignment horizontal="left" indent="3"/>
    </xf>
    <xf numFmtId="0" fontId="21" fillId="0" borderId="121" xfId="24" applyFont="1" applyBorder="1" applyAlignment="1">
      <alignment horizontal="left" indent="1"/>
    </xf>
    <xf numFmtId="0" fontId="25" fillId="0" borderId="6" xfId="24" applyFont="1" applyBorder="1" applyAlignment="1">
      <alignment horizontal="right" indent="1"/>
    </xf>
    <xf numFmtId="0" fontId="8" fillId="0" borderId="103" xfId="0" applyFont="1" applyBorder="1"/>
    <xf numFmtId="0" fontId="9" fillId="0" borderId="16" xfId="0" applyFont="1" applyBorder="1" applyAlignment="1">
      <alignment horizontal="center"/>
    </xf>
    <xf numFmtId="41" fontId="8" fillId="0" borderId="45" xfId="0" applyNumberFormat="1" applyFont="1" applyBorder="1" applyAlignment="1">
      <alignment horizontal="center"/>
    </xf>
    <xf numFmtId="166" fontId="8" fillId="0" borderId="89" xfId="0" applyNumberFormat="1" applyFont="1" applyBorder="1"/>
    <xf numFmtId="166" fontId="8" fillId="0" borderId="16" xfId="0" applyNumberFormat="1" applyFont="1" applyBorder="1"/>
    <xf numFmtId="166" fontId="8" fillId="0" borderId="45" xfId="0" applyNumberFormat="1" applyFont="1" applyBorder="1"/>
    <xf numFmtId="166" fontId="9" fillId="0" borderId="89" xfId="0" applyNumberFormat="1" applyFont="1" applyBorder="1"/>
    <xf numFmtId="166" fontId="8" fillId="0" borderId="80" xfId="0" applyNumberFormat="1" applyFont="1" applyBorder="1"/>
    <xf numFmtId="0" fontId="17" fillId="0" borderId="46" xfId="2" applyFont="1" applyBorder="1"/>
    <xf numFmtId="0" fontId="17" fillId="0" borderId="0" xfId="2" applyFont="1" applyBorder="1"/>
    <xf numFmtId="166" fontId="8" fillId="0" borderId="16" xfId="0" applyNumberFormat="1" applyFont="1" applyBorder="1" applyAlignment="1">
      <alignment horizontal="right"/>
    </xf>
    <xf numFmtId="166" fontId="8" fillId="0" borderId="45" xfId="0" applyNumberFormat="1" applyFont="1" applyBorder="1" applyAlignment="1">
      <alignment horizontal="right"/>
    </xf>
    <xf numFmtId="166" fontId="9" fillId="0" borderId="45" xfId="0" applyNumberFormat="1" applyFont="1" applyBorder="1"/>
    <xf numFmtId="166" fontId="9" fillId="0" borderId="16" xfId="0" applyNumberFormat="1" applyFont="1" applyBorder="1"/>
    <xf numFmtId="166" fontId="8" fillId="0" borderId="149" xfId="0" applyNumberFormat="1" applyFont="1" applyBorder="1"/>
    <xf numFmtId="166" fontId="8" fillId="0" borderId="58" xfId="0" applyNumberFormat="1" applyFont="1" applyBorder="1"/>
    <xf numFmtId="166" fontId="8" fillId="0" borderId="24" xfId="0" applyNumberFormat="1" applyFont="1" applyBorder="1"/>
    <xf numFmtId="166" fontId="8" fillId="0" borderId="59" xfId="0" applyNumberFormat="1" applyFont="1" applyBorder="1"/>
    <xf numFmtId="166" fontId="8" fillId="0" borderId="31" xfId="0" applyNumberFormat="1" applyFont="1" applyBorder="1" applyAlignment="1">
      <alignment horizontal="center"/>
    </xf>
    <xf numFmtId="0" fontId="8" fillId="0" borderId="78" xfId="0" applyFont="1" applyBorder="1"/>
    <xf numFmtId="0" fontId="8" fillId="0" borderId="15" xfId="0" applyFont="1" applyBorder="1"/>
    <xf numFmtId="0" fontId="8" fillId="0" borderId="15" xfId="0" applyFont="1" applyBorder="1" applyAlignment="1">
      <alignment horizontal="center"/>
    </xf>
    <xf numFmtId="0" fontId="8" fillId="0" borderId="43" xfId="0" applyFont="1" applyBorder="1"/>
    <xf numFmtId="0" fontId="8" fillId="0" borderId="119" xfId="0" applyFont="1" applyBorder="1"/>
    <xf numFmtId="0" fontId="9" fillId="0" borderId="15" xfId="0" applyFont="1" applyBorder="1"/>
    <xf numFmtId="0" fontId="9" fillId="0" borderId="43" xfId="0" applyFont="1" applyBorder="1"/>
    <xf numFmtId="0" fontId="8" fillId="0" borderId="15" xfId="0" applyFont="1" applyBorder="1" applyAlignment="1">
      <alignment horizontal="center" vertical="center"/>
    </xf>
    <xf numFmtId="0" fontId="12" fillId="0" borderId="15" xfId="0" applyFont="1" applyBorder="1"/>
    <xf numFmtId="0" fontId="8" fillId="0" borderId="57" xfId="0" applyFont="1" applyBorder="1"/>
    <xf numFmtId="165" fontId="21" fillId="0" borderId="0" xfId="1" applyNumberFormat="1" applyFont="1" applyBorder="1"/>
    <xf numFmtId="0" fontId="9" fillId="0" borderId="89" xfId="0" applyFont="1" applyBorder="1" applyAlignment="1">
      <alignment horizontal="center"/>
    </xf>
    <xf numFmtId="41" fontId="8" fillId="0" borderId="56" xfId="0" applyNumberFormat="1" applyFont="1" applyBorder="1" applyAlignment="1">
      <alignment horizontal="center"/>
    </xf>
    <xf numFmtId="41" fontId="8" fillId="0" borderId="14" xfId="0" applyNumberFormat="1" applyFont="1" applyBorder="1"/>
    <xf numFmtId="166" fontId="8" fillId="0" borderId="56" xfId="0" applyNumberFormat="1" applyFont="1" applyBorder="1"/>
    <xf numFmtId="166" fontId="8" fillId="0" borderId="14" xfId="0" applyNumberFormat="1" applyFont="1" applyBorder="1"/>
    <xf numFmtId="0" fontId="1" fillId="0" borderId="0" xfId="0" applyFont="1" applyAlignment="1">
      <alignment horizontal="left" vertical="top"/>
    </xf>
    <xf numFmtId="0" fontId="28" fillId="0" borderId="0" xfId="0" applyFont="1" applyAlignment="1">
      <alignment horizontal="left" vertical="top"/>
    </xf>
    <xf numFmtId="0" fontId="19" fillId="0" borderId="0" xfId="0" applyFont="1" applyAlignment="1">
      <alignment horizontal="center"/>
    </xf>
    <xf numFmtId="0" fontId="23" fillId="0" borderId="0" xfId="0" applyFont="1" applyAlignment="1">
      <alignment horizontal="center"/>
    </xf>
    <xf numFmtId="0" fontId="21" fillId="0" borderId="0" xfId="0" applyFont="1" applyAlignment="1">
      <alignment horizontal="center"/>
    </xf>
    <xf numFmtId="0" fontId="24" fillId="0" borderId="0" xfId="0" applyFont="1" applyAlignment="1">
      <alignment horizontal="center"/>
    </xf>
    <xf numFmtId="0" fontId="25" fillId="0" borderId="11" xfId="0" applyFont="1" applyBorder="1" applyAlignment="1">
      <alignment horizontal="center"/>
    </xf>
    <xf numFmtId="0" fontId="25" fillId="0" borderId="9" xfId="0" applyFont="1" applyBorder="1" applyAlignment="1">
      <alignment horizontal="center"/>
    </xf>
    <xf numFmtId="0" fontId="25" fillId="0" borderId="49" xfId="0" applyFont="1" applyBorder="1" applyAlignment="1">
      <alignment horizontal="center"/>
    </xf>
    <xf numFmtId="0" fontId="25" fillId="0" borderId="78" xfId="0" applyFont="1" applyBorder="1" applyAlignment="1">
      <alignment horizontal="center" vertical="center"/>
    </xf>
    <xf numFmtId="0" fontId="25" fillId="0" borderId="43" xfId="0" applyFont="1" applyBorder="1" applyAlignment="1">
      <alignment horizontal="center" vertical="center"/>
    </xf>
    <xf numFmtId="0" fontId="25" fillId="0" borderId="9"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9" xfId="25" applyFont="1" applyBorder="1" applyAlignment="1">
      <alignment horizontal="center" vertical="center" wrapText="1"/>
    </xf>
    <xf numFmtId="0" fontId="25" fillId="0" borderId="49" xfId="25" applyFont="1" applyBorder="1" applyAlignment="1">
      <alignment horizontal="center" vertical="center" wrapText="1"/>
    </xf>
    <xf numFmtId="0" fontId="25" fillId="0" borderId="78" xfId="25" applyFont="1" applyBorder="1" applyAlignment="1">
      <alignment horizontal="center" vertical="center"/>
    </xf>
    <xf numFmtId="0" fontId="25" fillId="0" borderId="43" xfId="25" applyFont="1" applyBorder="1" applyAlignment="1">
      <alignment horizontal="center" vertical="center"/>
    </xf>
    <xf numFmtId="0" fontId="25" fillId="0" borderId="101" xfId="25" applyFont="1" applyBorder="1" applyAlignment="1">
      <alignment horizontal="center" vertical="center" wrapText="1"/>
    </xf>
    <xf numFmtId="0" fontId="25" fillId="0" borderId="40" xfId="25" applyFont="1" applyBorder="1" applyAlignment="1">
      <alignment horizontal="center" vertical="center" wrapText="1"/>
    </xf>
    <xf numFmtId="0" fontId="25" fillId="0" borderId="9" xfId="23" applyFont="1" applyBorder="1" applyAlignment="1">
      <alignment horizontal="center" vertical="center" wrapText="1"/>
    </xf>
    <xf numFmtId="0" fontId="25" fillId="0" borderId="8" xfId="23" applyFont="1" applyBorder="1" applyAlignment="1">
      <alignment horizontal="center" vertical="center" wrapText="1"/>
    </xf>
    <xf numFmtId="0" fontId="25" fillId="0" borderId="8" xfId="25" applyFont="1" applyBorder="1" applyAlignment="1">
      <alignment horizontal="center" vertical="center" wrapText="1"/>
    </xf>
    <xf numFmtId="0" fontId="25" fillId="0" borderId="49" xfId="23" applyFont="1" applyBorder="1" applyAlignment="1">
      <alignment horizontal="center" vertical="center" wrapText="1"/>
    </xf>
    <xf numFmtId="0" fontId="19" fillId="0" borderId="0" xfId="25" applyFont="1" applyAlignment="1">
      <alignment horizontal="center"/>
    </xf>
    <xf numFmtId="0" fontId="23" fillId="0" borderId="0" xfId="25" applyFont="1" applyAlignment="1">
      <alignment horizontal="center"/>
    </xf>
    <xf numFmtId="0" fontId="1" fillId="0" borderId="0" xfId="25" applyFont="1" applyAlignment="1">
      <alignment horizontal="center"/>
    </xf>
    <xf numFmtId="0" fontId="24" fillId="0" borderId="0" xfId="25" applyFont="1" applyAlignment="1">
      <alignment horizontal="center"/>
    </xf>
    <xf numFmtId="0" fontId="24" fillId="0" borderId="103" xfId="25" applyFont="1" applyBorder="1" applyAlignment="1">
      <alignment horizontal="center"/>
    </xf>
    <xf numFmtId="0" fontId="24" fillId="0" borderId="0" xfId="25" applyFont="1" applyBorder="1" applyAlignment="1">
      <alignment horizontal="center"/>
    </xf>
    <xf numFmtId="0" fontId="19" fillId="0" borderId="0" xfId="20" applyFont="1" applyAlignment="1">
      <alignment horizontal="center"/>
    </xf>
    <xf numFmtId="0" fontId="23" fillId="0" borderId="0" xfId="20" applyFont="1" applyAlignment="1">
      <alignment horizontal="center"/>
    </xf>
    <xf numFmtId="0" fontId="21" fillId="0" borderId="0" xfId="20" applyFont="1" applyAlignment="1">
      <alignment horizontal="center"/>
    </xf>
    <xf numFmtId="0" fontId="24" fillId="0" borderId="0" xfId="20" applyFont="1" applyAlignment="1">
      <alignment horizontal="center"/>
    </xf>
    <xf numFmtId="0" fontId="25" fillId="0" borderId="9" xfId="20" applyFont="1" applyBorder="1" applyAlignment="1">
      <alignment horizontal="center" vertical="center" wrapText="1"/>
    </xf>
    <xf numFmtId="0" fontId="25" fillId="0" borderId="49" xfId="20" applyFont="1" applyBorder="1" applyAlignment="1">
      <alignment horizontal="center" vertical="center" wrapText="1"/>
    </xf>
    <xf numFmtId="0" fontId="25" fillId="0" borderId="78" xfId="20" applyFont="1" applyBorder="1" applyAlignment="1">
      <alignment horizontal="center" vertical="center" wrapText="1"/>
    </xf>
    <xf numFmtId="0" fontId="25" fillId="0" borderId="97" xfId="20" applyFont="1" applyBorder="1" applyAlignment="1">
      <alignment horizontal="center" vertical="center" wrapText="1"/>
    </xf>
    <xf numFmtId="0" fontId="25" fillId="0" borderId="43" xfId="20" applyFont="1" applyBorder="1" applyAlignment="1">
      <alignment horizontal="center" vertical="center" wrapText="1"/>
    </xf>
    <xf numFmtId="0" fontId="25" fillId="0" borderId="28" xfId="20" applyFont="1" applyBorder="1" applyAlignment="1">
      <alignment horizontal="center" vertical="center" wrapText="1"/>
    </xf>
    <xf numFmtId="0" fontId="21" fillId="0" borderId="88" xfId="20" applyFont="1" applyBorder="1" applyAlignment="1">
      <alignment horizontal="center"/>
    </xf>
    <xf numFmtId="0" fontId="30" fillId="0" borderId="0" xfId="0"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34" fillId="0" borderId="30" xfId="0" applyFont="1" applyBorder="1" applyAlignment="1">
      <alignment horizontal="left" vertical="top" wrapText="1"/>
    </xf>
    <xf numFmtId="0" fontId="34" fillId="0" borderId="39" xfId="0" applyFont="1" applyBorder="1" applyAlignment="1">
      <alignment horizontal="left" vertical="top" wrapText="1"/>
    </xf>
    <xf numFmtId="0" fontId="36" fillId="0" borderId="0" xfId="0" applyFont="1" applyBorder="1" applyAlignment="1">
      <alignment horizontal="left" vertical="top" wrapText="1"/>
    </xf>
    <xf numFmtId="0" fontId="36" fillId="0" borderId="90" xfId="0" applyFont="1" applyBorder="1" applyAlignment="1">
      <alignment horizontal="left" vertical="top" wrapText="1"/>
    </xf>
    <xf numFmtId="0" fontId="34" fillId="0" borderId="37" xfId="0" applyFont="1" applyBorder="1" applyAlignment="1">
      <alignment horizontal="right" vertical="top"/>
    </xf>
    <xf numFmtId="0" fontId="34" fillId="0" borderId="40" xfId="0" applyFont="1" applyBorder="1" applyAlignment="1">
      <alignment horizontal="right" vertical="top"/>
    </xf>
    <xf numFmtId="0" fontId="37" fillId="0" borderId="0" xfId="25" applyFont="1" applyFill="1" applyBorder="1" applyAlignment="1">
      <alignment horizontal="left" vertical="top" wrapText="1"/>
    </xf>
    <xf numFmtId="0" fontId="37" fillId="0" borderId="90" xfId="25" applyFont="1" applyFill="1" applyBorder="1" applyAlignment="1">
      <alignment horizontal="left" vertical="top" wrapText="1"/>
    </xf>
    <xf numFmtId="0" fontId="34" fillId="0" borderId="30" xfId="0" applyFont="1" applyBorder="1" applyAlignment="1">
      <alignment horizontal="left" vertical="top"/>
    </xf>
    <xf numFmtId="0" fontId="34" fillId="0" borderId="39" xfId="0" applyFont="1" applyBorder="1" applyAlignment="1">
      <alignment horizontal="left" vertical="top"/>
    </xf>
    <xf numFmtId="0" fontId="34" fillId="0" borderId="50" xfId="0" applyFont="1" applyBorder="1" applyAlignment="1">
      <alignment horizontal="center" vertical="top"/>
    </xf>
    <xf numFmtId="0" fontId="34" fillId="0" borderId="24" xfId="0" applyFont="1" applyBorder="1" applyAlignment="1">
      <alignment horizontal="center" vertical="top"/>
    </xf>
    <xf numFmtId="0" fontId="32" fillId="0" borderId="0" xfId="0" applyFont="1" applyBorder="1" applyAlignment="1">
      <alignment horizontal="left" vertical="top" wrapText="1"/>
    </xf>
    <xf numFmtId="0" fontId="34" fillId="0" borderId="0" xfId="0" applyFont="1" applyBorder="1" applyAlignment="1">
      <alignment horizontal="left" vertical="top"/>
    </xf>
    <xf numFmtId="0" fontId="34" fillId="0" borderId="90" xfId="0" applyFont="1" applyBorder="1" applyAlignment="1">
      <alignment horizontal="left" vertical="top"/>
    </xf>
    <xf numFmtId="0" fontId="21" fillId="0" borderId="0" xfId="23" applyFont="1" applyAlignment="1">
      <alignment horizontal="center" wrapText="1"/>
    </xf>
    <xf numFmtId="0" fontId="1" fillId="0" borderId="0" xfId="23" applyFont="1" applyAlignment="1">
      <alignment horizontal="left" wrapText="1"/>
    </xf>
    <xf numFmtId="0" fontId="21" fillId="0" borderId="0" xfId="23" applyFont="1" applyAlignment="1">
      <alignment horizontal="left" wrapText="1"/>
    </xf>
    <xf numFmtId="0" fontId="25" fillId="0" borderId="78" xfId="23" applyFont="1" applyBorder="1" applyAlignment="1">
      <alignment horizontal="center" vertical="center"/>
    </xf>
    <xf numFmtId="0" fontId="25" fillId="0" borderId="43" xfId="23" applyFont="1" applyBorder="1" applyAlignment="1">
      <alignment horizontal="center" vertical="center"/>
    </xf>
    <xf numFmtId="0" fontId="19" fillId="0" borderId="0" xfId="23" applyFont="1" applyAlignment="1">
      <alignment horizontal="center"/>
    </xf>
    <xf numFmtId="0" fontId="23" fillId="0" borderId="0" xfId="23" applyFont="1" applyAlignment="1">
      <alignment horizontal="center"/>
    </xf>
    <xf numFmtId="0" fontId="21" fillId="0" borderId="0" xfId="23" applyFont="1" applyAlignment="1">
      <alignment horizontal="center"/>
    </xf>
    <xf numFmtId="0" fontId="24" fillId="0" borderId="0" xfId="23" applyFont="1" applyAlignment="1">
      <alignment horizontal="center"/>
    </xf>
    <xf numFmtId="0" fontId="25" fillId="0" borderId="20" xfId="23" applyFont="1" applyBorder="1" applyAlignment="1">
      <alignment horizontal="center" vertical="center" wrapText="1"/>
    </xf>
    <xf numFmtId="0" fontId="21" fillId="0" borderId="0" xfId="22" applyFont="1" applyAlignment="1">
      <alignment horizontal="left" wrapText="1"/>
    </xf>
    <xf numFmtId="0" fontId="19" fillId="0" borderId="0" xfId="22" applyFont="1" applyAlignment="1">
      <alignment horizontal="center"/>
    </xf>
    <xf numFmtId="0" fontId="23" fillId="0" borderId="0" xfId="22" applyFont="1" applyAlignment="1">
      <alignment horizontal="center"/>
    </xf>
    <xf numFmtId="0" fontId="21" fillId="0" borderId="0" xfId="22" applyFont="1" applyAlignment="1">
      <alignment horizontal="center"/>
    </xf>
    <xf numFmtId="0" fontId="24" fillId="0" borderId="0" xfId="22" applyFont="1" applyAlignment="1">
      <alignment horizontal="center"/>
    </xf>
    <xf numFmtId="0" fontId="25" fillId="0" borderId="78" xfId="22" applyFont="1" applyBorder="1" applyAlignment="1">
      <alignment horizontal="center" vertical="center"/>
    </xf>
    <xf numFmtId="0" fontId="25" fillId="0" borderId="43" xfId="22" applyFont="1" applyBorder="1" applyAlignment="1">
      <alignment horizontal="center" vertical="center"/>
    </xf>
    <xf numFmtId="0" fontId="25" fillId="0" borderId="9" xfId="22" applyFont="1" applyFill="1" applyBorder="1" applyAlignment="1">
      <alignment horizontal="center" vertical="center" wrapText="1"/>
    </xf>
    <xf numFmtId="0" fontId="25" fillId="0" borderId="9" xfId="22" applyFont="1" applyBorder="1" applyAlignment="1">
      <alignment horizontal="center" vertical="center" wrapText="1"/>
    </xf>
    <xf numFmtId="0" fontId="25" fillId="0" borderId="49" xfId="22" applyFont="1" applyBorder="1" applyAlignment="1">
      <alignment horizontal="center" vertical="center" wrapText="1"/>
    </xf>
    <xf numFmtId="0" fontId="1" fillId="0" borderId="0" xfId="22" applyFont="1" applyAlignment="1">
      <alignment horizontal="left" wrapText="1"/>
    </xf>
    <xf numFmtId="0" fontId="21" fillId="0" borderId="0" xfId="22" applyFont="1" applyAlignment="1">
      <alignment horizontal="center" wrapText="1"/>
    </xf>
    <xf numFmtId="0" fontId="25" fillId="0" borderId="124" xfId="23" applyFont="1" applyBorder="1" applyAlignment="1">
      <alignment horizontal="center" vertical="center" wrapText="1"/>
    </xf>
    <xf numFmtId="0" fontId="25" fillId="0" borderId="101" xfId="23" applyFont="1" applyBorder="1" applyAlignment="1">
      <alignment horizontal="center" vertical="center" wrapText="1"/>
    </xf>
    <xf numFmtId="0" fontId="25" fillId="0" borderId="21" xfId="23" applyFont="1" applyBorder="1" applyAlignment="1">
      <alignment horizontal="center" vertical="center" wrapText="1"/>
    </xf>
    <xf numFmtId="0" fontId="25" fillId="0" borderId="10" xfId="23" applyFont="1" applyBorder="1" applyAlignment="1">
      <alignment horizontal="center" vertical="center" wrapText="1"/>
    </xf>
    <xf numFmtId="0" fontId="25" fillId="0" borderId="78" xfId="23" applyFont="1" applyBorder="1" applyAlignment="1">
      <alignment horizontal="center" vertical="center" wrapText="1"/>
    </xf>
    <xf numFmtId="0" fontId="25" fillId="0" borderId="43" xfId="23" applyFont="1" applyBorder="1" applyAlignment="1">
      <alignment horizontal="center" vertical="center" wrapText="1"/>
    </xf>
    <xf numFmtId="0" fontId="19" fillId="0" borderId="0" xfId="24" applyFont="1" applyAlignment="1">
      <alignment horizontal="center"/>
    </xf>
    <xf numFmtId="0" fontId="23" fillId="0" borderId="0" xfId="24" applyFont="1" applyAlignment="1">
      <alignment horizontal="center"/>
    </xf>
    <xf numFmtId="0" fontId="21" fillId="0" borderId="0" xfId="24" applyFont="1" applyAlignment="1">
      <alignment horizontal="center"/>
    </xf>
    <xf numFmtId="0" fontId="24" fillId="0" borderId="0" xfId="24" applyFont="1" applyAlignment="1">
      <alignment horizontal="center"/>
    </xf>
    <xf numFmtId="0" fontId="25" fillId="0" borderId="54" xfId="24" applyFont="1" applyBorder="1" applyAlignment="1">
      <alignment horizontal="center" vertical="center"/>
    </xf>
    <xf numFmtId="0" fontId="25" fillId="0" borderId="40" xfId="24" applyFont="1" applyBorder="1" applyAlignment="1">
      <alignment horizontal="center" vertical="center"/>
    </xf>
    <xf numFmtId="0" fontId="25" fillId="0" borderId="38" xfId="24" applyFont="1" applyBorder="1" applyAlignment="1">
      <alignment horizontal="center" vertical="center" wrapText="1"/>
    </xf>
    <xf numFmtId="0" fontId="25" fillId="0" borderId="14" xfId="24" applyFont="1" applyBorder="1" applyAlignment="1">
      <alignment horizontal="center" vertical="center" wrapText="1"/>
    </xf>
    <xf numFmtId="0" fontId="25" fillId="0" borderId="54" xfId="24" applyFont="1" applyBorder="1" applyAlignment="1">
      <alignment horizontal="center" vertical="center" wrapText="1"/>
    </xf>
    <xf numFmtId="0" fontId="25" fillId="0" borderId="56" xfId="24" applyFont="1" applyBorder="1" applyAlignment="1">
      <alignment horizontal="center" vertical="center" wrapText="1"/>
    </xf>
    <xf numFmtId="0" fontId="25" fillId="0" borderId="25" xfId="24" applyFont="1" applyFill="1" applyBorder="1" applyAlignment="1">
      <alignment horizontal="center" vertical="center" wrapText="1"/>
    </xf>
    <xf numFmtId="0" fontId="25" fillId="0" borderId="27" xfId="24" applyFont="1" applyFill="1" applyBorder="1" applyAlignment="1">
      <alignment horizontal="center" vertical="center" wrapText="1"/>
    </xf>
    <xf numFmtId="0" fontId="25" fillId="0" borderId="25" xfId="24" applyFont="1" applyBorder="1" applyAlignment="1">
      <alignment horizontal="center" vertical="center" wrapText="1"/>
    </xf>
    <xf numFmtId="0" fontId="25" fillId="0" borderId="27" xfId="24" applyFont="1" applyBorder="1" applyAlignment="1">
      <alignment horizontal="center" vertical="center" wrapText="1"/>
    </xf>
    <xf numFmtId="0" fontId="9" fillId="0" borderId="29" xfId="0" applyFont="1" applyBorder="1" applyAlignment="1">
      <alignment horizontal="center"/>
    </xf>
    <xf numFmtId="0" fontId="9" fillId="0" borderId="39" xfId="0" applyFont="1" applyBorder="1" applyAlignment="1">
      <alignment horizontal="center"/>
    </xf>
    <xf numFmtId="0" fontId="9" fillId="0" borderId="36" xfId="0" applyFont="1" applyBorder="1" applyAlignment="1">
      <alignment horizontal="center"/>
    </xf>
    <xf numFmtId="0" fontId="9" fillId="0" borderId="40" xfId="0" applyFont="1" applyBorder="1" applyAlignment="1">
      <alignment horizontal="center"/>
    </xf>
    <xf numFmtId="41" fontId="9" fillId="0" borderId="29" xfId="0" applyNumberFormat="1" applyFont="1" applyBorder="1" applyAlignment="1">
      <alignment horizontal="center" wrapText="1"/>
    </xf>
    <xf numFmtId="41" fontId="9" fillId="0" borderId="39" xfId="0" applyNumberFormat="1" applyFont="1" applyBorder="1" applyAlignment="1">
      <alignment horizontal="center" wrapText="1"/>
    </xf>
    <xf numFmtId="41" fontId="9" fillId="0" borderId="54" xfId="0" applyNumberFormat="1" applyFont="1" applyBorder="1" applyAlignment="1">
      <alignment horizontal="center" wrapText="1"/>
    </xf>
    <xf numFmtId="41" fontId="9" fillId="0" borderId="40" xfId="0" applyNumberFormat="1" applyFont="1" applyBorder="1" applyAlignment="1">
      <alignment horizontal="center" wrapText="1"/>
    </xf>
    <xf numFmtId="0" fontId="9" fillId="0" borderId="53" xfId="0" applyFont="1" applyBorder="1" applyAlignment="1">
      <alignment horizontal="center"/>
    </xf>
    <xf numFmtId="0" fontId="9" fillId="0" borderId="54" xfId="0" applyFont="1" applyBorder="1" applyAlignment="1">
      <alignment horizontal="center"/>
    </xf>
    <xf numFmtId="0" fontId="9" fillId="0" borderId="56" xfId="0" applyFont="1" applyBorder="1" applyAlignment="1">
      <alignment horizontal="center"/>
    </xf>
    <xf numFmtId="0" fontId="41"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41" fontId="9" fillId="0" borderId="124" xfId="0" applyNumberFormat="1" applyFont="1" applyBorder="1" applyAlignment="1">
      <alignment horizontal="center"/>
    </xf>
    <xf numFmtId="41" fontId="9" fillId="0" borderId="101" xfId="0" applyNumberFormat="1" applyFont="1" applyBorder="1" applyAlignment="1">
      <alignment horizontal="center"/>
    </xf>
    <xf numFmtId="41" fontId="9" fillId="0" borderId="54" xfId="0" applyNumberFormat="1" applyFont="1" applyBorder="1" applyAlignment="1">
      <alignment horizontal="center"/>
    </xf>
    <xf numFmtId="41" fontId="9" fillId="0" borderId="40" xfId="0" applyNumberFormat="1" applyFont="1" applyBorder="1" applyAlignment="1">
      <alignment horizontal="center"/>
    </xf>
    <xf numFmtId="41" fontId="9" fillId="0" borderId="124" xfId="0" applyNumberFormat="1" applyFont="1" applyBorder="1" applyAlignment="1">
      <alignment horizontal="center" wrapText="1"/>
    </xf>
    <xf numFmtId="41" fontId="9" fillId="0" borderId="101" xfId="0" applyNumberFormat="1" applyFont="1" applyBorder="1" applyAlignment="1">
      <alignment horizontal="center" wrapText="1"/>
    </xf>
    <xf numFmtId="0" fontId="9" fillId="0" borderId="124" xfId="0" applyFont="1" applyBorder="1" applyAlignment="1">
      <alignment horizontal="center"/>
    </xf>
    <xf numFmtId="0" fontId="9" fillId="0" borderId="101" xfId="0" applyFont="1" applyBorder="1" applyAlignment="1">
      <alignment horizontal="center"/>
    </xf>
    <xf numFmtId="0" fontId="9" fillId="0" borderId="7" xfId="0" applyFont="1" applyBorder="1" applyAlignment="1">
      <alignment horizontal="center"/>
    </xf>
    <xf numFmtId="0" fontId="26" fillId="0" borderId="0" xfId="30" applyFont="1" applyFill="1" applyAlignment="1">
      <alignment vertical="top" wrapText="1"/>
    </xf>
    <xf numFmtId="0" fontId="26" fillId="0" borderId="0" xfId="3" applyFont="1" applyFill="1" applyAlignment="1">
      <alignment vertical="top" wrapText="1"/>
    </xf>
    <xf numFmtId="0" fontId="25" fillId="0" borderId="0" xfId="24" applyFont="1" applyFill="1" applyAlignment="1">
      <alignment horizontal="center"/>
    </xf>
    <xf numFmtId="0" fontId="1" fillId="0" borderId="0" xfId="24" applyFont="1" applyFill="1" applyAlignment="1">
      <alignment horizontal="center"/>
    </xf>
    <xf numFmtId="3" fontId="26" fillId="0" borderId="0" xfId="31" applyNumberFormat="1" applyFont="1" applyFill="1" applyAlignment="1">
      <alignment horizontal="center"/>
    </xf>
    <xf numFmtId="0" fontId="26" fillId="0" borderId="0" xfId="31" applyFont="1" applyFill="1" applyAlignment="1">
      <alignment horizontal="center"/>
    </xf>
    <xf numFmtId="0" fontId="51" fillId="0" borderId="0" xfId="31" applyFont="1" applyFill="1" applyAlignment="1">
      <alignment horizontal="center"/>
    </xf>
    <xf numFmtId="0" fontId="26" fillId="0" borderId="0" xfId="31" applyFont="1" applyFill="1" applyAlignment="1">
      <alignment horizontal="left" vertical="center" wrapText="1"/>
    </xf>
    <xf numFmtId="0" fontId="26" fillId="0" borderId="0" xfId="31" applyFont="1" applyFill="1" applyAlignment="1">
      <alignment horizontal="left" wrapText="1"/>
    </xf>
    <xf numFmtId="0" fontId="37" fillId="0" borderId="0" xfId="0" applyFont="1" applyAlignment="1">
      <alignment wrapText="1"/>
    </xf>
    <xf numFmtId="0" fontId="43" fillId="0" borderId="0" xfId="0" applyFont="1" applyAlignment="1">
      <alignment horizontal="center"/>
    </xf>
    <xf numFmtId="0" fontId="26" fillId="0" borderId="0" xfId="0" applyFont="1" applyAlignment="1">
      <alignment horizontal="center"/>
    </xf>
    <xf numFmtId="0" fontId="37" fillId="0" borderId="41" xfId="0" applyFont="1" applyBorder="1" applyAlignment="1">
      <alignment horizontal="center" wrapText="1"/>
    </xf>
    <xf numFmtId="0" fontId="37" fillId="0" borderId="6" xfId="0" applyFont="1" applyBorder="1" applyAlignment="1">
      <alignment horizontal="center" wrapText="1"/>
    </xf>
    <xf numFmtId="0" fontId="37" fillId="0" borderId="7" xfId="0" applyFont="1" applyBorder="1" applyAlignment="1">
      <alignment horizontal="center" wrapText="1"/>
    </xf>
    <xf numFmtId="0" fontId="37" fillId="0" borderId="48" xfId="0" applyFont="1" applyBorder="1" applyAlignment="1">
      <alignment horizontal="center" wrapText="1"/>
    </xf>
    <xf numFmtId="0" fontId="37" fillId="0" borderId="37" xfId="0" applyFont="1" applyBorder="1" applyAlignment="1">
      <alignment horizontal="center" wrapText="1"/>
    </xf>
    <xf numFmtId="0" fontId="37" fillId="0" borderId="44" xfId="0" applyFont="1" applyBorder="1" applyAlignment="1">
      <alignment horizontal="center" wrapText="1"/>
    </xf>
    <xf numFmtId="0" fontId="37" fillId="0" borderId="56" xfId="0" applyFont="1" applyBorder="1" applyAlignment="1">
      <alignment horizontal="center" wrapText="1"/>
    </xf>
    <xf numFmtId="0" fontId="37" fillId="0" borderId="41" xfId="0" applyFont="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48" xfId="0" applyFont="1" applyBorder="1" applyAlignment="1">
      <alignment horizontal="center"/>
    </xf>
    <xf numFmtId="0" fontId="37" fillId="0" borderId="37" xfId="0" applyFont="1" applyBorder="1" applyAlignment="1">
      <alignment horizontal="center"/>
    </xf>
    <xf numFmtId="0" fontId="37" fillId="0" borderId="44" xfId="0" applyFont="1" applyBorder="1" applyAlignment="1">
      <alignment horizontal="center"/>
    </xf>
    <xf numFmtId="0" fontId="10" fillId="0" borderId="0" xfId="0" applyFont="1" applyBorder="1" applyAlignment="1">
      <alignment horizontal="center"/>
    </xf>
    <xf numFmtId="0" fontId="1" fillId="0" borderId="0" xfId="0" applyFont="1" applyAlignment="1">
      <alignment horizontal="center"/>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14" fillId="0" borderId="0" xfId="0" applyFont="1" applyAlignment="1">
      <alignment horizontal="left" vertical="center" wrapText="1" indent="1"/>
    </xf>
    <xf numFmtId="0" fontId="14" fillId="0" borderId="4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98" xfId="0" applyFont="1" applyBorder="1" applyAlignment="1">
      <alignment horizontal="left" vertical="center" wrapText="1"/>
    </xf>
    <xf numFmtId="0" fontId="14" fillId="0" borderId="103" xfId="0" applyFont="1" applyBorder="1" applyAlignment="1">
      <alignment horizontal="left" vertical="center" wrapText="1"/>
    </xf>
    <xf numFmtId="0" fontId="14" fillId="0" borderId="3"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103" xfId="0" applyFont="1" applyBorder="1" applyAlignment="1">
      <alignment horizontal="left" vertical="center" wrapText="1" indent="1"/>
    </xf>
    <xf numFmtId="0" fontId="46" fillId="0" borderId="131" xfId="0" applyFont="1" applyBorder="1" applyAlignment="1">
      <alignment vertical="center"/>
    </xf>
    <xf numFmtId="0" fontId="46" fillId="0" borderId="132" xfId="0" applyFont="1" applyBorder="1" applyAlignment="1">
      <alignment vertical="center"/>
    </xf>
    <xf numFmtId="0" fontId="46" fillId="0" borderId="133" xfId="0" applyFont="1" applyBorder="1" applyAlignment="1">
      <alignment vertical="center"/>
    </xf>
    <xf numFmtId="0" fontId="46" fillId="0" borderId="134" xfId="0" applyFont="1" applyBorder="1" applyAlignment="1">
      <alignment vertical="center"/>
    </xf>
    <xf numFmtId="0" fontId="46" fillId="2" borderId="139" xfId="0" applyFont="1" applyFill="1" applyBorder="1" applyAlignment="1">
      <alignment horizontal="center" vertical="center" wrapText="1"/>
    </xf>
    <xf numFmtId="0" fontId="46" fillId="2" borderId="140" xfId="0" applyFont="1" applyFill="1" applyBorder="1" applyAlignment="1">
      <alignment horizontal="center" vertical="center" wrapText="1"/>
    </xf>
    <xf numFmtId="0" fontId="46" fillId="2" borderId="141" xfId="0" applyFont="1" applyFill="1" applyBorder="1" applyAlignment="1">
      <alignment horizontal="center" vertical="center" wrapText="1"/>
    </xf>
    <xf numFmtId="0" fontId="46" fillId="2" borderId="142" xfId="0" applyFont="1" applyFill="1" applyBorder="1" applyAlignment="1">
      <alignment horizontal="center" vertical="center" wrapText="1"/>
    </xf>
    <xf numFmtId="0" fontId="47" fillId="0" borderId="143" xfId="0" applyFont="1" applyBorder="1" applyAlignment="1">
      <alignment vertical="center"/>
    </xf>
    <xf numFmtId="0" fontId="47" fillId="0" borderId="144" xfId="0" applyFont="1" applyBorder="1" applyAlignment="1">
      <alignment vertical="center"/>
    </xf>
    <xf numFmtId="0" fontId="47" fillId="0" borderId="145" xfId="0" applyFont="1" applyBorder="1" applyAlignment="1">
      <alignment vertical="center"/>
    </xf>
    <xf numFmtId="0" fontId="47" fillId="0" borderId="34" xfId="0" applyFont="1" applyBorder="1" applyAlignment="1">
      <alignment vertical="center"/>
    </xf>
    <xf numFmtId="0" fontId="47" fillId="0" borderId="146" xfId="0" applyFont="1" applyBorder="1" applyAlignment="1">
      <alignment horizontal="center" vertical="center" wrapText="1"/>
    </xf>
    <xf numFmtId="0" fontId="47" fillId="0" borderId="138" xfId="0" applyFont="1" applyBorder="1" applyAlignment="1">
      <alignment horizontal="center" vertical="center" wrapText="1"/>
    </xf>
    <xf numFmtId="0" fontId="47" fillId="0" borderId="137"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cellXfs>
  <cellStyles count="32">
    <cellStyle name="Comma" xfId="1" builtinId="3"/>
    <cellStyle name="Comma 2" xfId="5"/>
    <cellStyle name="Comma 2 2" xfId="11"/>
    <cellStyle name="Comma 3" xfId="6"/>
    <cellStyle name="Comma 4" xfId="14"/>
    <cellStyle name="Comma 4 2" xfId="15"/>
    <cellStyle name="Comma 5" xfId="21"/>
    <cellStyle name="Comma 6" xfId="26"/>
    <cellStyle name="Currency 2" xfId="4"/>
    <cellStyle name="Currency 2 2" xfId="10"/>
    <cellStyle name="Currency 3" xfId="13"/>
    <cellStyle name="Currency 3 2" xfId="28"/>
    <cellStyle name="Currency 4" xfId="16"/>
    <cellStyle name="Currency 4 2" xfId="17"/>
    <cellStyle name="Currency 5" xfId="27"/>
    <cellStyle name="Normal" xfId="0" builtinId="0"/>
    <cellStyle name="Normal 2" xfId="3"/>
    <cellStyle name="Normal 3" xfId="7"/>
    <cellStyle name="Normal 4" xfId="12"/>
    <cellStyle name="Normal 4 2" xfId="29"/>
    <cellStyle name="Normal 5" xfId="20"/>
    <cellStyle name="Normal 6" xfId="22"/>
    <cellStyle name="Normal 7" xfId="23"/>
    <cellStyle name="Normal 8" xfId="24"/>
    <cellStyle name="Normal 9" xfId="25"/>
    <cellStyle name="Normal_Appendix Exhibits.FINAL 2" xfId="30"/>
    <cellStyle name="Normal_Improve by DU" xfId="2"/>
    <cellStyle name="Normal_Sheet1 2" xfId="31"/>
    <cellStyle name="Percent 2" xfId="8"/>
    <cellStyle name="Percent 2 2" xfId="9"/>
    <cellStyle name="Percent 3" xfId="18"/>
    <cellStyle name="Percent 3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147629</xdr:rowOff>
    </xdr:from>
    <xdr:to>
      <xdr:col>10</xdr:col>
      <xdr:colOff>668453</xdr:colOff>
      <xdr:row>31</xdr:row>
      <xdr:rowOff>138121</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4875" y="338129"/>
          <a:ext cx="7383578" cy="570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M1:M34"/>
  <sheetViews>
    <sheetView tabSelected="1" view="pageBreakPreview" zoomScaleNormal="100" zoomScaleSheetLayoutView="100" workbookViewId="0">
      <selection activeCell="P20" sqref="P20"/>
    </sheetView>
  </sheetViews>
  <sheetFormatPr defaultRowHeight="15" x14ac:dyDescent="0.2"/>
  <cols>
    <col min="12" max="12" width="4.109375" customWidth="1"/>
  </cols>
  <sheetData>
    <row r="1" spans="13:13" x14ac:dyDescent="0.2">
      <c r="M1" s="78" t="s">
        <v>67</v>
      </c>
    </row>
    <row r="2" spans="13:13" x14ac:dyDescent="0.2">
      <c r="M2" s="78" t="s">
        <v>67</v>
      </c>
    </row>
    <row r="3" spans="13:13" x14ac:dyDescent="0.2">
      <c r="M3" s="78" t="s">
        <v>67</v>
      </c>
    </row>
    <row r="4" spans="13:13" x14ac:dyDescent="0.2">
      <c r="M4" s="78" t="s">
        <v>67</v>
      </c>
    </row>
    <row r="5" spans="13:13" x14ac:dyDescent="0.2">
      <c r="M5" s="78" t="s">
        <v>67</v>
      </c>
    </row>
    <row r="6" spans="13:13" x14ac:dyDescent="0.2">
      <c r="M6" s="78" t="s">
        <v>67</v>
      </c>
    </row>
    <row r="7" spans="13:13" x14ac:dyDescent="0.2">
      <c r="M7" s="78" t="s">
        <v>67</v>
      </c>
    </row>
    <row r="8" spans="13:13" x14ac:dyDescent="0.2">
      <c r="M8" s="78" t="s">
        <v>67</v>
      </c>
    </row>
    <row r="9" spans="13:13" x14ac:dyDescent="0.2">
      <c r="M9" s="78" t="s">
        <v>67</v>
      </c>
    </row>
    <row r="10" spans="13:13" x14ac:dyDescent="0.2">
      <c r="M10" s="78" t="s">
        <v>67</v>
      </c>
    </row>
    <row r="11" spans="13:13" x14ac:dyDescent="0.2">
      <c r="M11" s="78" t="s">
        <v>67</v>
      </c>
    </row>
    <row r="12" spans="13:13" x14ac:dyDescent="0.2">
      <c r="M12" s="78" t="s">
        <v>67</v>
      </c>
    </row>
    <row r="13" spans="13:13" x14ac:dyDescent="0.2">
      <c r="M13" s="78" t="s">
        <v>67</v>
      </c>
    </row>
    <row r="14" spans="13:13" x14ac:dyDescent="0.2">
      <c r="M14" s="78" t="s">
        <v>67</v>
      </c>
    </row>
    <row r="15" spans="13:13" x14ac:dyDescent="0.2">
      <c r="M15" s="78" t="s">
        <v>67</v>
      </c>
    </row>
    <row r="16" spans="13:13" x14ac:dyDescent="0.2">
      <c r="M16" s="78" t="s">
        <v>67</v>
      </c>
    </row>
    <row r="17" spans="13:13" x14ac:dyDescent="0.2">
      <c r="M17" s="78" t="s">
        <v>67</v>
      </c>
    </row>
    <row r="18" spans="13:13" x14ac:dyDescent="0.2">
      <c r="M18" s="78" t="s">
        <v>67</v>
      </c>
    </row>
    <row r="19" spans="13:13" x14ac:dyDescent="0.2">
      <c r="M19" s="78" t="s">
        <v>67</v>
      </c>
    </row>
    <row r="20" spans="13:13" x14ac:dyDescent="0.2">
      <c r="M20" s="78" t="s">
        <v>67</v>
      </c>
    </row>
    <row r="21" spans="13:13" x14ac:dyDescent="0.2">
      <c r="M21" s="78" t="s">
        <v>67</v>
      </c>
    </row>
    <row r="22" spans="13:13" x14ac:dyDescent="0.2">
      <c r="M22" s="78" t="s">
        <v>67</v>
      </c>
    </row>
    <row r="23" spans="13:13" x14ac:dyDescent="0.2">
      <c r="M23" s="78" t="s">
        <v>67</v>
      </c>
    </row>
    <row r="24" spans="13:13" x14ac:dyDescent="0.2">
      <c r="M24" s="78" t="s">
        <v>67</v>
      </c>
    </row>
    <row r="25" spans="13:13" x14ac:dyDescent="0.2">
      <c r="M25" s="78" t="s">
        <v>67</v>
      </c>
    </row>
    <row r="26" spans="13:13" x14ac:dyDescent="0.2">
      <c r="M26" s="78" t="s">
        <v>67</v>
      </c>
    </row>
    <row r="27" spans="13:13" x14ac:dyDescent="0.2">
      <c r="M27" s="78" t="s">
        <v>67</v>
      </c>
    </row>
    <row r="28" spans="13:13" x14ac:dyDescent="0.2">
      <c r="M28" s="78" t="s">
        <v>67</v>
      </c>
    </row>
    <row r="29" spans="13:13" x14ac:dyDescent="0.2">
      <c r="M29" s="78" t="s">
        <v>67</v>
      </c>
    </row>
    <row r="30" spans="13:13" x14ac:dyDescent="0.2">
      <c r="M30" s="78" t="s">
        <v>67</v>
      </c>
    </row>
    <row r="31" spans="13:13" x14ac:dyDescent="0.2">
      <c r="M31" s="78" t="s">
        <v>67</v>
      </c>
    </row>
    <row r="32" spans="13:13" x14ac:dyDescent="0.2">
      <c r="M32" s="78" t="s">
        <v>67</v>
      </c>
    </row>
    <row r="33" spans="13:13" x14ac:dyDescent="0.2">
      <c r="M33" s="78" t="s">
        <v>67</v>
      </c>
    </row>
    <row r="34" spans="13:13" x14ac:dyDescent="0.2">
      <c r="M34" s="78" t="s">
        <v>68</v>
      </c>
    </row>
  </sheetData>
  <pageMargins left="0" right="0" top="1.25" bottom="0.25" header="1" footer="0.3"/>
  <pageSetup orientation="landscape" r:id="rId1"/>
  <headerFooter>
    <oddHeader>&amp;L&amp;"Arial,Bold"A: Organization Chart</oddHeader>
    <oddFooter>&amp;C&amp;"Times New Roman,Regular"Exhibit A:  Organization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0" zoomScaleNormal="100" zoomScaleSheetLayoutView="80" workbookViewId="0">
      <selection activeCell="A12" sqref="A12:XFD12"/>
    </sheetView>
  </sheetViews>
  <sheetFormatPr defaultRowHeight="14.25" x14ac:dyDescent="0.2"/>
  <cols>
    <col min="1" max="1" width="35.6640625" style="287" customWidth="1"/>
    <col min="2" max="2" width="11.5546875" style="287" customWidth="1"/>
    <col min="3" max="3" width="11.6640625" style="287" customWidth="1"/>
    <col min="4" max="4" width="10.6640625" style="287" customWidth="1"/>
    <col min="5" max="5" width="13.44140625" style="287" customWidth="1"/>
    <col min="6" max="6" width="9.109375" style="287" customWidth="1"/>
    <col min="7" max="7" width="10" style="287" customWidth="1"/>
    <col min="8" max="8" width="10.21875" style="287" customWidth="1"/>
    <col min="9" max="9" width="10.6640625" style="287" customWidth="1"/>
    <col min="10" max="10" width="11.6640625" style="287" customWidth="1"/>
    <col min="11" max="11" width="10.88671875" style="288" bestFit="1" customWidth="1"/>
    <col min="12" max="12" width="3.5546875" style="287" customWidth="1"/>
    <col min="13" max="14" width="6.44140625" style="287" customWidth="1"/>
    <col min="15" max="15" width="9.88671875" style="287" customWidth="1"/>
    <col min="16" max="17" width="6.44140625" style="287" customWidth="1"/>
    <col min="18" max="18" width="9.88671875" style="287" customWidth="1"/>
    <col min="19" max="16384" width="8.88671875" style="287"/>
  </cols>
  <sheetData>
    <row r="1" spans="1:18" ht="18" x14ac:dyDescent="0.25">
      <c r="A1" s="646" t="s">
        <v>6</v>
      </c>
      <c r="B1" s="646"/>
      <c r="C1" s="646"/>
      <c r="D1" s="646"/>
      <c r="E1" s="646"/>
      <c r="F1" s="646"/>
      <c r="G1" s="646"/>
      <c r="H1" s="646"/>
      <c r="I1" s="646"/>
      <c r="J1" s="646"/>
      <c r="K1" s="304" t="s">
        <v>67</v>
      </c>
      <c r="L1" s="303"/>
      <c r="M1" s="303"/>
      <c r="N1" s="303"/>
      <c r="O1" s="303"/>
      <c r="P1" s="303"/>
      <c r="Q1" s="303"/>
      <c r="R1" s="303"/>
    </row>
    <row r="2" spans="1:18" ht="15" x14ac:dyDescent="0.2">
      <c r="A2" s="647" t="s">
        <v>16</v>
      </c>
      <c r="B2" s="647"/>
      <c r="C2" s="647"/>
      <c r="D2" s="647"/>
      <c r="E2" s="647"/>
      <c r="F2" s="647"/>
      <c r="G2" s="647"/>
      <c r="H2" s="647"/>
      <c r="I2" s="647"/>
      <c r="J2" s="647"/>
      <c r="K2" s="304" t="s">
        <v>67</v>
      </c>
      <c r="L2" s="302"/>
      <c r="M2" s="302"/>
      <c r="N2" s="302"/>
      <c r="O2" s="302"/>
      <c r="P2" s="302"/>
      <c r="Q2" s="302"/>
      <c r="R2" s="302"/>
    </row>
    <row r="3" spans="1:18" x14ac:dyDescent="0.2">
      <c r="A3" s="648" t="s">
        <v>17</v>
      </c>
      <c r="B3" s="648"/>
      <c r="C3" s="648"/>
      <c r="D3" s="648"/>
      <c r="E3" s="648"/>
      <c r="F3" s="648"/>
      <c r="G3" s="648"/>
      <c r="H3" s="648"/>
      <c r="I3" s="648"/>
      <c r="J3" s="648"/>
      <c r="K3" s="304" t="s">
        <v>67</v>
      </c>
      <c r="L3" s="301"/>
      <c r="M3" s="301"/>
      <c r="N3" s="301"/>
      <c r="O3" s="301"/>
      <c r="P3" s="301"/>
      <c r="Q3" s="301"/>
      <c r="R3" s="301"/>
    </row>
    <row r="4" spans="1:18" x14ac:dyDescent="0.2">
      <c r="A4" s="649" t="s">
        <v>39</v>
      </c>
      <c r="B4" s="649"/>
      <c r="C4" s="649"/>
      <c r="D4" s="649"/>
      <c r="E4" s="649"/>
      <c r="F4" s="649"/>
      <c r="G4" s="649"/>
      <c r="H4" s="649"/>
      <c r="I4" s="649"/>
      <c r="J4" s="649"/>
      <c r="K4" s="304" t="s">
        <v>67</v>
      </c>
      <c r="L4" s="300"/>
      <c r="M4" s="300"/>
      <c r="N4" s="300"/>
      <c r="O4" s="300"/>
      <c r="P4" s="300"/>
      <c r="Q4" s="300"/>
      <c r="R4" s="300"/>
    </row>
    <row r="5" spans="1:18" ht="15" thickBot="1" x14ac:dyDescent="0.25">
      <c r="A5" s="649"/>
      <c r="B5" s="649"/>
      <c r="C5" s="649"/>
      <c r="D5" s="649"/>
      <c r="E5" s="649"/>
      <c r="F5" s="649"/>
      <c r="G5" s="649"/>
      <c r="H5" s="649"/>
      <c r="I5" s="649"/>
      <c r="J5" s="649"/>
      <c r="K5" s="304" t="s">
        <v>67</v>
      </c>
      <c r="L5" s="300"/>
      <c r="M5" s="300"/>
      <c r="N5" s="300"/>
      <c r="O5" s="300"/>
      <c r="P5" s="300"/>
      <c r="Q5" s="300"/>
      <c r="R5" s="300"/>
    </row>
    <row r="6" spans="1:18" ht="39" customHeight="1" x14ac:dyDescent="0.2">
      <c r="A6" s="667" t="s">
        <v>19</v>
      </c>
      <c r="B6" s="663" t="s">
        <v>251</v>
      </c>
      <c r="C6" s="664"/>
      <c r="D6" s="663" t="s">
        <v>253</v>
      </c>
      <c r="E6" s="664"/>
      <c r="F6" s="665" t="s">
        <v>215</v>
      </c>
      <c r="G6" s="650"/>
      <c r="H6" s="650"/>
      <c r="I6" s="650"/>
      <c r="J6" s="666"/>
      <c r="K6" s="304" t="s">
        <v>67</v>
      </c>
    </row>
    <row r="7" spans="1:18" ht="28.5" x14ac:dyDescent="0.2">
      <c r="A7" s="668"/>
      <c r="B7" s="295" t="s">
        <v>110</v>
      </c>
      <c r="C7" s="295" t="s">
        <v>177</v>
      </c>
      <c r="D7" s="295" t="s">
        <v>110</v>
      </c>
      <c r="E7" s="295" t="s">
        <v>177</v>
      </c>
      <c r="F7" s="295" t="s">
        <v>70</v>
      </c>
      <c r="G7" s="295" t="s">
        <v>74</v>
      </c>
      <c r="H7" s="295" t="s">
        <v>49</v>
      </c>
      <c r="I7" s="295" t="s">
        <v>194</v>
      </c>
      <c r="J7" s="294" t="s">
        <v>193</v>
      </c>
      <c r="K7" s="304" t="s">
        <v>67</v>
      </c>
    </row>
    <row r="8" spans="1:18" x14ac:dyDescent="0.2">
      <c r="A8" s="329" t="s">
        <v>24</v>
      </c>
      <c r="B8" s="328">
        <v>2047</v>
      </c>
      <c r="C8" s="328">
        <v>0</v>
      </c>
      <c r="D8" s="328">
        <v>2070</v>
      </c>
      <c r="E8" s="328">
        <v>0</v>
      </c>
      <c r="F8" s="328">
        <v>0</v>
      </c>
      <c r="G8" s="328">
        <v>0</v>
      </c>
      <c r="H8" s="328">
        <v>0</v>
      </c>
      <c r="I8" s="328">
        <f t="shared" ref="I8:I27" si="0">D8+F8+G8+H8</f>
        <v>2070</v>
      </c>
      <c r="J8" s="517">
        <v>0</v>
      </c>
      <c r="K8" s="304" t="s">
        <v>67</v>
      </c>
    </row>
    <row r="9" spans="1:18" x14ac:dyDescent="0.2">
      <c r="A9" s="327" t="s">
        <v>25</v>
      </c>
      <c r="B9" s="326">
        <v>20162</v>
      </c>
      <c r="C9" s="326">
        <v>0</v>
      </c>
      <c r="D9" s="326">
        <v>20911</v>
      </c>
      <c r="E9" s="326">
        <v>0</v>
      </c>
      <c r="F9" s="326">
        <v>0</v>
      </c>
      <c r="G9" s="326">
        <v>0</v>
      </c>
      <c r="H9" s="326">
        <v>0</v>
      </c>
      <c r="I9" s="326">
        <f t="shared" si="0"/>
        <v>20911</v>
      </c>
      <c r="J9" s="522">
        <v>0</v>
      </c>
      <c r="K9" s="304" t="s">
        <v>67</v>
      </c>
    </row>
    <row r="10" spans="1:18" x14ac:dyDescent="0.2">
      <c r="A10" s="324" t="s">
        <v>192</v>
      </c>
      <c r="B10" s="311">
        <v>889</v>
      </c>
      <c r="C10" s="311">
        <v>19</v>
      </c>
      <c r="D10" s="311">
        <v>899</v>
      </c>
      <c r="E10" s="311">
        <v>19</v>
      </c>
      <c r="F10" s="311">
        <v>0</v>
      </c>
      <c r="G10" s="311">
        <v>0</v>
      </c>
      <c r="H10" s="311">
        <v>0</v>
      </c>
      <c r="I10" s="311">
        <f t="shared" si="0"/>
        <v>899</v>
      </c>
      <c r="J10" s="312">
        <v>19</v>
      </c>
      <c r="K10" s="304" t="s">
        <v>67</v>
      </c>
    </row>
    <row r="11" spans="1:18" x14ac:dyDescent="0.2">
      <c r="A11" s="325" t="s">
        <v>191</v>
      </c>
      <c r="B11" s="310">
        <v>3100</v>
      </c>
      <c r="C11" s="310">
        <v>18</v>
      </c>
      <c r="D11" s="310">
        <v>3165</v>
      </c>
      <c r="E11" s="310">
        <v>18</v>
      </c>
      <c r="F11" s="310">
        <v>0</v>
      </c>
      <c r="G11" s="310">
        <v>0</v>
      </c>
      <c r="H11" s="310">
        <v>0</v>
      </c>
      <c r="I11" s="310">
        <f t="shared" si="0"/>
        <v>3165</v>
      </c>
      <c r="J11" s="309">
        <v>18</v>
      </c>
      <c r="K11" s="304" t="s">
        <v>67</v>
      </c>
    </row>
    <row r="12" spans="1:18" x14ac:dyDescent="0.2">
      <c r="A12" s="323" t="s">
        <v>26</v>
      </c>
      <c r="B12" s="290">
        <v>868</v>
      </c>
      <c r="C12" s="290">
        <v>2</v>
      </c>
      <c r="D12" s="290">
        <v>887</v>
      </c>
      <c r="E12" s="290">
        <v>2</v>
      </c>
      <c r="F12" s="290">
        <v>0</v>
      </c>
      <c r="G12" s="290">
        <v>0</v>
      </c>
      <c r="H12" s="290">
        <v>0</v>
      </c>
      <c r="I12" s="290">
        <f t="shared" si="0"/>
        <v>887</v>
      </c>
      <c r="J12" s="289">
        <v>2</v>
      </c>
      <c r="K12" s="304" t="s">
        <v>67</v>
      </c>
    </row>
    <row r="13" spans="1:18" x14ac:dyDescent="0.2">
      <c r="A13" s="323" t="s">
        <v>190</v>
      </c>
      <c r="B13" s="290">
        <v>2803</v>
      </c>
      <c r="C13" s="290">
        <v>58</v>
      </c>
      <c r="D13" s="290">
        <v>2966</v>
      </c>
      <c r="E13" s="290">
        <v>58</v>
      </c>
      <c r="F13" s="290">
        <v>0</v>
      </c>
      <c r="G13" s="290">
        <v>0</v>
      </c>
      <c r="H13" s="290">
        <v>0</v>
      </c>
      <c r="I13" s="290">
        <f t="shared" si="0"/>
        <v>2966</v>
      </c>
      <c r="J13" s="289">
        <v>58</v>
      </c>
      <c r="K13" s="304" t="s">
        <v>67</v>
      </c>
    </row>
    <row r="14" spans="1:18" x14ac:dyDescent="0.2">
      <c r="A14" s="323" t="s">
        <v>189</v>
      </c>
      <c r="B14" s="290">
        <v>2</v>
      </c>
      <c r="C14" s="290">
        <v>0</v>
      </c>
      <c r="D14" s="290">
        <v>2</v>
      </c>
      <c r="E14" s="290">
        <v>0</v>
      </c>
      <c r="F14" s="290">
        <v>0</v>
      </c>
      <c r="G14" s="290">
        <v>0</v>
      </c>
      <c r="H14" s="290">
        <v>0</v>
      </c>
      <c r="I14" s="290">
        <f t="shared" si="0"/>
        <v>2</v>
      </c>
      <c r="J14" s="289">
        <v>0</v>
      </c>
      <c r="K14" s="304" t="s">
        <v>67</v>
      </c>
    </row>
    <row r="15" spans="1:18" x14ac:dyDescent="0.2">
      <c r="A15" s="323" t="s">
        <v>27</v>
      </c>
      <c r="B15" s="290">
        <v>975</v>
      </c>
      <c r="C15" s="290">
        <v>4</v>
      </c>
      <c r="D15" s="290">
        <v>989</v>
      </c>
      <c r="E15" s="290">
        <v>4</v>
      </c>
      <c r="F15" s="290">
        <v>0</v>
      </c>
      <c r="G15" s="290">
        <v>0</v>
      </c>
      <c r="H15" s="290">
        <v>0</v>
      </c>
      <c r="I15" s="290">
        <f t="shared" si="0"/>
        <v>989</v>
      </c>
      <c r="J15" s="289">
        <v>4</v>
      </c>
      <c r="K15" s="304" t="s">
        <v>67</v>
      </c>
    </row>
    <row r="16" spans="1:18" x14ac:dyDescent="0.2">
      <c r="A16" s="323" t="s">
        <v>188</v>
      </c>
      <c r="B16" s="290">
        <v>2765</v>
      </c>
      <c r="C16" s="290">
        <v>8</v>
      </c>
      <c r="D16" s="290">
        <v>2818</v>
      </c>
      <c r="E16" s="290">
        <v>8</v>
      </c>
      <c r="F16" s="290">
        <v>0</v>
      </c>
      <c r="G16" s="290">
        <v>0</v>
      </c>
      <c r="H16" s="290">
        <v>0</v>
      </c>
      <c r="I16" s="290">
        <f t="shared" si="0"/>
        <v>2818</v>
      </c>
      <c r="J16" s="289">
        <v>8</v>
      </c>
      <c r="K16" s="304" t="s">
        <v>67</v>
      </c>
    </row>
    <row r="17" spans="1:11" x14ac:dyDescent="0.2">
      <c r="A17" s="323" t="s">
        <v>28</v>
      </c>
      <c r="B17" s="290">
        <v>368</v>
      </c>
      <c r="C17" s="290">
        <v>0</v>
      </c>
      <c r="D17" s="290">
        <v>378</v>
      </c>
      <c r="E17" s="290">
        <v>0</v>
      </c>
      <c r="F17" s="290">
        <v>0</v>
      </c>
      <c r="G17" s="290">
        <v>0</v>
      </c>
      <c r="H17" s="290">
        <v>0</v>
      </c>
      <c r="I17" s="290">
        <f t="shared" si="0"/>
        <v>378</v>
      </c>
      <c r="J17" s="289">
        <v>0</v>
      </c>
      <c r="K17" s="304" t="s">
        <v>67</v>
      </c>
    </row>
    <row r="18" spans="1:11" x14ac:dyDescent="0.2">
      <c r="A18" s="323" t="s">
        <v>23</v>
      </c>
      <c r="B18" s="290">
        <v>177</v>
      </c>
      <c r="C18" s="290">
        <v>0</v>
      </c>
      <c r="D18" s="290">
        <v>181</v>
      </c>
      <c r="E18" s="290">
        <v>0</v>
      </c>
      <c r="F18" s="290">
        <v>0</v>
      </c>
      <c r="G18" s="290">
        <v>0</v>
      </c>
      <c r="H18" s="290">
        <v>0</v>
      </c>
      <c r="I18" s="290">
        <f t="shared" si="0"/>
        <v>181</v>
      </c>
      <c r="J18" s="289">
        <v>0</v>
      </c>
      <c r="K18" s="304" t="s">
        <v>67</v>
      </c>
    </row>
    <row r="19" spans="1:11" x14ac:dyDescent="0.2">
      <c r="A19" s="323" t="s">
        <v>187</v>
      </c>
      <c r="B19" s="290">
        <v>586</v>
      </c>
      <c r="C19" s="290">
        <v>0</v>
      </c>
      <c r="D19" s="290">
        <v>597</v>
      </c>
      <c r="E19" s="290">
        <v>0</v>
      </c>
      <c r="F19" s="290">
        <v>0</v>
      </c>
      <c r="G19" s="290">
        <v>0</v>
      </c>
      <c r="H19" s="290">
        <v>0</v>
      </c>
      <c r="I19" s="290">
        <f t="shared" si="0"/>
        <v>597</v>
      </c>
      <c r="J19" s="289">
        <v>0</v>
      </c>
      <c r="K19" s="304" t="s">
        <v>67</v>
      </c>
    </row>
    <row r="20" spans="1:11" x14ac:dyDescent="0.2">
      <c r="A20" s="323" t="s">
        <v>186</v>
      </c>
      <c r="B20" s="290">
        <v>19</v>
      </c>
      <c r="C20" s="290">
        <v>0</v>
      </c>
      <c r="D20" s="290">
        <v>19</v>
      </c>
      <c r="E20" s="290">
        <v>0</v>
      </c>
      <c r="F20" s="290">
        <v>0</v>
      </c>
      <c r="G20" s="290">
        <v>0</v>
      </c>
      <c r="H20" s="290">
        <v>0</v>
      </c>
      <c r="I20" s="290">
        <f t="shared" si="0"/>
        <v>19</v>
      </c>
      <c r="J20" s="289">
        <v>0</v>
      </c>
      <c r="K20" s="304" t="s">
        <v>67</v>
      </c>
    </row>
    <row r="21" spans="1:11" x14ac:dyDescent="0.2">
      <c r="A21" s="323" t="s">
        <v>185</v>
      </c>
      <c r="B21" s="290">
        <v>407</v>
      </c>
      <c r="C21" s="290">
        <v>0</v>
      </c>
      <c r="D21" s="290">
        <v>410</v>
      </c>
      <c r="E21" s="290">
        <v>0</v>
      </c>
      <c r="F21" s="290">
        <v>0</v>
      </c>
      <c r="G21" s="290">
        <v>0</v>
      </c>
      <c r="H21" s="290">
        <v>0</v>
      </c>
      <c r="I21" s="290">
        <f t="shared" si="0"/>
        <v>410</v>
      </c>
      <c r="J21" s="289">
        <v>0</v>
      </c>
      <c r="K21" s="304" t="s">
        <v>67</v>
      </c>
    </row>
    <row r="22" spans="1:11" x14ac:dyDescent="0.2">
      <c r="A22" s="323" t="s">
        <v>184</v>
      </c>
      <c r="B22" s="290">
        <v>522</v>
      </c>
      <c r="C22" s="290">
        <v>16</v>
      </c>
      <c r="D22" s="290">
        <v>529</v>
      </c>
      <c r="E22" s="290">
        <v>16</v>
      </c>
      <c r="F22" s="290">
        <v>0</v>
      </c>
      <c r="G22" s="290">
        <v>0</v>
      </c>
      <c r="H22" s="290">
        <v>0</v>
      </c>
      <c r="I22" s="290">
        <f t="shared" si="0"/>
        <v>529</v>
      </c>
      <c r="J22" s="289">
        <v>16</v>
      </c>
      <c r="K22" s="304" t="s">
        <v>67</v>
      </c>
    </row>
    <row r="23" spans="1:11" x14ac:dyDescent="0.2">
      <c r="A23" s="323" t="s">
        <v>183</v>
      </c>
      <c r="B23" s="290">
        <v>1324</v>
      </c>
      <c r="C23" s="290">
        <v>9</v>
      </c>
      <c r="D23" s="290">
        <v>1365</v>
      </c>
      <c r="E23" s="290">
        <v>9</v>
      </c>
      <c r="F23" s="290">
        <v>0</v>
      </c>
      <c r="G23" s="290">
        <v>0</v>
      </c>
      <c r="H23" s="290">
        <v>0</v>
      </c>
      <c r="I23" s="290">
        <f t="shared" si="0"/>
        <v>1365</v>
      </c>
      <c r="J23" s="289">
        <v>9</v>
      </c>
      <c r="K23" s="304" t="s">
        <v>67</v>
      </c>
    </row>
    <row r="24" spans="1:11" x14ac:dyDescent="0.2">
      <c r="A24" s="323" t="s">
        <v>182</v>
      </c>
      <c r="B24" s="290">
        <v>129</v>
      </c>
      <c r="C24" s="290">
        <v>0</v>
      </c>
      <c r="D24" s="290">
        <v>132</v>
      </c>
      <c r="E24" s="290">
        <v>0</v>
      </c>
      <c r="F24" s="290">
        <v>0</v>
      </c>
      <c r="G24" s="290">
        <v>0</v>
      </c>
      <c r="H24" s="290">
        <v>0</v>
      </c>
      <c r="I24" s="290">
        <f t="shared" si="0"/>
        <v>132</v>
      </c>
      <c r="J24" s="289">
        <v>0</v>
      </c>
      <c r="K24" s="304" t="s">
        <v>67</v>
      </c>
    </row>
    <row r="25" spans="1:11" x14ac:dyDescent="0.2">
      <c r="A25" s="323" t="s">
        <v>29</v>
      </c>
      <c r="B25" s="290">
        <v>3</v>
      </c>
      <c r="C25" s="290">
        <v>0</v>
      </c>
      <c r="D25" s="290">
        <v>3</v>
      </c>
      <c r="E25" s="290">
        <v>0</v>
      </c>
      <c r="F25" s="290">
        <v>0</v>
      </c>
      <c r="G25" s="290">
        <v>0</v>
      </c>
      <c r="H25" s="290">
        <v>0</v>
      </c>
      <c r="I25" s="290">
        <f t="shared" si="0"/>
        <v>3</v>
      </c>
      <c r="J25" s="289">
        <v>0</v>
      </c>
      <c r="K25" s="304" t="s">
        <v>67</v>
      </c>
    </row>
    <row r="26" spans="1:11" x14ac:dyDescent="0.2">
      <c r="A26" s="323" t="s">
        <v>181</v>
      </c>
      <c r="B26" s="290">
        <v>410</v>
      </c>
      <c r="C26" s="290">
        <v>0</v>
      </c>
      <c r="D26" s="290">
        <v>417</v>
      </c>
      <c r="E26" s="290">
        <v>0</v>
      </c>
      <c r="F26" s="290">
        <v>0</v>
      </c>
      <c r="G26" s="290">
        <v>0</v>
      </c>
      <c r="H26" s="290">
        <v>0</v>
      </c>
      <c r="I26" s="290">
        <f t="shared" si="0"/>
        <v>417</v>
      </c>
      <c r="J26" s="289">
        <v>0</v>
      </c>
      <c r="K26" s="304" t="s">
        <v>67</v>
      </c>
    </row>
    <row r="27" spans="1:11" x14ac:dyDescent="0.2">
      <c r="A27" s="323" t="s">
        <v>153</v>
      </c>
      <c r="B27" s="290">
        <v>4224</v>
      </c>
      <c r="C27" s="290">
        <v>2</v>
      </c>
      <c r="D27" s="290">
        <v>4320</v>
      </c>
      <c r="E27" s="290">
        <v>2</v>
      </c>
      <c r="F27" s="290">
        <v>0</v>
      </c>
      <c r="G27" s="290">
        <v>0</v>
      </c>
      <c r="H27" s="290">
        <v>0</v>
      </c>
      <c r="I27" s="290">
        <f t="shared" si="0"/>
        <v>4320</v>
      </c>
      <c r="J27" s="289">
        <v>2</v>
      </c>
      <c r="K27" s="304" t="s">
        <v>67</v>
      </c>
    </row>
    <row r="28" spans="1:11" ht="15" x14ac:dyDescent="0.25">
      <c r="A28" s="320" t="s">
        <v>18</v>
      </c>
      <c r="B28" s="314">
        <f t="shared" ref="B28:J28" si="1">SUM(B8:B27)</f>
        <v>41780</v>
      </c>
      <c r="C28" s="314">
        <f t="shared" si="1"/>
        <v>136</v>
      </c>
      <c r="D28" s="314">
        <f t="shared" si="1"/>
        <v>43058</v>
      </c>
      <c r="E28" s="314">
        <f t="shared" si="1"/>
        <v>136</v>
      </c>
      <c r="F28" s="314">
        <f t="shared" si="1"/>
        <v>0</v>
      </c>
      <c r="G28" s="314">
        <f t="shared" si="1"/>
        <v>0</v>
      </c>
      <c r="H28" s="314">
        <f t="shared" si="1"/>
        <v>0</v>
      </c>
      <c r="I28" s="314">
        <f t="shared" si="1"/>
        <v>43058</v>
      </c>
      <c r="J28" s="313">
        <f t="shared" si="1"/>
        <v>136</v>
      </c>
      <c r="K28" s="304" t="s">
        <v>67</v>
      </c>
    </row>
    <row r="29" spans="1:11" x14ac:dyDescent="0.2">
      <c r="A29" s="322" t="s">
        <v>31</v>
      </c>
      <c r="B29" s="311">
        <v>1162</v>
      </c>
      <c r="C29" s="311">
        <v>0</v>
      </c>
      <c r="D29" s="311">
        <v>1162</v>
      </c>
      <c r="E29" s="311">
        <v>0</v>
      </c>
      <c r="F29" s="311">
        <v>0</v>
      </c>
      <c r="G29" s="311">
        <v>0</v>
      </c>
      <c r="H29" s="311">
        <f>SUM(H12:H28)</f>
        <v>0</v>
      </c>
      <c r="I29" s="311">
        <f>D29+F29+G29+H29</f>
        <v>1162</v>
      </c>
      <c r="J29" s="292">
        <v>0</v>
      </c>
      <c r="K29" s="304" t="s">
        <v>67</v>
      </c>
    </row>
    <row r="30" spans="1:11" x14ac:dyDescent="0.2">
      <c r="A30" s="321" t="s">
        <v>30</v>
      </c>
      <c r="B30" s="290">
        <f>+B28-B29</f>
        <v>40618</v>
      </c>
      <c r="C30" s="290">
        <v>136</v>
      </c>
      <c r="D30" s="290">
        <f>+D28-D29</f>
        <v>41896</v>
      </c>
      <c r="E30" s="290">
        <v>136</v>
      </c>
      <c r="F30" s="290">
        <v>0</v>
      </c>
      <c r="G30" s="290">
        <f>+G28-G29</f>
        <v>0</v>
      </c>
      <c r="H30" s="290">
        <f>SUM(H12:H29)</f>
        <v>0</v>
      </c>
      <c r="I30" s="290">
        <f>D30+F30+G30+H30</f>
        <v>41896</v>
      </c>
      <c r="J30" s="289">
        <v>136</v>
      </c>
      <c r="K30" s="304" t="s">
        <v>67</v>
      </c>
    </row>
    <row r="31" spans="1:11" ht="15" thickBot="1" x14ac:dyDescent="0.25">
      <c r="A31" s="518" t="s">
        <v>180</v>
      </c>
      <c r="B31" s="310">
        <v>0</v>
      </c>
      <c r="C31" s="310">
        <v>0</v>
      </c>
      <c r="D31" s="310">
        <v>0</v>
      </c>
      <c r="E31" s="310">
        <v>0</v>
      </c>
      <c r="F31" s="310">
        <v>0</v>
      </c>
      <c r="G31" s="310">
        <v>0</v>
      </c>
      <c r="H31" s="310">
        <f>SUM(H13:H30)</f>
        <v>0</v>
      </c>
      <c r="I31" s="310">
        <f>D31+F31+G31+H31</f>
        <v>0</v>
      </c>
      <c r="J31" s="309">
        <v>0</v>
      </c>
      <c r="K31" s="304" t="s">
        <v>67</v>
      </c>
    </row>
    <row r="32" spans="1:11" ht="15.75" thickBot="1" x14ac:dyDescent="0.3">
      <c r="A32" s="519" t="s">
        <v>18</v>
      </c>
      <c r="B32" s="520">
        <f t="shared" ref="B32:J32" si="2">SUM(B29:B31)</f>
        <v>41780</v>
      </c>
      <c r="C32" s="520">
        <f t="shared" si="2"/>
        <v>136</v>
      </c>
      <c r="D32" s="520">
        <f t="shared" si="2"/>
        <v>43058</v>
      </c>
      <c r="E32" s="520">
        <f t="shared" si="2"/>
        <v>136</v>
      </c>
      <c r="F32" s="520">
        <f t="shared" si="2"/>
        <v>0</v>
      </c>
      <c r="G32" s="520">
        <f t="shared" si="2"/>
        <v>0</v>
      </c>
      <c r="H32" s="520">
        <f t="shared" si="2"/>
        <v>0</v>
      </c>
      <c r="I32" s="520">
        <f t="shared" si="2"/>
        <v>43058</v>
      </c>
      <c r="J32" s="521">
        <f t="shared" si="2"/>
        <v>136</v>
      </c>
      <c r="K32" s="304" t="s">
        <v>68</v>
      </c>
    </row>
    <row r="33" spans="1:11" x14ac:dyDescent="0.2">
      <c r="A33" s="516"/>
      <c r="B33" s="516"/>
      <c r="C33" s="516"/>
      <c r="D33" s="516"/>
      <c r="E33" s="516"/>
      <c r="F33" s="516"/>
      <c r="I33" s="516"/>
      <c r="K33" s="304"/>
    </row>
    <row r="34" spans="1:11" x14ac:dyDescent="0.2">
      <c r="A34" s="405"/>
      <c r="B34" s="404"/>
    </row>
  </sheetData>
  <mergeCells count="9">
    <mergeCell ref="B6:C6"/>
    <mergeCell ref="D6:E6"/>
    <mergeCell ref="F6:J6"/>
    <mergeCell ref="A1:J1"/>
    <mergeCell ref="A2:J2"/>
    <mergeCell ref="A3:J3"/>
    <mergeCell ref="A4:J4"/>
    <mergeCell ref="A6:A7"/>
    <mergeCell ref="A5:J5"/>
  </mergeCells>
  <printOptions horizontalCentered="1"/>
  <pageMargins left="0.7" right="0.7" top="1.25" bottom="0.75" header="1.05" footer="0.3"/>
  <pageSetup scale="74"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view="pageBreakPreview" zoomScale="85" zoomScaleNormal="100" zoomScaleSheetLayoutView="85" workbookViewId="0">
      <selection activeCell="O39" sqref="O39"/>
    </sheetView>
  </sheetViews>
  <sheetFormatPr defaultRowHeight="15" x14ac:dyDescent="0.2"/>
  <cols>
    <col min="1" max="1" width="49.44140625" style="330" customWidth="1"/>
    <col min="2" max="2" width="9.77734375" style="330" customWidth="1"/>
    <col min="3" max="3" width="12.109375" style="330" customWidth="1"/>
    <col min="4" max="4" width="9.77734375" style="330" customWidth="1"/>
    <col min="5" max="5" width="10.44140625" style="330" customWidth="1"/>
    <col min="6" max="6" width="11.44140625" style="330" customWidth="1"/>
    <col min="7" max="7" width="10" style="330" customWidth="1"/>
    <col min="8" max="8" width="12" style="330" customWidth="1"/>
    <col min="9" max="9" width="9.88671875" style="330" customWidth="1"/>
    <col min="10" max="10" width="12.33203125" style="330" customWidth="1"/>
    <col min="11" max="11" width="12.44140625" style="330" customWidth="1"/>
    <col min="12" max="12" width="1.5546875" style="330" customWidth="1"/>
    <col min="13" max="13" width="10.88671875" style="331" bestFit="1" customWidth="1"/>
    <col min="14" max="14" width="9.88671875" style="330" customWidth="1"/>
    <col min="15" max="15" width="10" bestFit="1" customWidth="1"/>
    <col min="16" max="16" width="3.5546875" style="330" customWidth="1"/>
    <col min="17" max="18" width="6.44140625" style="330" customWidth="1"/>
    <col min="19" max="19" width="9.88671875" style="330" customWidth="1"/>
    <col min="20" max="21" width="6.44140625" style="330" customWidth="1"/>
    <col min="22" max="22" width="9.88671875" style="330" customWidth="1"/>
    <col min="23" max="16384" width="8.88671875" style="330"/>
  </cols>
  <sheetData>
    <row r="1" spans="1:22" ht="18" x14ac:dyDescent="0.25">
      <c r="A1" s="669" t="s">
        <v>50</v>
      </c>
      <c r="B1" s="669"/>
      <c r="C1" s="669"/>
      <c r="D1" s="669"/>
      <c r="E1" s="669"/>
      <c r="F1" s="669"/>
      <c r="G1" s="669"/>
      <c r="H1" s="669"/>
      <c r="I1" s="669"/>
      <c r="J1" s="669"/>
      <c r="K1" s="669"/>
      <c r="L1" s="669"/>
      <c r="M1" s="333" t="s">
        <v>67</v>
      </c>
      <c r="N1" s="347"/>
      <c r="P1" s="346"/>
      <c r="Q1" s="346"/>
      <c r="R1" s="346"/>
      <c r="S1" s="346"/>
      <c r="T1" s="346"/>
      <c r="U1" s="346"/>
      <c r="V1" s="346"/>
    </row>
    <row r="2" spans="1:22" x14ac:dyDescent="0.2">
      <c r="A2" s="670" t="s">
        <v>16</v>
      </c>
      <c r="B2" s="670"/>
      <c r="C2" s="670"/>
      <c r="D2" s="670"/>
      <c r="E2" s="670"/>
      <c r="F2" s="670"/>
      <c r="G2" s="670"/>
      <c r="H2" s="670"/>
      <c r="I2" s="670"/>
      <c r="J2" s="670"/>
      <c r="K2" s="670"/>
      <c r="L2" s="670"/>
      <c r="M2" s="333" t="s">
        <v>67</v>
      </c>
      <c r="N2" s="348"/>
      <c r="P2" s="345"/>
      <c r="Q2" s="345"/>
      <c r="R2" s="345"/>
      <c r="S2" s="345"/>
      <c r="T2" s="345"/>
      <c r="U2" s="345"/>
      <c r="V2" s="345"/>
    </row>
    <row r="3" spans="1:22" x14ac:dyDescent="0.2">
      <c r="A3" s="671" t="s">
        <v>17</v>
      </c>
      <c r="B3" s="671"/>
      <c r="C3" s="671"/>
      <c r="D3" s="671"/>
      <c r="E3" s="671"/>
      <c r="F3" s="671"/>
      <c r="G3" s="671"/>
      <c r="H3" s="671"/>
      <c r="I3" s="671"/>
      <c r="J3" s="671"/>
      <c r="K3" s="671"/>
      <c r="L3" s="671"/>
      <c r="M3" s="333" t="s">
        <v>67</v>
      </c>
      <c r="N3" s="349"/>
      <c r="P3" s="344"/>
      <c r="Q3" s="344"/>
      <c r="R3" s="344"/>
      <c r="S3" s="344"/>
      <c r="T3" s="344"/>
      <c r="U3" s="344"/>
      <c r="V3" s="344"/>
    </row>
    <row r="4" spans="1:22" x14ac:dyDescent="0.2">
      <c r="A4" s="672" t="s">
        <v>39</v>
      </c>
      <c r="B4" s="672"/>
      <c r="C4" s="672"/>
      <c r="D4" s="672"/>
      <c r="E4" s="672"/>
      <c r="F4" s="672"/>
      <c r="G4" s="672"/>
      <c r="H4" s="672"/>
      <c r="I4" s="672"/>
      <c r="J4" s="672"/>
      <c r="K4" s="672"/>
      <c r="L4" s="672"/>
      <c r="M4" s="333" t="s">
        <v>67</v>
      </c>
      <c r="N4" s="350"/>
      <c r="P4" s="343"/>
      <c r="Q4" s="343"/>
      <c r="R4" s="343"/>
      <c r="S4" s="343"/>
      <c r="T4" s="343"/>
      <c r="U4" s="343"/>
      <c r="V4" s="343"/>
    </row>
    <row r="5" spans="1:22" ht="15.75" thickBot="1" x14ac:dyDescent="0.25">
      <c r="A5" s="523"/>
      <c r="B5" s="523"/>
      <c r="C5" s="523"/>
      <c r="D5" s="523"/>
      <c r="E5" s="523"/>
      <c r="F5" s="523"/>
      <c r="G5" s="523"/>
      <c r="H5" s="523"/>
      <c r="I5" s="523"/>
      <c r="J5" s="524"/>
      <c r="K5" s="524"/>
      <c r="L5" s="350"/>
      <c r="M5" s="333" t="s">
        <v>67</v>
      </c>
      <c r="N5" s="350"/>
      <c r="P5" s="343"/>
      <c r="Q5" s="343"/>
      <c r="R5" s="343"/>
      <c r="S5" s="343"/>
      <c r="T5" s="343"/>
      <c r="U5" s="343"/>
      <c r="V5" s="343"/>
    </row>
    <row r="6" spans="1:22" ht="15" customHeight="1" x14ac:dyDescent="0.2">
      <c r="A6" s="539" t="s">
        <v>40</v>
      </c>
      <c r="B6" s="673" t="s">
        <v>206</v>
      </c>
      <c r="C6" s="674"/>
      <c r="D6" s="673" t="s">
        <v>238</v>
      </c>
      <c r="E6" s="674"/>
      <c r="F6" s="673" t="s">
        <v>64</v>
      </c>
      <c r="G6" s="674"/>
      <c r="H6" s="673" t="s">
        <v>239</v>
      </c>
      <c r="I6" s="674"/>
      <c r="J6" s="675" t="s">
        <v>20</v>
      </c>
      <c r="K6" s="676"/>
      <c r="L6" s="351"/>
      <c r="M6" s="333" t="s">
        <v>67</v>
      </c>
      <c r="O6" s="330"/>
    </row>
    <row r="7" spans="1:22" ht="64.5" customHeight="1" x14ac:dyDescent="0.2">
      <c r="A7" s="540"/>
      <c r="B7" s="681" t="s">
        <v>282</v>
      </c>
      <c r="C7" s="682"/>
      <c r="D7" s="681" t="s">
        <v>282</v>
      </c>
      <c r="E7" s="682"/>
      <c r="F7" s="679" t="str">
        <f>+B7</f>
        <v>Program Offset - Misc. Program &amp; Admin Reductions</v>
      </c>
      <c r="G7" s="680"/>
      <c r="H7" s="679" t="str">
        <f>+D7</f>
        <v>Program Offset - Misc. Program &amp; Admin Reductions</v>
      </c>
      <c r="I7" s="680"/>
      <c r="J7" s="677"/>
      <c r="K7" s="678"/>
      <c r="L7" s="351"/>
      <c r="M7" s="333" t="s">
        <v>67</v>
      </c>
      <c r="O7" s="330"/>
    </row>
    <row r="8" spans="1:22" x14ac:dyDescent="0.2">
      <c r="A8" s="541"/>
      <c r="B8" s="339" t="s">
        <v>110</v>
      </c>
      <c r="C8" s="339" t="s">
        <v>11</v>
      </c>
      <c r="D8" s="339" t="s">
        <v>110</v>
      </c>
      <c r="E8" s="339" t="s">
        <v>11</v>
      </c>
      <c r="F8" s="430" t="s">
        <v>110</v>
      </c>
      <c r="G8" s="430" t="s">
        <v>11</v>
      </c>
      <c r="H8" s="339" t="s">
        <v>110</v>
      </c>
      <c r="I8" s="339" t="s">
        <v>11</v>
      </c>
      <c r="J8" s="339" t="s">
        <v>110</v>
      </c>
      <c r="K8" s="525" t="s">
        <v>11</v>
      </c>
      <c r="L8" s="341"/>
      <c r="M8" s="333" t="s">
        <v>67</v>
      </c>
      <c r="O8" s="330"/>
    </row>
    <row r="9" spans="1:22" ht="14.25" x14ac:dyDescent="0.2">
      <c r="A9" s="542" t="s">
        <v>154</v>
      </c>
      <c r="B9" s="431">
        <v>0</v>
      </c>
      <c r="C9" s="431">
        <v>0</v>
      </c>
      <c r="D9" s="431">
        <v>0</v>
      </c>
      <c r="E9" s="431">
        <v>0</v>
      </c>
      <c r="F9" s="431">
        <v>0</v>
      </c>
      <c r="G9" s="431">
        <v>0</v>
      </c>
      <c r="H9" s="431">
        <v>0</v>
      </c>
      <c r="I9" s="431">
        <v>0</v>
      </c>
      <c r="J9" s="337">
        <f>+H9+F9+D9+B9</f>
        <v>0</v>
      </c>
      <c r="K9" s="526">
        <f>+I9+G9+E9+C9</f>
        <v>0</v>
      </c>
      <c r="L9" s="340"/>
      <c r="M9" s="333" t="s">
        <v>67</v>
      </c>
      <c r="O9" s="330"/>
    </row>
    <row r="10" spans="1:22" ht="14.25" x14ac:dyDescent="0.2">
      <c r="A10" s="537" t="s">
        <v>152</v>
      </c>
      <c r="B10" s="432">
        <v>0</v>
      </c>
      <c r="C10" s="432">
        <v>0</v>
      </c>
      <c r="D10" s="432">
        <v>0</v>
      </c>
      <c r="E10" s="432">
        <v>0</v>
      </c>
      <c r="F10" s="432">
        <v>0</v>
      </c>
      <c r="G10" s="432">
        <v>0</v>
      </c>
      <c r="H10" s="432">
        <v>0</v>
      </c>
      <c r="I10" s="432">
        <v>0</v>
      </c>
      <c r="J10" s="335">
        <f t="shared" ref="J10:J34" si="0">+H10+F10+D10+B10</f>
        <v>0</v>
      </c>
      <c r="K10" s="527">
        <f t="shared" ref="K10:K34" si="1">+I10+G10+E10+C10</f>
        <v>0</v>
      </c>
      <c r="L10" s="340"/>
      <c r="M10" s="333" t="s">
        <v>67</v>
      </c>
      <c r="O10" s="330"/>
    </row>
    <row r="11" spans="1:22" ht="14.25" x14ac:dyDescent="0.2">
      <c r="A11" s="537" t="s">
        <v>151</v>
      </c>
      <c r="B11" s="432">
        <v>0</v>
      </c>
      <c r="C11" s="432">
        <v>0</v>
      </c>
      <c r="D11" s="432">
        <v>0</v>
      </c>
      <c r="E11" s="432">
        <v>0</v>
      </c>
      <c r="F11" s="432">
        <v>0</v>
      </c>
      <c r="G11" s="432">
        <v>0</v>
      </c>
      <c r="H11" s="432">
        <v>0</v>
      </c>
      <c r="I11" s="432">
        <v>0</v>
      </c>
      <c r="J11" s="335">
        <f t="shared" si="0"/>
        <v>0</v>
      </c>
      <c r="K11" s="527">
        <f t="shared" si="1"/>
        <v>0</v>
      </c>
      <c r="L11" s="340"/>
      <c r="M11" s="333" t="s">
        <v>67</v>
      </c>
      <c r="O11" s="330"/>
    </row>
    <row r="12" spans="1:22" ht="14.25" x14ac:dyDescent="0.2">
      <c r="A12" s="537" t="s">
        <v>150</v>
      </c>
      <c r="B12" s="432">
        <v>0</v>
      </c>
      <c r="C12" s="432">
        <v>0</v>
      </c>
      <c r="D12" s="432">
        <v>0</v>
      </c>
      <c r="E12" s="432">
        <v>0</v>
      </c>
      <c r="F12" s="432">
        <v>0</v>
      </c>
      <c r="G12" s="432">
        <v>0</v>
      </c>
      <c r="H12" s="432">
        <v>0</v>
      </c>
      <c r="I12" s="432">
        <v>0</v>
      </c>
      <c r="J12" s="335">
        <f t="shared" si="0"/>
        <v>0</v>
      </c>
      <c r="K12" s="527">
        <f t="shared" si="1"/>
        <v>0</v>
      </c>
      <c r="L12" s="340"/>
      <c r="M12" s="333" t="s">
        <v>67</v>
      </c>
      <c r="O12" s="330"/>
    </row>
    <row r="13" spans="1:22" ht="14.25" x14ac:dyDescent="0.2">
      <c r="A13" s="536" t="s">
        <v>149</v>
      </c>
      <c r="B13" s="432">
        <v>0</v>
      </c>
      <c r="C13" s="432">
        <v>0</v>
      </c>
      <c r="D13" s="432">
        <v>0</v>
      </c>
      <c r="E13" s="432">
        <v>0</v>
      </c>
      <c r="F13" s="432">
        <v>0</v>
      </c>
      <c r="G13" s="432">
        <v>0</v>
      </c>
      <c r="H13" s="432">
        <v>0</v>
      </c>
      <c r="I13" s="432">
        <v>0</v>
      </c>
      <c r="J13" s="335">
        <f t="shared" si="0"/>
        <v>0</v>
      </c>
      <c r="K13" s="527">
        <f t="shared" si="1"/>
        <v>0</v>
      </c>
      <c r="L13" s="340"/>
      <c r="M13" s="333" t="s">
        <v>67</v>
      </c>
      <c r="O13" s="330"/>
    </row>
    <row r="14" spans="1:22" ht="14.25" x14ac:dyDescent="0.2">
      <c r="A14" s="537" t="s">
        <v>148</v>
      </c>
      <c r="B14" s="432">
        <v>0</v>
      </c>
      <c r="C14" s="432">
        <v>0</v>
      </c>
      <c r="D14" s="432">
        <v>0</v>
      </c>
      <c r="E14" s="432">
        <v>0</v>
      </c>
      <c r="F14" s="432">
        <v>0</v>
      </c>
      <c r="G14" s="432">
        <v>0</v>
      </c>
      <c r="H14" s="432">
        <v>0</v>
      </c>
      <c r="I14" s="432">
        <v>0</v>
      </c>
      <c r="J14" s="335">
        <f t="shared" si="0"/>
        <v>0</v>
      </c>
      <c r="K14" s="527">
        <f t="shared" si="1"/>
        <v>0</v>
      </c>
      <c r="L14" s="340"/>
      <c r="M14" s="333" t="s">
        <v>67</v>
      </c>
      <c r="O14" s="330"/>
    </row>
    <row r="15" spans="1:22" ht="14.25" x14ac:dyDescent="0.2">
      <c r="A15" s="543" t="s">
        <v>147</v>
      </c>
      <c r="B15" s="432">
        <v>0</v>
      </c>
      <c r="C15" s="432">
        <v>0</v>
      </c>
      <c r="D15" s="432">
        <v>0</v>
      </c>
      <c r="E15" s="432">
        <v>0</v>
      </c>
      <c r="F15" s="432">
        <v>0</v>
      </c>
      <c r="G15" s="432">
        <v>0</v>
      </c>
      <c r="H15" s="432">
        <v>0</v>
      </c>
      <c r="I15" s="432">
        <v>0</v>
      </c>
      <c r="J15" s="335">
        <f t="shared" si="0"/>
        <v>0</v>
      </c>
      <c r="K15" s="527">
        <f t="shared" si="1"/>
        <v>0</v>
      </c>
      <c r="L15" s="340"/>
      <c r="M15" s="333" t="s">
        <v>67</v>
      </c>
      <c r="O15" s="330"/>
    </row>
    <row r="16" spans="1:22" ht="14.25" x14ac:dyDescent="0.2">
      <c r="A16" s="537" t="s">
        <v>146</v>
      </c>
      <c r="B16" s="432">
        <v>0</v>
      </c>
      <c r="C16" s="432">
        <v>0</v>
      </c>
      <c r="D16" s="432">
        <v>0</v>
      </c>
      <c r="E16" s="432">
        <v>0</v>
      </c>
      <c r="F16" s="432">
        <v>0</v>
      </c>
      <c r="G16" s="432">
        <v>0</v>
      </c>
      <c r="H16" s="432">
        <v>0</v>
      </c>
      <c r="I16" s="432">
        <v>0</v>
      </c>
      <c r="J16" s="335">
        <f t="shared" si="0"/>
        <v>0</v>
      </c>
      <c r="K16" s="527">
        <f t="shared" si="1"/>
        <v>0</v>
      </c>
      <c r="L16" s="340"/>
      <c r="M16" s="333" t="s">
        <v>67</v>
      </c>
      <c r="O16" s="330"/>
    </row>
    <row r="17" spans="1:15" ht="14.25" x14ac:dyDescent="0.2">
      <c r="A17" s="537" t="s">
        <v>145</v>
      </c>
      <c r="B17" s="432">
        <v>0</v>
      </c>
      <c r="C17" s="432">
        <v>0</v>
      </c>
      <c r="D17" s="432">
        <v>0</v>
      </c>
      <c r="E17" s="432">
        <v>0</v>
      </c>
      <c r="F17" s="432">
        <v>0</v>
      </c>
      <c r="G17" s="432">
        <v>0</v>
      </c>
      <c r="H17" s="432">
        <v>0</v>
      </c>
      <c r="I17" s="432">
        <v>0</v>
      </c>
      <c r="J17" s="335">
        <f t="shared" si="0"/>
        <v>0</v>
      </c>
      <c r="K17" s="527">
        <f t="shared" si="1"/>
        <v>0</v>
      </c>
      <c r="L17" s="340"/>
      <c r="M17" s="333" t="s">
        <v>67</v>
      </c>
      <c r="O17" s="330"/>
    </row>
    <row r="18" spans="1:15" ht="14.25" x14ac:dyDescent="0.2">
      <c r="A18" s="537" t="s">
        <v>144</v>
      </c>
      <c r="B18" s="432">
        <v>0</v>
      </c>
      <c r="C18" s="432">
        <v>0</v>
      </c>
      <c r="D18" s="432">
        <v>0</v>
      </c>
      <c r="E18" s="432">
        <v>0</v>
      </c>
      <c r="F18" s="432">
        <v>0</v>
      </c>
      <c r="G18" s="432">
        <v>0</v>
      </c>
      <c r="H18" s="432">
        <v>0</v>
      </c>
      <c r="I18" s="432">
        <v>0</v>
      </c>
      <c r="J18" s="335">
        <f t="shared" si="0"/>
        <v>0</v>
      </c>
      <c r="K18" s="527">
        <f t="shared" si="1"/>
        <v>0</v>
      </c>
      <c r="L18" s="340"/>
      <c r="M18" s="333" t="s">
        <v>67</v>
      </c>
      <c r="O18" s="330"/>
    </row>
    <row r="19" spans="1:15" ht="14.25" x14ac:dyDescent="0.2">
      <c r="A19" s="537" t="s">
        <v>143</v>
      </c>
      <c r="B19" s="432">
        <v>0</v>
      </c>
      <c r="C19" s="432">
        <v>0</v>
      </c>
      <c r="D19" s="432">
        <v>0</v>
      </c>
      <c r="E19" s="432">
        <v>0</v>
      </c>
      <c r="F19" s="432">
        <v>0</v>
      </c>
      <c r="G19" s="432">
        <v>0</v>
      </c>
      <c r="H19" s="432">
        <v>0</v>
      </c>
      <c r="I19" s="432">
        <v>0</v>
      </c>
      <c r="J19" s="335">
        <f t="shared" si="0"/>
        <v>0</v>
      </c>
      <c r="K19" s="527">
        <f t="shared" si="1"/>
        <v>0</v>
      </c>
      <c r="L19" s="340"/>
      <c r="M19" s="333" t="s">
        <v>67</v>
      </c>
      <c r="O19" s="330"/>
    </row>
    <row r="20" spans="1:15" ht="14.25" x14ac:dyDescent="0.2">
      <c r="A20" s="543" t="s">
        <v>142</v>
      </c>
      <c r="B20" s="433">
        <v>0</v>
      </c>
      <c r="C20" s="433">
        <v>0</v>
      </c>
      <c r="D20" s="433">
        <v>0</v>
      </c>
      <c r="E20" s="433">
        <v>0</v>
      </c>
      <c r="F20" s="433">
        <v>0</v>
      </c>
      <c r="G20" s="433">
        <v>0</v>
      </c>
      <c r="H20" s="433">
        <v>0</v>
      </c>
      <c r="I20" s="433">
        <v>0</v>
      </c>
      <c r="J20" s="338">
        <f t="shared" si="0"/>
        <v>0</v>
      </c>
      <c r="K20" s="528">
        <f t="shared" si="1"/>
        <v>0</v>
      </c>
      <c r="L20" s="340"/>
      <c r="M20" s="333" t="s">
        <v>67</v>
      </c>
      <c r="O20" s="330"/>
    </row>
    <row r="21" spans="1:15" ht="14.25" x14ac:dyDescent="0.2">
      <c r="A21" s="544" t="s">
        <v>66</v>
      </c>
      <c r="B21" s="434">
        <v>0</v>
      </c>
      <c r="C21" s="434">
        <v>0</v>
      </c>
      <c r="D21" s="434">
        <v>0</v>
      </c>
      <c r="E21" s="434">
        <v>0</v>
      </c>
      <c r="F21" s="434">
        <v>0</v>
      </c>
      <c r="G21" s="434">
        <v>0</v>
      </c>
      <c r="H21" s="434">
        <v>0</v>
      </c>
      <c r="I21" s="434">
        <v>0</v>
      </c>
      <c r="J21" s="334">
        <f t="shared" si="0"/>
        <v>0</v>
      </c>
      <c r="K21" s="529">
        <f t="shared" si="1"/>
        <v>0</v>
      </c>
      <c r="L21" s="340"/>
      <c r="M21" s="333" t="s">
        <v>67</v>
      </c>
      <c r="O21" s="330"/>
    </row>
    <row r="22" spans="1:15" ht="14.25" x14ac:dyDescent="0.2">
      <c r="A22" s="542" t="s">
        <v>204</v>
      </c>
      <c r="B22" s="431">
        <v>0</v>
      </c>
      <c r="C22" s="431">
        <v>0</v>
      </c>
      <c r="D22" s="431">
        <f t="shared" ref="D22" si="2">SUM(D9:D21)</f>
        <v>0</v>
      </c>
      <c r="E22" s="431">
        <v>0</v>
      </c>
      <c r="F22" s="431">
        <f>SUM(F9:F21)</f>
        <v>0</v>
      </c>
      <c r="G22" s="431">
        <v>0</v>
      </c>
      <c r="H22" s="431">
        <f t="shared" ref="H22" si="3">SUM(H9:H21)</f>
        <v>0</v>
      </c>
      <c r="I22" s="431">
        <v>0</v>
      </c>
      <c r="J22" s="337">
        <f t="shared" si="0"/>
        <v>0</v>
      </c>
      <c r="K22" s="526">
        <f t="shared" si="1"/>
        <v>0</v>
      </c>
      <c r="L22" s="340"/>
      <c r="M22" s="333" t="s">
        <v>67</v>
      </c>
      <c r="O22" s="81"/>
    </row>
    <row r="23" spans="1:15" ht="14.25" x14ac:dyDescent="0.2">
      <c r="A23" s="545" t="s">
        <v>203</v>
      </c>
      <c r="B23" s="432">
        <v>0</v>
      </c>
      <c r="C23" s="432">
        <v>0</v>
      </c>
      <c r="D23" s="432">
        <v>0</v>
      </c>
      <c r="E23" s="432">
        <v>0</v>
      </c>
      <c r="F23" s="432">
        <v>0</v>
      </c>
      <c r="G23" s="432">
        <v>0</v>
      </c>
      <c r="H23" s="432">
        <v>0</v>
      </c>
      <c r="I23" s="432">
        <v>0</v>
      </c>
      <c r="J23" s="335">
        <f t="shared" si="0"/>
        <v>0</v>
      </c>
      <c r="K23" s="527">
        <v>0</v>
      </c>
      <c r="L23" s="340"/>
      <c r="M23" s="333" t="s">
        <v>67</v>
      </c>
      <c r="O23" s="81"/>
    </row>
    <row r="24" spans="1:15" ht="14.25" x14ac:dyDescent="0.2">
      <c r="A24" s="537" t="s">
        <v>202</v>
      </c>
      <c r="B24" s="432">
        <v>0</v>
      </c>
      <c r="C24" s="432">
        <v>0</v>
      </c>
      <c r="D24" s="432">
        <v>0</v>
      </c>
      <c r="E24" s="432">
        <v>0</v>
      </c>
      <c r="F24" s="432">
        <v>0</v>
      </c>
      <c r="G24" s="432">
        <v>0</v>
      </c>
      <c r="H24" s="432">
        <v>0</v>
      </c>
      <c r="I24" s="432">
        <v>0</v>
      </c>
      <c r="J24" s="335">
        <f t="shared" si="0"/>
        <v>0</v>
      </c>
      <c r="K24" s="527">
        <f t="shared" si="1"/>
        <v>0</v>
      </c>
      <c r="L24" s="340"/>
      <c r="M24" s="333" t="s">
        <v>67</v>
      </c>
      <c r="O24" s="81"/>
    </row>
    <row r="25" spans="1:15" ht="14.25" x14ac:dyDescent="0.2">
      <c r="A25" s="546" t="s">
        <v>201</v>
      </c>
      <c r="B25" s="435">
        <f t="shared" ref="B25:E25" si="4">SUM(B22:B24)</f>
        <v>0</v>
      </c>
      <c r="C25" s="435">
        <f>SUM(C22:C24)</f>
        <v>0</v>
      </c>
      <c r="D25" s="435">
        <f t="shared" si="4"/>
        <v>0</v>
      </c>
      <c r="E25" s="435">
        <f t="shared" si="4"/>
        <v>0</v>
      </c>
      <c r="F25" s="435">
        <f>SUM(F22:F24)</f>
        <v>0</v>
      </c>
      <c r="G25" s="435">
        <f>SUM(G22:G24)</f>
        <v>0</v>
      </c>
      <c r="H25" s="435">
        <f t="shared" ref="H25:I25" si="5">SUM(H22:H24)</f>
        <v>0</v>
      </c>
      <c r="I25" s="435">
        <f t="shared" si="5"/>
        <v>0</v>
      </c>
      <c r="J25" s="336">
        <f t="shared" si="0"/>
        <v>0</v>
      </c>
      <c r="K25" s="530">
        <f t="shared" si="1"/>
        <v>0</v>
      </c>
      <c r="L25" s="340"/>
      <c r="M25" s="333" t="s">
        <v>67</v>
      </c>
      <c r="O25" s="81"/>
    </row>
    <row r="26" spans="1:15" ht="14.25" x14ac:dyDescent="0.2">
      <c r="A26" s="537" t="s">
        <v>32</v>
      </c>
      <c r="B26" s="432">
        <v>0</v>
      </c>
      <c r="C26" s="432">
        <v>0</v>
      </c>
      <c r="D26" s="432">
        <v>0</v>
      </c>
      <c r="E26" s="432">
        <v>0</v>
      </c>
      <c r="F26" s="432">
        <v>0</v>
      </c>
      <c r="G26" s="432">
        <v>0</v>
      </c>
      <c r="H26" s="432">
        <v>0</v>
      </c>
      <c r="I26" s="432">
        <v>0</v>
      </c>
      <c r="J26" s="335">
        <f t="shared" si="0"/>
        <v>0</v>
      </c>
      <c r="K26" s="527">
        <f t="shared" si="1"/>
        <v>0</v>
      </c>
      <c r="L26" s="340"/>
      <c r="M26" s="333" t="s">
        <v>67</v>
      </c>
      <c r="O26" s="81"/>
    </row>
    <row r="27" spans="1:15" ht="14.25" x14ac:dyDescent="0.2">
      <c r="A27" s="537" t="s">
        <v>200</v>
      </c>
      <c r="B27" s="432">
        <v>0</v>
      </c>
      <c r="C27" s="432">
        <v>0</v>
      </c>
      <c r="D27" s="432">
        <v>0</v>
      </c>
      <c r="E27" s="432">
        <v>0</v>
      </c>
      <c r="F27" s="432">
        <v>0</v>
      </c>
      <c r="G27" s="432">
        <v>0</v>
      </c>
      <c r="H27" s="432">
        <v>0</v>
      </c>
      <c r="I27" s="432">
        <v>0</v>
      </c>
      <c r="J27" s="335">
        <f t="shared" si="0"/>
        <v>0</v>
      </c>
      <c r="K27" s="527">
        <f t="shared" si="1"/>
        <v>0</v>
      </c>
      <c r="L27" s="340"/>
      <c r="M27" s="333" t="s">
        <v>67</v>
      </c>
      <c r="O27" s="81"/>
    </row>
    <row r="28" spans="1:15" ht="14.25" x14ac:dyDescent="0.2">
      <c r="A28" s="537" t="s">
        <v>199</v>
      </c>
      <c r="B28" s="432">
        <v>0</v>
      </c>
      <c r="C28" s="432">
        <v>0</v>
      </c>
      <c r="D28" s="432">
        <v>0</v>
      </c>
      <c r="E28" s="433">
        <v>0</v>
      </c>
      <c r="F28" s="432">
        <v>0</v>
      </c>
      <c r="G28" s="432">
        <v>0</v>
      </c>
      <c r="H28" s="432">
        <v>0</v>
      </c>
      <c r="I28" s="432">
        <v>0</v>
      </c>
      <c r="J28" s="335">
        <f t="shared" si="0"/>
        <v>0</v>
      </c>
      <c r="K28" s="527">
        <f t="shared" si="1"/>
        <v>0</v>
      </c>
      <c r="L28" s="340"/>
      <c r="M28" s="333" t="s">
        <v>67</v>
      </c>
      <c r="O28" s="81"/>
    </row>
    <row r="29" spans="1:15" ht="14.25" x14ac:dyDescent="0.2">
      <c r="A29" s="537" t="s">
        <v>198</v>
      </c>
      <c r="B29" s="432">
        <v>0</v>
      </c>
      <c r="C29" s="432">
        <v>0</v>
      </c>
      <c r="D29" s="432">
        <v>0</v>
      </c>
      <c r="E29" s="432">
        <v>0</v>
      </c>
      <c r="F29" s="432">
        <v>0</v>
      </c>
      <c r="G29" s="432">
        <v>0</v>
      </c>
      <c r="H29" s="432">
        <v>0</v>
      </c>
      <c r="I29" s="432">
        <v>0</v>
      </c>
      <c r="J29" s="335">
        <f t="shared" si="0"/>
        <v>0</v>
      </c>
      <c r="K29" s="527">
        <f t="shared" si="1"/>
        <v>0</v>
      </c>
      <c r="L29" s="340"/>
      <c r="M29" s="333" t="s">
        <v>67</v>
      </c>
      <c r="O29" s="81"/>
    </row>
    <row r="30" spans="1:15" ht="14.25" x14ac:dyDescent="0.2">
      <c r="A30" s="537" t="s">
        <v>197</v>
      </c>
      <c r="B30" s="432">
        <v>0</v>
      </c>
      <c r="C30" s="432">
        <v>0</v>
      </c>
      <c r="D30" s="432">
        <v>0</v>
      </c>
      <c r="E30" s="432">
        <v>0</v>
      </c>
      <c r="F30" s="432">
        <v>0</v>
      </c>
      <c r="G30" s="432">
        <v>0</v>
      </c>
      <c r="H30" s="432">
        <v>0</v>
      </c>
      <c r="I30" s="432">
        <v>0</v>
      </c>
      <c r="J30" s="335">
        <f t="shared" si="0"/>
        <v>0</v>
      </c>
      <c r="K30" s="527">
        <v>0</v>
      </c>
      <c r="L30" s="340"/>
      <c r="M30" s="333" t="s">
        <v>67</v>
      </c>
      <c r="O30" s="81"/>
    </row>
    <row r="31" spans="1:15" ht="14.25" x14ac:dyDescent="0.2">
      <c r="A31" s="536" t="s">
        <v>196</v>
      </c>
      <c r="B31" s="432">
        <v>0</v>
      </c>
      <c r="C31" s="432">
        <v>-29721</v>
      </c>
      <c r="D31" s="432">
        <v>0</v>
      </c>
      <c r="E31" s="432">
        <v>-34668</v>
      </c>
      <c r="F31" s="432">
        <v>0</v>
      </c>
      <c r="G31" s="432">
        <v>-24410</v>
      </c>
      <c r="H31" s="432">
        <v>0</v>
      </c>
      <c r="I31" s="432">
        <v>-2000</v>
      </c>
      <c r="J31" s="335">
        <f t="shared" si="0"/>
        <v>0</v>
      </c>
      <c r="K31" s="527">
        <f t="shared" si="1"/>
        <v>-90799</v>
      </c>
      <c r="L31" s="340"/>
      <c r="M31" s="333" t="s">
        <v>67</v>
      </c>
      <c r="O31" s="81"/>
    </row>
    <row r="32" spans="1:15" ht="14.25" x14ac:dyDescent="0.2">
      <c r="A32" s="537" t="s">
        <v>195</v>
      </c>
      <c r="B32" s="432">
        <v>0</v>
      </c>
      <c r="C32" s="432">
        <v>-29721</v>
      </c>
      <c r="D32" s="432">
        <v>0</v>
      </c>
      <c r="E32" s="432">
        <v>-34669</v>
      </c>
      <c r="F32" s="432">
        <v>0</v>
      </c>
      <c r="G32" s="432">
        <v>0</v>
      </c>
      <c r="H32" s="432">
        <v>0</v>
      </c>
      <c r="I32" s="432">
        <v>-2784</v>
      </c>
      <c r="J32" s="335">
        <f t="shared" si="0"/>
        <v>0</v>
      </c>
      <c r="K32" s="527">
        <f t="shared" si="1"/>
        <v>-67174</v>
      </c>
      <c r="L32" s="340"/>
      <c r="M32" s="333" t="s">
        <v>67</v>
      </c>
      <c r="O32" s="81"/>
    </row>
    <row r="33" spans="1:15" ht="14.25" x14ac:dyDescent="0.2">
      <c r="A33" s="538" t="s">
        <v>33</v>
      </c>
      <c r="B33" s="436">
        <v>0</v>
      </c>
      <c r="C33" s="436">
        <v>0</v>
      </c>
      <c r="D33" s="433">
        <v>0</v>
      </c>
      <c r="E33" s="436">
        <v>0</v>
      </c>
      <c r="F33" s="436">
        <v>0</v>
      </c>
      <c r="G33" s="436">
        <v>0</v>
      </c>
      <c r="H33" s="436">
        <v>0</v>
      </c>
      <c r="I33" s="436">
        <v>0</v>
      </c>
      <c r="J33" s="334">
        <f t="shared" si="0"/>
        <v>0</v>
      </c>
      <c r="K33" s="531">
        <f t="shared" si="1"/>
        <v>0</v>
      </c>
      <c r="L33" s="340"/>
      <c r="M33" s="333" t="s">
        <v>67</v>
      </c>
      <c r="O33" s="81"/>
    </row>
    <row r="34" spans="1:15" ht="14.25" x14ac:dyDescent="0.2">
      <c r="A34" s="538" t="s">
        <v>205</v>
      </c>
      <c r="B34" s="436">
        <v>0</v>
      </c>
      <c r="C34" s="436">
        <v>0</v>
      </c>
      <c r="D34" s="436">
        <v>0</v>
      </c>
      <c r="E34" s="436">
        <v>0</v>
      </c>
      <c r="F34" s="436">
        <v>0</v>
      </c>
      <c r="G34" s="436">
        <v>0</v>
      </c>
      <c r="H34" s="436">
        <v>0</v>
      </c>
      <c r="I34" s="436">
        <v>0</v>
      </c>
      <c r="J34" s="334">
        <f t="shared" si="0"/>
        <v>0</v>
      </c>
      <c r="K34" s="531">
        <f t="shared" si="1"/>
        <v>0</v>
      </c>
      <c r="L34" s="340"/>
      <c r="M34" s="333" t="s">
        <v>67</v>
      </c>
      <c r="O34" s="577"/>
    </row>
    <row r="35" spans="1:15" ht="15.75" thickBot="1" x14ac:dyDescent="0.3">
      <c r="A35" s="535" t="s">
        <v>139</v>
      </c>
      <c r="B35" s="532">
        <f t="shared" ref="B35:D35" si="6">SUM(B25:B34)</f>
        <v>0</v>
      </c>
      <c r="C35" s="532">
        <f>SUM(C25:C34)</f>
        <v>-59442</v>
      </c>
      <c r="D35" s="532">
        <f t="shared" si="6"/>
        <v>0</v>
      </c>
      <c r="E35" s="532">
        <f>SUM(E25:E34)</f>
        <v>-69337</v>
      </c>
      <c r="F35" s="532">
        <f>SUM(F25:F34)</f>
        <v>0</v>
      </c>
      <c r="G35" s="532">
        <f>SUM(G25:G34)</f>
        <v>-24410</v>
      </c>
      <c r="H35" s="532">
        <f t="shared" ref="H35:I35" si="7">SUM(H25:H34)</f>
        <v>0</v>
      </c>
      <c r="I35" s="532">
        <f t="shared" si="7"/>
        <v>-4784</v>
      </c>
      <c r="J35" s="533">
        <f t="shared" ref="J35" si="8">SUM(J25:J33)</f>
        <v>0</v>
      </c>
      <c r="K35" s="534">
        <f>SUM(K25:K34)</f>
        <v>-157973</v>
      </c>
      <c r="L35" s="332"/>
      <c r="M35" s="333" t="s">
        <v>67</v>
      </c>
      <c r="O35" s="577"/>
    </row>
    <row r="36" spans="1:15" ht="15.75" x14ac:dyDescent="0.25">
      <c r="A36" s="547"/>
      <c r="B36" s="342"/>
      <c r="C36" s="342"/>
      <c r="D36" s="342"/>
      <c r="E36" s="342"/>
      <c r="F36" s="342"/>
      <c r="G36" s="342"/>
      <c r="H36" s="342"/>
      <c r="I36" s="342"/>
      <c r="J36" s="342"/>
      <c r="K36" s="342"/>
      <c r="L36" s="342"/>
      <c r="M36" s="333" t="s">
        <v>68</v>
      </c>
      <c r="N36" s="332"/>
      <c r="O36" s="461"/>
    </row>
    <row r="37" spans="1:15" ht="15.75" x14ac:dyDescent="0.25">
      <c r="A37" s="340"/>
      <c r="L37" s="333"/>
      <c r="M37" s="333"/>
      <c r="N37" s="332"/>
    </row>
    <row r="38" spans="1:15" s="81" customFormat="1" ht="15.75" x14ac:dyDescent="0.25">
      <c r="L38" s="459"/>
      <c r="M38" s="459"/>
      <c r="N38" s="460"/>
      <c r="O38" s="461"/>
    </row>
    <row r="39" spans="1:15" ht="15.75" x14ac:dyDescent="0.25">
      <c r="L39" s="331"/>
      <c r="N39" s="332"/>
    </row>
    <row r="40" spans="1:15" ht="15.75" x14ac:dyDescent="0.25">
      <c r="N40" s="332"/>
    </row>
    <row r="41" spans="1:15" ht="15.75" x14ac:dyDescent="0.25">
      <c r="N41" s="332"/>
    </row>
    <row r="42" spans="1:15" ht="15.75" x14ac:dyDescent="0.25">
      <c r="N42" s="332"/>
    </row>
    <row r="43" spans="1:15" ht="15.75" x14ac:dyDescent="0.25">
      <c r="N43" s="332"/>
    </row>
  </sheetData>
  <mergeCells count="13">
    <mergeCell ref="A1:L1"/>
    <mergeCell ref="A2:L2"/>
    <mergeCell ref="A3:L3"/>
    <mergeCell ref="A4:L4"/>
    <mergeCell ref="D6:E6"/>
    <mergeCell ref="B6:C6"/>
    <mergeCell ref="F6:G6"/>
    <mergeCell ref="J6:K7"/>
    <mergeCell ref="F7:G7"/>
    <mergeCell ref="H7:I7"/>
    <mergeCell ref="B7:C7"/>
    <mergeCell ref="D7:E7"/>
    <mergeCell ref="H6:I6"/>
  </mergeCells>
  <printOptions horizontalCentered="1"/>
  <pageMargins left="0.45" right="0.45" top="1.27" bottom="0.39" header="1.05" footer="0.23"/>
  <pageSetup scale="65" fitToHeight="2"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75" zoomScaleNormal="100" zoomScaleSheetLayoutView="75" workbookViewId="0">
      <selection activeCell="J24" sqref="J24"/>
    </sheetView>
  </sheetViews>
  <sheetFormatPr defaultRowHeight="15.75" x14ac:dyDescent="0.25"/>
  <cols>
    <col min="1" max="1" width="34.88671875" style="1" customWidth="1"/>
    <col min="2" max="2" width="7.6640625" style="1" customWidth="1"/>
    <col min="3" max="3" width="13.88671875" style="1" customWidth="1"/>
    <col min="4" max="4" width="9" style="1" customWidth="1"/>
    <col min="5" max="5" width="13.44140625" style="1" customWidth="1"/>
    <col min="6" max="6" width="7.33203125" style="1" customWidth="1"/>
    <col min="7" max="7" width="13.77734375" style="1" customWidth="1"/>
    <col min="8" max="8" width="8.21875" style="1" customWidth="1"/>
    <col min="9" max="9" width="10" style="1" customWidth="1"/>
    <col min="10" max="10" width="9.44140625" style="1" bestFit="1" customWidth="1"/>
    <col min="11" max="16384" width="8.88671875" style="1"/>
  </cols>
  <sheetData>
    <row r="1" spans="1:11" ht="18" x14ac:dyDescent="0.25">
      <c r="A1" s="694" t="s">
        <v>51</v>
      </c>
      <c r="B1" s="694"/>
      <c r="C1" s="694"/>
      <c r="D1" s="694"/>
      <c r="E1" s="694"/>
      <c r="F1" s="694"/>
      <c r="G1" s="694"/>
      <c r="H1" s="694"/>
      <c r="I1" s="694"/>
      <c r="J1" s="21" t="s">
        <v>67</v>
      </c>
      <c r="K1" s="20"/>
    </row>
    <row r="2" spans="1:11" x14ac:dyDescent="0.25">
      <c r="A2" s="695" t="s">
        <v>16</v>
      </c>
      <c r="B2" s="695"/>
      <c r="C2" s="695"/>
      <c r="D2" s="695"/>
      <c r="E2" s="695"/>
      <c r="F2" s="695"/>
      <c r="G2" s="695"/>
      <c r="H2" s="695"/>
      <c r="I2" s="695"/>
      <c r="J2" s="21" t="s">
        <v>67</v>
      </c>
      <c r="K2" s="20"/>
    </row>
    <row r="3" spans="1:11" x14ac:dyDescent="0.25">
      <c r="A3" s="696" t="s">
        <v>17</v>
      </c>
      <c r="B3" s="696"/>
      <c r="C3" s="696"/>
      <c r="D3" s="696"/>
      <c r="E3" s="696"/>
      <c r="F3" s="696"/>
      <c r="G3" s="696"/>
      <c r="H3" s="696"/>
      <c r="I3" s="696"/>
      <c r="J3" s="21" t="s">
        <v>67</v>
      </c>
      <c r="K3" s="20"/>
    </row>
    <row r="4" spans="1:11" x14ac:dyDescent="0.25">
      <c r="A4" s="696" t="s">
        <v>21</v>
      </c>
      <c r="B4" s="696"/>
      <c r="C4" s="696"/>
      <c r="D4" s="696"/>
      <c r="E4" s="696"/>
      <c r="F4" s="696"/>
      <c r="G4" s="696"/>
      <c r="H4" s="696"/>
      <c r="I4" s="696"/>
      <c r="J4" s="21" t="s">
        <v>67</v>
      </c>
      <c r="K4" s="20"/>
    </row>
    <row r="5" spans="1:11" ht="9.75" customHeight="1" thickBot="1" x14ac:dyDescent="0.3">
      <c r="A5" s="548"/>
      <c r="B5" s="9"/>
      <c r="C5" s="9"/>
      <c r="D5" s="9"/>
      <c r="E5" s="9"/>
      <c r="F5" s="9"/>
      <c r="G5" s="9"/>
      <c r="H5" s="9"/>
      <c r="I5" s="9"/>
      <c r="J5" s="21" t="s">
        <v>67</v>
      </c>
      <c r="K5" s="20"/>
    </row>
    <row r="6" spans="1:11" ht="7.5" customHeight="1" x14ac:dyDescent="0.25">
      <c r="A6" s="567"/>
      <c r="B6" s="697" t="s">
        <v>250</v>
      </c>
      <c r="C6" s="698"/>
      <c r="D6" s="701" t="s">
        <v>213</v>
      </c>
      <c r="E6" s="702"/>
      <c r="F6" s="703" t="s">
        <v>215</v>
      </c>
      <c r="G6" s="704"/>
      <c r="H6" s="703" t="s">
        <v>85</v>
      </c>
      <c r="I6" s="705"/>
      <c r="J6" s="21" t="s">
        <v>67</v>
      </c>
      <c r="K6" s="20"/>
    </row>
    <row r="7" spans="1:11" ht="24" customHeight="1" x14ac:dyDescent="0.25">
      <c r="A7" s="568"/>
      <c r="B7" s="699"/>
      <c r="C7" s="700"/>
      <c r="D7" s="689"/>
      <c r="E7" s="690"/>
      <c r="F7" s="692"/>
      <c r="G7" s="686"/>
      <c r="H7" s="692"/>
      <c r="I7" s="693"/>
      <c r="J7" s="21" t="s">
        <v>67</v>
      </c>
      <c r="K7" s="20"/>
    </row>
    <row r="8" spans="1:11" x14ac:dyDescent="0.25">
      <c r="A8" s="569" t="s">
        <v>15</v>
      </c>
      <c r="B8" s="205" t="s">
        <v>137</v>
      </c>
      <c r="C8" s="201"/>
      <c r="D8" s="213" t="s">
        <v>137</v>
      </c>
      <c r="E8" s="203"/>
      <c r="F8" s="213" t="s">
        <v>137</v>
      </c>
      <c r="G8" s="200"/>
      <c r="H8" s="205" t="s">
        <v>137</v>
      </c>
      <c r="I8" s="549"/>
      <c r="J8" s="21" t="s">
        <v>67</v>
      </c>
      <c r="K8" s="20"/>
    </row>
    <row r="9" spans="1:11" x14ac:dyDescent="0.25">
      <c r="A9" s="570"/>
      <c r="B9" s="206" t="s">
        <v>10</v>
      </c>
      <c r="C9" s="202" t="s">
        <v>11</v>
      </c>
      <c r="D9" s="206" t="s">
        <v>10</v>
      </c>
      <c r="E9" s="202" t="s">
        <v>11</v>
      </c>
      <c r="F9" s="206" t="s">
        <v>10</v>
      </c>
      <c r="G9" s="202" t="s">
        <v>11</v>
      </c>
      <c r="H9" s="206" t="s">
        <v>10</v>
      </c>
      <c r="I9" s="550" t="s">
        <v>11</v>
      </c>
      <c r="J9" s="21" t="s">
        <v>67</v>
      </c>
      <c r="K9" s="20"/>
    </row>
    <row r="10" spans="1:11" x14ac:dyDescent="0.25">
      <c r="A10" s="571" t="s">
        <v>35</v>
      </c>
      <c r="B10" s="207">
        <v>35724</v>
      </c>
      <c r="C10" s="42">
        <f>2353216-C38+5400</f>
        <v>2287473</v>
      </c>
      <c r="D10" s="207">
        <v>37000</v>
      </c>
      <c r="E10" s="42">
        <f>2401500+900</f>
        <v>2402400</v>
      </c>
      <c r="F10" s="207">
        <v>37000</v>
      </c>
      <c r="G10" s="442">
        <f>2438594-G38-416</f>
        <v>2365578</v>
      </c>
      <c r="H10" s="207">
        <f t="shared" ref="H10:I12" si="0">+F10-D10</f>
        <v>0</v>
      </c>
      <c r="I10" s="551">
        <f t="shared" si="0"/>
        <v>-36822</v>
      </c>
      <c r="J10" s="21" t="s">
        <v>67</v>
      </c>
      <c r="K10" s="20"/>
    </row>
    <row r="11" spans="1:11" x14ac:dyDescent="0.25">
      <c r="A11" s="568" t="s">
        <v>36</v>
      </c>
      <c r="B11" s="208">
        <v>172</v>
      </c>
      <c r="C11" s="43">
        <v>5552</v>
      </c>
      <c r="D11" s="208">
        <v>172</v>
      </c>
      <c r="E11" s="43">
        <v>5608</v>
      </c>
      <c r="F11" s="208">
        <v>172</v>
      </c>
      <c r="G11" s="44">
        <v>5608</v>
      </c>
      <c r="H11" s="208">
        <f t="shared" si="0"/>
        <v>0</v>
      </c>
      <c r="I11" s="552">
        <f t="shared" si="0"/>
        <v>0</v>
      </c>
      <c r="J11" s="21" t="s">
        <v>67</v>
      </c>
      <c r="K11" s="20"/>
    </row>
    <row r="12" spans="1:11" x14ac:dyDescent="0.25">
      <c r="A12" s="568" t="s">
        <v>34</v>
      </c>
      <c r="B12" s="209">
        <v>0</v>
      </c>
      <c r="C12" s="45">
        <v>214674</v>
      </c>
      <c r="D12" s="209">
        <v>0</v>
      </c>
      <c r="E12" s="46">
        <v>159400</v>
      </c>
      <c r="F12" s="209">
        <v>0</v>
      </c>
      <c r="G12" s="44">
        <v>155400</v>
      </c>
      <c r="H12" s="208">
        <f t="shared" si="0"/>
        <v>0</v>
      </c>
      <c r="I12" s="552">
        <f t="shared" si="0"/>
        <v>-4000</v>
      </c>
      <c r="J12" s="21" t="s">
        <v>67</v>
      </c>
      <c r="K12" s="20"/>
    </row>
    <row r="13" spans="1:11" x14ac:dyDescent="0.25">
      <c r="A13" s="572" t="s">
        <v>37</v>
      </c>
      <c r="B13" s="406">
        <f t="shared" ref="B13:I13" si="1">SUM(B10:B12)</f>
        <v>35896</v>
      </c>
      <c r="C13" s="56">
        <f t="shared" si="1"/>
        <v>2507699</v>
      </c>
      <c r="D13" s="406">
        <f t="shared" si="1"/>
        <v>37172</v>
      </c>
      <c r="E13" s="407">
        <f t="shared" si="1"/>
        <v>2567408</v>
      </c>
      <c r="F13" s="406">
        <f t="shared" si="1"/>
        <v>37172</v>
      </c>
      <c r="G13" s="56">
        <f t="shared" si="1"/>
        <v>2526586</v>
      </c>
      <c r="H13" s="406">
        <f t="shared" si="1"/>
        <v>0</v>
      </c>
      <c r="I13" s="554">
        <f t="shared" si="1"/>
        <v>-40822</v>
      </c>
      <c r="J13" s="21" t="s">
        <v>67</v>
      </c>
      <c r="K13" s="20"/>
    </row>
    <row r="14" spans="1:11" x14ac:dyDescent="0.25">
      <c r="A14" s="568" t="s">
        <v>52</v>
      </c>
      <c r="B14" s="208" t="s">
        <v>46</v>
      </c>
      <c r="C14" s="43" t="s">
        <v>46</v>
      </c>
      <c r="D14" s="208" t="s">
        <v>46</v>
      </c>
      <c r="E14" s="43" t="s">
        <v>46</v>
      </c>
      <c r="F14" s="208"/>
      <c r="G14" s="408" t="s">
        <v>46</v>
      </c>
      <c r="H14" s="208"/>
      <c r="I14" s="552"/>
      <c r="J14" s="21" t="s">
        <v>67</v>
      </c>
      <c r="K14" s="20"/>
    </row>
    <row r="15" spans="1:11" x14ac:dyDescent="0.25">
      <c r="A15" s="568" t="s">
        <v>53</v>
      </c>
      <c r="B15" s="208"/>
      <c r="C15" s="43">
        <f>1245046+50000-C41</f>
        <v>1263871</v>
      </c>
      <c r="D15" s="208"/>
      <c r="E15" s="44">
        <f>1360052-E41-2000+200</f>
        <v>1326452</v>
      </c>
      <c r="F15" s="208" t="s">
        <v>46</v>
      </c>
      <c r="G15" s="441">
        <f>1390400-400</f>
        <v>1390000</v>
      </c>
      <c r="H15" s="208"/>
      <c r="I15" s="552">
        <f>+G15-E15</f>
        <v>63548</v>
      </c>
      <c r="J15" s="21" t="s">
        <v>67</v>
      </c>
      <c r="K15" s="20"/>
    </row>
    <row r="16" spans="1:11" x14ac:dyDescent="0.25">
      <c r="A16" s="568" t="s">
        <v>54</v>
      </c>
      <c r="B16" s="208"/>
      <c r="C16" s="43">
        <v>1789</v>
      </c>
      <c r="D16" s="208"/>
      <c r="E16" s="44">
        <v>1800</v>
      </c>
      <c r="F16" s="208"/>
      <c r="G16" s="68">
        <v>1800</v>
      </c>
      <c r="H16" s="208"/>
      <c r="I16" s="552">
        <f t="shared" ref="I16:I28" si="2">+G16-E16</f>
        <v>0</v>
      </c>
      <c r="J16" s="21" t="s">
        <v>67</v>
      </c>
      <c r="K16" s="20"/>
    </row>
    <row r="17" spans="1:11" x14ac:dyDescent="0.25">
      <c r="A17" s="568" t="s">
        <v>55</v>
      </c>
      <c r="B17" s="208"/>
      <c r="C17" s="43">
        <v>31543</v>
      </c>
      <c r="D17" s="208"/>
      <c r="E17" s="44">
        <v>44403</v>
      </c>
      <c r="F17" s="208" t="s">
        <v>46</v>
      </c>
      <c r="G17" s="68">
        <v>43298</v>
      </c>
      <c r="H17" s="208"/>
      <c r="I17" s="552">
        <f t="shared" si="2"/>
        <v>-1105</v>
      </c>
      <c r="J17" s="21" t="s">
        <v>67</v>
      </c>
      <c r="K17" s="20"/>
    </row>
    <row r="18" spans="1:11" x14ac:dyDescent="0.25">
      <c r="A18" s="568" t="s">
        <v>56</v>
      </c>
      <c r="B18" s="208"/>
      <c r="C18" s="43">
        <v>9803</v>
      </c>
      <c r="D18" s="208"/>
      <c r="E18" s="44">
        <v>6400</v>
      </c>
      <c r="F18" s="208" t="s">
        <v>46</v>
      </c>
      <c r="G18" s="68">
        <v>5456</v>
      </c>
      <c r="H18" s="208"/>
      <c r="I18" s="552">
        <f t="shared" si="2"/>
        <v>-944</v>
      </c>
      <c r="J18" s="21" t="s">
        <v>67</v>
      </c>
      <c r="K18" s="20"/>
    </row>
    <row r="19" spans="1:11" x14ac:dyDescent="0.25">
      <c r="A19" s="568" t="s">
        <v>57</v>
      </c>
      <c r="B19" s="208"/>
      <c r="C19" s="43">
        <v>24084</v>
      </c>
      <c r="D19" s="208"/>
      <c r="E19" s="44">
        <v>25547</v>
      </c>
      <c r="F19" s="208"/>
      <c r="G19" s="68">
        <v>29094</v>
      </c>
      <c r="H19" s="208"/>
      <c r="I19" s="552">
        <f t="shared" si="2"/>
        <v>3547</v>
      </c>
      <c r="J19" s="21" t="s">
        <v>67</v>
      </c>
      <c r="K19" s="20"/>
    </row>
    <row r="20" spans="1:11" x14ac:dyDescent="0.25">
      <c r="A20" s="568" t="s">
        <v>97</v>
      </c>
      <c r="B20" s="208"/>
      <c r="C20" s="43">
        <v>2333</v>
      </c>
      <c r="D20" s="208"/>
      <c r="E20" s="44">
        <v>2333</v>
      </c>
      <c r="F20" s="208" t="s">
        <v>46</v>
      </c>
      <c r="G20" s="68">
        <v>2333</v>
      </c>
      <c r="H20" s="208"/>
      <c r="I20" s="552">
        <f t="shared" si="2"/>
        <v>0</v>
      </c>
      <c r="J20" s="21" t="s">
        <v>67</v>
      </c>
      <c r="K20" s="20"/>
    </row>
    <row r="21" spans="1:11" x14ac:dyDescent="0.25">
      <c r="A21" s="568" t="s">
        <v>60</v>
      </c>
      <c r="B21" s="208"/>
      <c r="C21" s="43">
        <v>269367</v>
      </c>
      <c r="D21" s="208"/>
      <c r="E21" s="44">
        <v>292507</v>
      </c>
      <c r="F21" s="208"/>
      <c r="G21" s="68">
        <v>308369</v>
      </c>
      <c r="H21" s="208"/>
      <c r="I21" s="552">
        <f t="shared" si="2"/>
        <v>15862</v>
      </c>
      <c r="J21" s="21" t="s">
        <v>67</v>
      </c>
      <c r="K21" s="20"/>
    </row>
    <row r="22" spans="1:11" x14ac:dyDescent="0.25">
      <c r="A22" s="568" t="s">
        <v>58</v>
      </c>
      <c r="B22" s="208"/>
      <c r="C22" s="43">
        <v>1511</v>
      </c>
      <c r="D22" s="208"/>
      <c r="E22" s="44">
        <f>1400-446</f>
        <v>954</v>
      </c>
      <c r="F22" s="208"/>
      <c r="G22" s="68">
        <v>800</v>
      </c>
      <c r="H22" s="208"/>
      <c r="I22" s="552">
        <f t="shared" si="2"/>
        <v>-154</v>
      </c>
      <c r="J22" s="21" t="s">
        <v>67</v>
      </c>
      <c r="K22" s="20"/>
    </row>
    <row r="23" spans="1:11" x14ac:dyDescent="0.25">
      <c r="A23" s="568" t="s">
        <v>59</v>
      </c>
      <c r="B23" s="208" t="s">
        <v>46</v>
      </c>
      <c r="C23" s="43">
        <f>1624664+697</f>
        <v>1625361</v>
      </c>
      <c r="D23" s="208" t="s">
        <v>46</v>
      </c>
      <c r="E23" s="44">
        <v>1653400</v>
      </c>
      <c r="F23" s="208" t="s">
        <v>46</v>
      </c>
      <c r="G23" s="68">
        <f>1635457-500</f>
        <v>1634957</v>
      </c>
      <c r="H23" s="208" t="s">
        <v>46</v>
      </c>
      <c r="I23" s="552">
        <f t="shared" si="2"/>
        <v>-18443</v>
      </c>
      <c r="J23" s="21" t="s">
        <v>67</v>
      </c>
      <c r="K23" s="20"/>
    </row>
    <row r="24" spans="1:11" x14ac:dyDescent="0.25">
      <c r="A24" s="568" t="s">
        <v>61</v>
      </c>
      <c r="B24" s="208" t="s">
        <v>46</v>
      </c>
      <c r="C24" s="43">
        <f>605298+200</f>
        <v>605498</v>
      </c>
      <c r="D24" s="208" t="s">
        <v>46</v>
      </c>
      <c r="E24" s="44">
        <v>690449</v>
      </c>
      <c r="F24" s="208"/>
      <c r="G24" s="68">
        <f>697381-500</f>
        <v>696881</v>
      </c>
      <c r="H24" s="208" t="s">
        <v>46</v>
      </c>
      <c r="I24" s="552">
        <f t="shared" si="2"/>
        <v>6432</v>
      </c>
      <c r="J24" s="21" t="s">
        <v>67</v>
      </c>
      <c r="K24" s="20"/>
    </row>
    <row r="25" spans="1:11" x14ac:dyDescent="0.25">
      <c r="A25" s="568" t="s">
        <v>62</v>
      </c>
      <c r="B25" s="208"/>
      <c r="C25" s="43">
        <v>53807</v>
      </c>
      <c r="D25" s="208"/>
      <c r="E25" s="44">
        <f>47210+200</f>
        <v>47410</v>
      </c>
      <c r="F25" s="208"/>
      <c r="G25" s="68">
        <v>46134</v>
      </c>
      <c r="H25" s="208"/>
      <c r="I25" s="552">
        <f t="shared" si="2"/>
        <v>-1276</v>
      </c>
      <c r="J25" s="21" t="s">
        <v>67</v>
      </c>
      <c r="K25" s="20"/>
    </row>
    <row r="26" spans="1:11" x14ac:dyDescent="0.25">
      <c r="A26" s="568" t="s">
        <v>63</v>
      </c>
      <c r="B26" s="208"/>
      <c r="C26" s="43">
        <v>5723</v>
      </c>
      <c r="D26" s="208"/>
      <c r="E26" s="408">
        <f>4005+400</f>
        <v>4405</v>
      </c>
      <c r="F26" s="208"/>
      <c r="G26" s="68">
        <f>5+3914</f>
        <v>3919</v>
      </c>
      <c r="H26" s="208" t="s">
        <v>46</v>
      </c>
      <c r="I26" s="552">
        <f t="shared" si="2"/>
        <v>-486</v>
      </c>
      <c r="J26" s="21" t="s">
        <v>67</v>
      </c>
      <c r="K26" s="20"/>
    </row>
    <row r="27" spans="1:11" x14ac:dyDescent="0.25">
      <c r="A27" s="568" t="s">
        <v>0</v>
      </c>
      <c r="B27" s="208"/>
      <c r="C27" s="43">
        <v>8000</v>
      </c>
      <c r="D27" s="208"/>
      <c r="E27" s="44">
        <v>10000</v>
      </c>
      <c r="F27" s="208"/>
      <c r="G27" s="68">
        <v>9773</v>
      </c>
      <c r="H27" s="208" t="s">
        <v>46</v>
      </c>
      <c r="I27" s="552">
        <f t="shared" si="2"/>
        <v>-227</v>
      </c>
      <c r="J27" s="21" t="s">
        <v>67</v>
      </c>
      <c r="K27" s="20"/>
    </row>
    <row r="28" spans="1:11" x14ac:dyDescent="0.25">
      <c r="A28" s="570" t="s">
        <v>252</v>
      </c>
      <c r="B28" s="211"/>
      <c r="C28" s="41">
        <v>1595</v>
      </c>
      <c r="D28" s="211"/>
      <c r="E28" s="47">
        <v>0</v>
      </c>
      <c r="F28" s="211"/>
      <c r="G28" s="68">
        <v>0</v>
      </c>
      <c r="H28" s="211"/>
      <c r="I28" s="553">
        <f t="shared" si="2"/>
        <v>0</v>
      </c>
      <c r="J28" s="21" t="s">
        <v>67</v>
      </c>
      <c r="K28" s="20"/>
    </row>
    <row r="29" spans="1:11" x14ac:dyDescent="0.25">
      <c r="A29" s="573" t="s">
        <v>156</v>
      </c>
      <c r="B29" s="212"/>
      <c r="C29" s="49">
        <f>SUM(C13:C28)</f>
        <v>6411984</v>
      </c>
      <c r="D29" s="212"/>
      <c r="E29" s="49">
        <f>SUM(E13:E28)</f>
        <v>6673468</v>
      </c>
      <c r="F29" s="212"/>
      <c r="G29" s="50">
        <f>SUM(G13:G28)</f>
        <v>6699400</v>
      </c>
      <c r="H29" s="212"/>
      <c r="I29" s="555">
        <f>SUM(I13:I28)</f>
        <v>25932</v>
      </c>
      <c r="J29" s="21" t="s">
        <v>67</v>
      </c>
      <c r="K29" s="20"/>
    </row>
    <row r="30" spans="1:11" x14ac:dyDescent="0.25">
      <c r="A30" s="18" t="s">
        <v>2</v>
      </c>
      <c r="B30" s="9"/>
      <c r="C30" s="9"/>
      <c r="D30" s="9"/>
      <c r="E30" s="9"/>
      <c r="F30" s="9"/>
      <c r="G30" s="9"/>
      <c r="H30" s="9"/>
      <c r="I30" s="9"/>
      <c r="J30" s="21" t="s">
        <v>67</v>
      </c>
      <c r="K30" s="20"/>
    </row>
    <row r="31" spans="1:11" ht="31.5" customHeight="1" x14ac:dyDescent="0.25">
      <c r="A31" s="60" t="s">
        <v>46</v>
      </c>
      <c r="B31" s="15"/>
      <c r="C31" s="13"/>
      <c r="D31" s="13"/>
      <c r="E31" s="13"/>
      <c r="F31" s="13"/>
      <c r="G31" s="13"/>
      <c r="H31" s="13"/>
      <c r="I31" s="13"/>
      <c r="J31" s="21" t="s">
        <v>67</v>
      </c>
      <c r="K31" s="20"/>
    </row>
    <row r="32" spans="1:11" ht="10.5" customHeight="1" x14ac:dyDescent="0.25">
      <c r="B32" s="13"/>
      <c r="C32" s="13"/>
      <c r="D32" s="13"/>
      <c r="E32" s="13"/>
      <c r="F32" s="13"/>
      <c r="G32" s="13"/>
      <c r="H32" s="13"/>
      <c r="I32" s="13"/>
      <c r="J32" s="21" t="s">
        <v>67</v>
      </c>
      <c r="K32" s="20"/>
    </row>
    <row r="33" spans="1:11" ht="6.75" customHeight="1" x14ac:dyDescent="0.25">
      <c r="A33" s="571"/>
      <c r="B33" s="683" t="str">
        <f>+B6</f>
        <v>2013 Actual</v>
      </c>
      <c r="C33" s="684"/>
      <c r="D33" s="687" t="str">
        <f>+D6</f>
        <v>2014 Availability</v>
      </c>
      <c r="E33" s="688"/>
      <c r="F33" s="683" t="str">
        <f>+F6</f>
        <v>2015 Request</v>
      </c>
      <c r="G33" s="684"/>
      <c r="H33" s="683" t="str">
        <f>+H6</f>
        <v>Increase/Decrease</v>
      </c>
      <c r="I33" s="691"/>
      <c r="J33" s="21" t="s">
        <v>67</v>
      </c>
      <c r="K33" s="20"/>
    </row>
    <row r="34" spans="1:11" ht="24.75" customHeight="1" x14ac:dyDescent="0.25">
      <c r="A34" s="568"/>
      <c r="B34" s="685"/>
      <c r="C34" s="686"/>
      <c r="D34" s="689"/>
      <c r="E34" s="690"/>
      <c r="F34" s="685"/>
      <c r="G34" s="686"/>
      <c r="H34" s="692"/>
      <c r="I34" s="693"/>
      <c r="J34" s="557" t="s">
        <v>67</v>
      </c>
      <c r="K34" s="20"/>
    </row>
    <row r="35" spans="1:11" x14ac:dyDescent="0.25">
      <c r="A35" s="574" t="s">
        <v>15</v>
      </c>
      <c r="B35" s="205" t="s">
        <v>137</v>
      </c>
      <c r="C35" s="217"/>
      <c r="D35" s="213" t="s">
        <v>137</v>
      </c>
      <c r="E35" s="203"/>
      <c r="F35" s="205" t="s">
        <v>137</v>
      </c>
      <c r="G35" s="204"/>
      <c r="H35" s="244" t="s">
        <v>137</v>
      </c>
      <c r="I35" s="578"/>
      <c r="J35" s="556" t="s">
        <v>67</v>
      </c>
      <c r="K35" s="20"/>
    </row>
    <row r="36" spans="1:11" x14ac:dyDescent="0.25">
      <c r="A36" s="570"/>
      <c r="B36" s="206" t="s">
        <v>10</v>
      </c>
      <c r="C36" s="206" t="s">
        <v>11</v>
      </c>
      <c r="D36" s="206" t="s">
        <v>10</v>
      </c>
      <c r="E36" s="206" t="s">
        <v>11</v>
      </c>
      <c r="F36" s="206" t="s">
        <v>10</v>
      </c>
      <c r="G36" s="206" t="s">
        <v>11</v>
      </c>
      <c r="H36" s="206" t="s">
        <v>10</v>
      </c>
      <c r="I36" s="579" t="s">
        <v>11</v>
      </c>
      <c r="J36" s="556" t="s">
        <v>67</v>
      </c>
      <c r="K36" s="20"/>
    </row>
    <row r="37" spans="1:11" x14ac:dyDescent="0.25">
      <c r="A37" s="575" t="s">
        <v>158</v>
      </c>
      <c r="B37" s="214"/>
      <c r="C37" s="12"/>
      <c r="D37" s="214"/>
      <c r="E37" s="12"/>
      <c r="F37" s="214"/>
      <c r="G37" s="12"/>
      <c r="H37" s="214"/>
      <c r="I37" s="580"/>
      <c r="J37" s="556" t="s">
        <v>67</v>
      </c>
      <c r="K37" s="20"/>
    </row>
    <row r="38" spans="1:11" x14ac:dyDescent="0.25">
      <c r="A38" s="568" t="s">
        <v>3</v>
      </c>
      <c r="B38" s="210">
        <v>0</v>
      </c>
      <c r="C38" s="51">
        <v>71143</v>
      </c>
      <c r="D38" s="210">
        <v>0</v>
      </c>
      <c r="E38" s="47">
        <v>71700</v>
      </c>
      <c r="F38" s="210">
        <v>0</v>
      </c>
      <c r="G38" s="47">
        <f>73000-400</f>
        <v>72600</v>
      </c>
      <c r="H38" s="210">
        <v>0</v>
      </c>
      <c r="I38" s="581">
        <f>+G38-E38</f>
        <v>900</v>
      </c>
      <c r="J38" s="556" t="s">
        <v>67</v>
      </c>
      <c r="K38" s="20"/>
    </row>
    <row r="39" spans="1:11" x14ac:dyDescent="0.25">
      <c r="A39" s="568" t="s">
        <v>4</v>
      </c>
      <c r="B39" s="209">
        <v>0</v>
      </c>
      <c r="C39" s="52">
        <f>+C38</f>
        <v>71143</v>
      </c>
      <c r="D39" s="209">
        <v>0</v>
      </c>
      <c r="E39" s="44">
        <f>+E38</f>
        <v>71700</v>
      </c>
      <c r="F39" s="209">
        <v>0</v>
      </c>
      <c r="G39" s="44">
        <f>+G38</f>
        <v>72600</v>
      </c>
      <c r="H39" s="209">
        <v>0</v>
      </c>
      <c r="I39" s="582">
        <f>+I38</f>
        <v>900</v>
      </c>
      <c r="J39" s="556" t="s">
        <v>67</v>
      </c>
      <c r="K39" s="20"/>
    </row>
    <row r="40" spans="1:11" x14ac:dyDescent="0.25">
      <c r="A40" s="568" t="s">
        <v>45</v>
      </c>
      <c r="B40" s="208"/>
      <c r="C40" s="52" t="s">
        <v>46</v>
      </c>
      <c r="D40" s="208"/>
      <c r="E40" s="44" t="s">
        <v>46</v>
      </c>
      <c r="F40" s="208"/>
      <c r="G40" s="44" t="s">
        <v>46</v>
      </c>
      <c r="H40" s="208"/>
      <c r="I40" s="582"/>
      <c r="J40" s="556" t="s">
        <v>67</v>
      </c>
      <c r="K40" s="20"/>
    </row>
    <row r="41" spans="1:11" x14ac:dyDescent="0.25">
      <c r="A41" s="568" t="s">
        <v>1</v>
      </c>
      <c r="B41" s="208"/>
      <c r="C41" s="52">
        <v>31175</v>
      </c>
      <c r="D41" s="208"/>
      <c r="E41" s="44">
        <v>31800</v>
      </c>
      <c r="F41" s="208"/>
      <c r="G41" s="44">
        <f>32400-400</f>
        <v>32000</v>
      </c>
      <c r="H41" s="208"/>
      <c r="I41" s="552">
        <f>+G41-E41</f>
        <v>200</v>
      </c>
      <c r="J41" s="21" t="s">
        <v>67</v>
      </c>
      <c r="K41" s="20"/>
    </row>
    <row r="42" spans="1:11" x14ac:dyDescent="0.25">
      <c r="A42" s="568" t="s">
        <v>55</v>
      </c>
      <c r="B42" s="208"/>
      <c r="C42" s="44">
        <v>131</v>
      </c>
      <c r="D42" s="208"/>
      <c r="E42" s="53">
        <v>0</v>
      </c>
      <c r="F42" s="208"/>
      <c r="G42" s="53">
        <v>0</v>
      </c>
      <c r="H42" s="208"/>
      <c r="I42" s="558">
        <f>+G42-E42</f>
        <v>0</v>
      </c>
      <c r="J42" s="21" t="s">
        <v>67</v>
      </c>
      <c r="K42" s="20"/>
    </row>
    <row r="43" spans="1:11" x14ac:dyDescent="0.25">
      <c r="A43" s="568" t="s">
        <v>56</v>
      </c>
      <c r="B43" s="208"/>
      <c r="C43" s="44">
        <v>437</v>
      </c>
      <c r="D43" s="208"/>
      <c r="E43" s="53">
        <v>0</v>
      </c>
      <c r="F43" s="208"/>
      <c r="G43" s="53">
        <v>0</v>
      </c>
      <c r="H43" s="208"/>
      <c r="I43" s="558">
        <f>+G43-E43</f>
        <v>0</v>
      </c>
      <c r="J43" s="21" t="s">
        <v>67</v>
      </c>
      <c r="K43" s="20"/>
    </row>
    <row r="44" spans="1:11" x14ac:dyDescent="0.25">
      <c r="A44" s="568" t="s">
        <v>59</v>
      </c>
      <c r="B44" s="208"/>
      <c r="C44" s="44">
        <v>100</v>
      </c>
      <c r="D44" s="208"/>
      <c r="E44" s="53">
        <v>0</v>
      </c>
      <c r="F44" s="208"/>
      <c r="G44" s="53">
        <v>0</v>
      </c>
      <c r="H44" s="208"/>
      <c r="I44" s="558">
        <f>+G44-E44</f>
        <v>0</v>
      </c>
      <c r="J44" s="21" t="s">
        <v>67</v>
      </c>
      <c r="K44" s="20"/>
    </row>
    <row r="45" spans="1:11" x14ac:dyDescent="0.25">
      <c r="A45" s="568" t="s">
        <v>46</v>
      </c>
      <c r="B45" s="211"/>
      <c r="C45" s="47" t="s">
        <v>46</v>
      </c>
      <c r="D45" s="211"/>
      <c r="E45" s="54" t="s">
        <v>46</v>
      </c>
      <c r="F45" s="211"/>
      <c r="G45" s="54" t="s">
        <v>46</v>
      </c>
      <c r="H45" s="211"/>
      <c r="I45" s="559" t="s">
        <v>46</v>
      </c>
      <c r="J45" s="21" t="s">
        <v>67</v>
      </c>
      <c r="K45" s="20"/>
    </row>
    <row r="46" spans="1:11" x14ac:dyDescent="0.25">
      <c r="A46" s="568" t="s">
        <v>71</v>
      </c>
      <c r="B46" s="210">
        <v>0</v>
      </c>
      <c r="C46" s="47">
        <f>SUM(C39:C45)</f>
        <v>102986</v>
      </c>
      <c r="D46" s="210">
        <v>0</v>
      </c>
      <c r="E46" s="47">
        <f>SUM(E39:E45)</f>
        <v>103500</v>
      </c>
      <c r="F46" s="210">
        <v>0</v>
      </c>
      <c r="G46" s="47">
        <f>SUM(G39:G45)</f>
        <v>104600</v>
      </c>
      <c r="H46" s="210">
        <v>0</v>
      </c>
      <c r="I46" s="553">
        <f>SUM(I39:I45)</f>
        <v>1100</v>
      </c>
      <c r="J46" s="21" t="s">
        <v>67</v>
      </c>
      <c r="K46" s="20"/>
    </row>
    <row r="47" spans="1:11" x14ac:dyDescent="0.25">
      <c r="A47" s="573" t="s">
        <v>5</v>
      </c>
      <c r="B47" s="215">
        <f>+B13</f>
        <v>35896</v>
      </c>
      <c r="C47" s="55">
        <f>+C29+C46</f>
        <v>6514970</v>
      </c>
      <c r="D47" s="215">
        <f>+D13</f>
        <v>37172</v>
      </c>
      <c r="E47" s="48">
        <f>+E29+E46</f>
        <v>6776968</v>
      </c>
      <c r="F47" s="215">
        <f>+F13</f>
        <v>37172</v>
      </c>
      <c r="G47" s="48">
        <f>+G29+G46</f>
        <v>6804000</v>
      </c>
      <c r="H47" s="215">
        <f>+H13</f>
        <v>0</v>
      </c>
      <c r="I47" s="560">
        <f>+I29+I46</f>
        <v>27032</v>
      </c>
      <c r="J47" s="21" t="s">
        <v>67</v>
      </c>
      <c r="K47" s="20"/>
    </row>
    <row r="48" spans="1:11" x14ac:dyDescent="0.25">
      <c r="A48" s="568" t="s">
        <v>78</v>
      </c>
      <c r="B48" s="216"/>
      <c r="C48" s="57">
        <v>-5275</v>
      </c>
      <c r="D48" s="216"/>
      <c r="E48" s="440">
        <v>-7968</v>
      </c>
      <c r="F48" s="216"/>
      <c r="G48" s="53">
        <v>0</v>
      </c>
      <c r="H48" s="216"/>
      <c r="I48" s="554">
        <f>+G48-E48</f>
        <v>7968</v>
      </c>
      <c r="J48" s="21" t="s">
        <v>67</v>
      </c>
      <c r="K48" s="20"/>
    </row>
    <row r="49" spans="1:11" x14ac:dyDescent="0.25">
      <c r="A49" s="568" t="s">
        <v>208</v>
      </c>
      <c r="B49" s="216"/>
      <c r="C49" s="161">
        <v>-196000</v>
      </c>
      <c r="D49" s="216"/>
      <c r="E49" s="1">
        <v>0</v>
      </c>
      <c r="F49" s="216"/>
      <c r="G49" s="162">
        <v>0</v>
      </c>
      <c r="H49" s="216"/>
      <c r="I49" s="561">
        <f>+G49-E49</f>
        <v>0</v>
      </c>
      <c r="J49" s="21" t="s">
        <v>67</v>
      </c>
      <c r="K49" s="20"/>
    </row>
    <row r="50" spans="1:11" x14ac:dyDescent="0.25">
      <c r="A50" s="568" t="s">
        <v>141</v>
      </c>
      <c r="B50" s="216"/>
      <c r="C50" s="57">
        <v>7968</v>
      </c>
      <c r="D50" s="216"/>
      <c r="E50" s="57">
        <v>0</v>
      </c>
      <c r="F50" s="216"/>
      <c r="G50" s="53">
        <v>0</v>
      </c>
      <c r="H50" s="216"/>
      <c r="I50" s="561">
        <f>+G50-E50</f>
        <v>0</v>
      </c>
      <c r="J50" s="21" t="s">
        <v>67</v>
      </c>
      <c r="K50" s="20"/>
    </row>
    <row r="51" spans="1:11" x14ac:dyDescent="0.25">
      <c r="A51" s="568" t="s">
        <v>140</v>
      </c>
      <c r="B51" s="216"/>
      <c r="C51" s="55">
        <f>25277+2308</f>
        <v>27585</v>
      </c>
      <c r="D51" s="216"/>
      <c r="E51" s="57">
        <v>0</v>
      </c>
      <c r="F51" s="216"/>
      <c r="G51" s="53">
        <v>0</v>
      </c>
      <c r="H51" s="216"/>
      <c r="I51" s="561">
        <f>+G51-E51</f>
        <v>0</v>
      </c>
      <c r="J51" s="21" t="s">
        <v>67</v>
      </c>
      <c r="K51" s="20"/>
    </row>
    <row r="52" spans="1:11" ht="21" customHeight="1" x14ac:dyDescent="0.25">
      <c r="A52" s="573" t="s">
        <v>157</v>
      </c>
      <c r="B52" s="212"/>
      <c r="C52" s="55">
        <f>SUM(C47:C51)</f>
        <v>6349248</v>
      </c>
      <c r="D52" s="212"/>
      <c r="E52" s="48">
        <f>SUM(E47:E51)</f>
        <v>6769000</v>
      </c>
      <c r="F52" s="212"/>
      <c r="G52" s="48">
        <f>+G47</f>
        <v>6804000</v>
      </c>
      <c r="H52" s="212"/>
      <c r="I52" s="554">
        <f>SUM(I47:I51)</f>
        <v>35000</v>
      </c>
      <c r="J52" s="21" t="s">
        <v>67</v>
      </c>
      <c r="K52" s="20"/>
    </row>
    <row r="53" spans="1:11" ht="16.5" thickBot="1" x14ac:dyDescent="0.3">
      <c r="A53" s="576" t="s">
        <v>38</v>
      </c>
      <c r="B53" s="566">
        <v>0</v>
      </c>
      <c r="C53" s="42" t="s">
        <v>46</v>
      </c>
      <c r="D53" s="207">
        <v>0</v>
      </c>
      <c r="E53" s="562" t="s">
        <v>46</v>
      </c>
      <c r="F53" s="563">
        <v>0</v>
      </c>
      <c r="G53" s="564" t="s">
        <v>46</v>
      </c>
      <c r="H53" s="563">
        <v>0</v>
      </c>
      <c r="I53" s="565" t="s">
        <v>46</v>
      </c>
      <c r="J53" s="21" t="s">
        <v>67</v>
      </c>
      <c r="K53" s="20"/>
    </row>
    <row r="54" spans="1:11" x14ac:dyDescent="0.25">
      <c r="A54" s="2"/>
      <c r="B54" s="31"/>
      <c r="C54" s="31"/>
      <c r="D54" s="31"/>
      <c r="E54" s="2"/>
      <c r="F54" s="2"/>
      <c r="G54" s="2"/>
      <c r="H54" s="2"/>
      <c r="I54" s="2"/>
      <c r="J54" s="21" t="s">
        <v>68</v>
      </c>
      <c r="K54" s="20"/>
    </row>
    <row r="55" spans="1:11" x14ac:dyDescent="0.25">
      <c r="C55" s="1" t="s">
        <v>46</v>
      </c>
    </row>
    <row r="58" spans="1:11" x14ac:dyDescent="0.25">
      <c r="C58" s="23" t="s">
        <v>46</v>
      </c>
    </row>
    <row r="60" spans="1:11" x14ac:dyDescent="0.25">
      <c r="C60" s="27" t="s">
        <v>46</v>
      </c>
    </row>
  </sheetData>
  <mergeCells count="12">
    <mergeCell ref="B33:C34"/>
    <mergeCell ref="D33:E34"/>
    <mergeCell ref="F33:G34"/>
    <mergeCell ref="H33:I34"/>
    <mergeCell ref="A1:I1"/>
    <mergeCell ref="A2:I2"/>
    <mergeCell ref="A3:I3"/>
    <mergeCell ref="A4:I4"/>
    <mergeCell ref="B6:C7"/>
    <mergeCell ref="D6:E7"/>
    <mergeCell ref="F6:G7"/>
    <mergeCell ref="H6:I7"/>
  </mergeCells>
  <phoneticPr fontId="0" type="noConversion"/>
  <pageMargins left="0.75" right="0.75" top="1.25" bottom="0.65" header="1" footer="0.3"/>
  <pageSetup scale="84" fitToHeight="2" orientation="landscape" r:id="rId1"/>
  <headerFooter scaleWithDoc="0" alignWithMargins="0">
    <oddHeader xml:space="preserve">&amp;L&amp;"Arial,Bold"K: Summary of Requirements by Object Class
</oddHeader>
    <oddFooter>&amp;C&amp;"Times New Roman,Regular"Exhibit K:  Summary of Requirements by Object Class</oddFooter>
  </headerFooter>
  <rowBreaks count="1" manualBreakCount="1">
    <brk id="3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34"/>
  <sheetViews>
    <sheetView view="pageBreakPreview" zoomScaleNormal="100" zoomScaleSheetLayoutView="100" workbookViewId="0">
      <selection activeCell="M17" sqref="M17"/>
    </sheetView>
  </sheetViews>
  <sheetFormatPr defaultRowHeight="14.25" x14ac:dyDescent="0.2"/>
  <cols>
    <col min="1" max="10" width="12.109375" style="494" customWidth="1"/>
    <col min="11" max="16384" width="8.88671875" style="494"/>
  </cols>
  <sheetData>
    <row r="2" spans="1:23" x14ac:dyDescent="0.2">
      <c r="K2" s="495" t="s">
        <v>67</v>
      </c>
    </row>
    <row r="3" spans="1:23" x14ac:dyDescent="0.2">
      <c r="A3" s="709" t="s">
        <v>16</v>
      </c>
      <c r="B3" s="709"/>
      <c r="C3" s="709"/>
      <c r="D3" s="709"/>
      <c r="E3" s="709"/>
      <c r="F3" s="709"/>
      <c r="G3" s="709"/>
      <c r="H3" s="709"/>
      <c r="I3" s="709"/>
      <c r="J3" s="709"/>
      <c r="K3" s="495" t="s">
        <v>67</v>
      </c>
      <c r="L3" s="493"/>
    </row>
    <row r="4" spans="1:23" x14ac:dyDescent="0.2">
      <c r="A4" s="709" t="s">
        <v>17</v>
      </c>
      <c r="B4" s="709"/>
      <c r="C4" s="709"/>
      <c r="D4" s="709"/>
      <c r="E4" s="709"/>
      <c r="F4" s="709"/>
      <c r="G4" s="709"/>
      <c r="H4" s="709"/>
      <c r="I4" s="709"/>
      <c r="J4" s="709"/>
      <c r="K4" s="495" t="s">
        <v>67</v>
      </c>
      <c r="L4" s="493"/>
    </row>
    <row r="5" spans="1:23" ht="15" x14ac:dyDescent="0.25">
      <c r="A5" s="710" t="s">
        <v>39</v>
      </c>
      <c r="B5" s="711"/>
      <c r="C5" s="711"/>
      <c r="D5" s="711"/>
      <c r="E5" s="711"/>
      <c r="F5" s="711"/>
      <c r="G5" s="711"/>
      <c r="H5" s="711"/>
      <c r="I5" s="711"/>
      <c r="J5" s="711"/>
      <c r="K5" s="495" t="s">
        <v>67</v>
      </c>
      <c r="L5" s="708"/>
      <c r="M5" s="708"/>
      <c r="N5" s="708"/>
      <c r="O5" s="708"/>
      <c r="P5" s="708"/>
      <c r="Q5" s="708"/>
      <c r="R5" s="708"/>
      <c r="S5" s="708"/>
      <c r="T5" s="708"/>
      <c r="U5" s="708"/>
      <c r="V5" s="708"/>
      <c r="W5" s="708"/>
    </row>
    <row r="6" spans="1:23" x14ac:dyDescent="0.2">
      <c r="A6" s="496"/>
      <c r="B6" s="496"/>
      <c r="C6" s="496"/>
      <c r="D6" s="496"/>
      <c r="E6" s="496"/>
      <c r="F6" s="496"/>
      <c r="G6" s="496"/>
      <c r="H6" s="496"/>
      <c r="I6" s="496"/>
      <c r="J6" s="496"/>
      <c r="K6" s="495" t="s">
        <v>67</v>
      </c>
    </row>
    <row r="7" spans="1:23" ht="15" x14ac:dyDescent="0.25">
      <c r="A7" s="497"/>
      <c r="B7" s="497"/>
      <c r="C7" s="497"/>
      <c r="D7" s="497"/>
      <c r="E7" s="498"/>
      <c r="F7" s="498"/>
      <c r="G7" s="498"/>
      <c r="H7" s="498"/>
      <c r="I7" s="498"/>
      <c r="J7" s="497"/>
      <c r="K7" s="495" t="s">
        <v>67</v>
      </c>
    </row>
    <row r="8" spans="1:23" ht="15" x14ac:dyDescent="0.25">
      <c r="A8" s="712" t="s">
        <v>332</v>
      </c>
      <c r="B8" s="712"/>
      <c r="C8" s="712"/>
      <c r="D8" s="712"/>
      <c r="E8" s="712"/>
      <c r="F8" s="712"/>
      <c r="G8" s="712"/>
      <c r="H8" s="712"/>
      <c r="I8" s="712"/>
      <c r="J8" s="712"/>
      <c r="K8" s="495" t="s">
        <v>67</v>
      </c>
    </row>
    <row r="9" spans="1:23" ht="65.25" customHeight="1" x14ac:dyDescent="0.2">
      <c r="A9" s="714" t="s">
        <v>333</v>
      </c>
      <c r="B9" s="714"/>
      <c r="C9" s="714"/>
      <c r="D9" s="714"/>
      <c r="E9" s="714"/>
      <c r="F9" s="714"/>
      <c r="G9" s="714"/>
      <c r="H9" s="714"/>
      <c r="I9" s="714"/>
      <c r="J9" s="714"/>
      <c r="K9" s="495" t="s">
        <v>67</v>
      </c>
    </row>
    <row r="10" spans="1:23" x14ac:dyDescent="0.2">
      <c r="A10" s="499"/>
      <c r="B10" s="497"/>
      <c r="C10" s="497"/>
      <c r="D10" s="497"/>
      <c r="E10" s="497"/>
      <c r="F10" s="497"/>
      <c r="G10" s="497"/>
      <c r="H10" s="497"/>
      <c r="I10" s="497"/>
      <c r="J10" s="497"/>
      <c r="K10" s="495" t="s">
        <v>67</v>
      </c>
    </row>
    <row r="11" spans="1:23" ht="66.75" customHeight="1" x14ac:dyDescent="0.2">
      <c r="A11" s="713" t="s">
        <v>334</v>
      </c>
      <c r="B11" s="713"/>
      <c r="C11" s="713"/>
      <c r="D11" s="713"/>
      <c r="E11" s="713"/>
      <c r="F11" s="713"/>
      <c r="G11" s="713"/>
      <c r="H11" s="713"/>
      <c r="I11" s="713"/>
      <c r="J11" s="713"/>
      <c r="K11" s="495" t="s">
        <v>67</v>
      </c>
    </row>
    <row r="12" spans="1:23" x14ac:dyDescent="0.2">
      <c r="A12" s="500"/>
      <c r="B12" s="500"/>
      <c r="C12" s="500"/>
      <c r="D12" s="500"/>
      <c r="E12" s="500"/>
      <c r="F12" s="500"/>
      <c r="G12" s="500"/>
      <c r="H12" s="500"/>
      <c r="I12" s="500"/>
      <c r="J12" s="500"/>
      <c r="K12" s="495" t="s">
        <v>67</v>
      </c>
    </row>
    <row r="13" spans="1:23" ht="75" customHeight="1" x14ac:dyDescent="0.2">
      <c r="A13" s="713" t="s">
        <v>335</v>
      </c>
      <c r="B13" s="713"/>
      <c r="C13" s="713"/>
      <c r="D13" s="713"/>
      <c r="E13" s="713"/>
      <c r="F13" s="713"/>
      <c r="G13" s="713"/>
      <c r="H13" s="713"/>
      <c r="I13" s="713"/>
      <c r="J13" s="713"/>
      <c r="K13" s="495" t="s">
        <v>67</v>
      </c>
    </row>
    <row r="14" spans="1:23" s="503" customFormat="1" ht="15" x14ac:dyDescent="0.25">
      <c r="K14" s="495" t="s">
        <v>67</v>
      </c>
    </row>
    <row r="15" spans="1:23" ht="84" customHeight="1" x14ac:dyDescent="0.2">
      <c r="A15" s="713" t="s">
        <v>336</v>
      </c>
      <c r="B15" s="713"/>
      <c r="C15" s="713"/>
      <c r="D15" s="713"/>
      <c r="E15" s="713"/>
      <c r="F15" s="713"/>
      <c r="G15" s="713"/>
      <c r="H15" s="713"/>
      <c r="I15" s="713"/>
      <c r="J15" s="713"/>
      <c r="K15" s="495" t="s">
        <v>67</v>
      </c>
    </row>
    <row r="16" spans="1:23" x14ac:dyDescent="0.2">
      <c r="K16" s="495" t="s">
        <v>67</v>
      </c>
    </row>
    <row r="17" spans="1:11" ht="73.5" customHeight="1" x14ac:dyDescent="0.2">
      <c r="A17" s="713" t="s">
        <v>339</v>
      </c>
      <c r="B17" s="713"/>
      <c r="C17" s="713"/>
      <c r="D17" s="713"/>
      <c r="E17" s="713"/>
      <c r="F17" s="713"/>
      <c r="G17" s="713"/>
      <c r="H17" s="713"/>
      <c r="I17" s="713"/>
      <c r="J17" s="713"/>
      <c r="K17" s="495" t="s">
        <v>68</v>
      </c>
    </row>
    <row r="18" spans="1:11" x14ac:dyDescent="0.2">
      <c r="K18" s="495"/>
    </row>
    <row r="19" spans="1:11" ht="59.25" customHeight="1" x14ac:dyDescent="0.2">
      <c r="A19" s="713"/>
      <c r="B19" s="713"/>
      <c r="C19" s="713"/>
      <c r="D19" s="713"/>
      <c r="E19" s="713"/>
      <c r="F19" s="713"/>
      <c r="G19" s="713"/>
      <c r="H19" s="713"/>
      <c r="I19" s="713"/>
      <c r="J19" s="713"/>
      <c r="K19" s="495"/>
    </row>
    <row r="20" spans="1:11" x14ac:dyDescent="0.2">
      <c r="A20" s="505"/>
      <c r="B20" s="505"/>
      <c r="C20" s="505"/>
      <c r="D20" s="505"/>
      <c r="E20" s="505"/>
      <c r="F20" s="505"/>
      <c r="G20" s="505"/>
      <c r="H20" s="505"/>
      <c r="I20" s="505"/>
      <c r="J20" s="505"/>
      <c r="K20" s="495"/>
    </row>
    <row r="21" spans="1:11" x14ac:dyDescent="0.2">
      <c r="A21" s="505"/>
      <c r="B21" s="505"/>
      <c r="C21" s="505"/>
      <c r="D21" s="505"/>
      <c r="E21" s="505"/>
      <c r="F21" s="505"/>
      <c r="G21" s="505"/>
      <c r="H21" s="505"/>
      <c r="I21" s="505"/>
      <c r="J21" s="505"/>
      <c r="K21" s="495"/>
    </row>
    <row r="22" spans="1:11" x14ac:dyDescent="0.2">
      <c r="K22" s="495"/>
    </row>
    <row r="23" spans="1:11" x14ac:dyDescent="0.2">
      <c r="K23" s="495"/>
    </row>
    <row r="24" spans="1:11" x14ac:dyDescent="0.2">
      <c r="K24" s="495"/>
    </row>
    <row r="25" spans="1:11" x14ac:dyDescent="0.2">
      <c r="K25" s="495"/>
    </row>
    <row r="30" spans="1:11" ht="15" x14ac:dyDescent="0.25">
      <c r="A30" s="502"/>
      <c r="B30" s="502"/>
      <c r="C30" s="502"/>
      <c r="D30" s="502"/>
      <c r="E30" s="502"/>
      <c r="F30" s="502"/>
      <c r="G30" s="502"/>
      <c r="H30" s="502"/>
      <c r="I30" s="502"/>
      <c r="J30" s="502"/>
    </row>
    <row r="31" spans="1:11" x14ac:dyDescent="0.2">
      <c r="A31" s="504"/>
      <c r="B31" s="504"/>
      <c r="C31" s="504"/>
      <c r="D31" s="504"/>
      <c r="E31" s="504"/>
      <c r="F31" s="504"/>
      <c r="G31" s="504"/>
      <c r="H31" s="504"/>
      <c r="I31" s="504"/>
      <c r="J31" s="504"/>
    </row>
    <row r="32" spans="1:11" x14ac:dyDescent="0.2">
      <c r="A32" s="706"/>
      <c r="B32" s="707"/>
      <c r="C32" s="707"/>
      <c r="D32" s="707"/>
      <c r="E32" s="707"/>
      <c r="F32" s="707"/>
      <c r="G32" s="707"/>
      <c r="H32" s="707"/>
      <c r="I32" s="707"/>
      <c r="J32" s="707"/>
    </row>
    <row r="33" spans="1:10" x14ac:dyDescent="0.2">
      <c r="A33" s="501"/>
      <c r="B33" s="501"/>
      <c r="C33" s="501"/>
      <c r="D33" s="501"/>
      <c r="E33" s="501"/>
      <c r="F33" s="501"/>
      <c r="G33" s="501"/>
      <c r="H33" s="501"/>
      <c r="I33" s="501"/>
      <c r="J33" s="501"/>
    </row>
    <row r="34" spans="1:10" x14ac:dyDescent="0.2">
      <c r="A34" s="706"/>
      <c r="B34" s="707"/>
      <c r="C34" s="707"/>
      <c r="D34" s="707"/>
      <c r="E34" s="707"/>
      <c r="F34" s="707"/>
      <c r="G34" s="707"/>
      <c r="H34" s="707"/>
      <c r="I34" s="707"/>
      <c r="J34" s="707"/>
    </row>
  </sheetData>
  <mergeCells count="13">
    <mergeCell ref="A34:J34"/>
    <mergeCell ref="L5:W5"/>
    <mergeCell ref="A3:J3"/>
    <mergeCell ref="A5:J5"/>
    <mergeCell ref="A8:J8"/>
    <mergeCell ref="A32:J32"/>
    <mergeCell ref="A17:J17"/>
    <mergeCell ref="A19:J19"/>
    <mergeCell ref="A4:J4"/>
    <mergeCell ref="A9:J9"/>
    <mergeCell ref="A11:J11"/>
    <mergeCell ref="A13:J13"/>
    <mergeCell ref="A15:J15"/>
  </mergeCells>
  <printOptions horizontalCentered="1"/>
  <pageMargins left="0.7" right="0.7" top="1" bottom="0.75" header="0.8" footer="0.3"/>
  <pageSetup scale="85" orientation="landscape" r:id="rId1"/>
  <headerFooter>
    <oddHeader xml:space="preserve">&amp;LL. Status of Congressionally Requested Studies, Reports, and Evaluations
</oddHeader>
    <oddFooter xml:space="preserve">&amp;CL. Status of Congressionally Requested Studies, Reports, and Evaluations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workbookViewId="0">
      <selection activeCell="L40" sqref="L40"/>
    </sheetView>
  </sheetViews>
  <sheetFormatPr defaultRowHeight="12" x14ac:dyDescent="0.2"/>
  <cols>
    <col min="1" max="1" width="22.44140625" style="167" customWidth="1"/>
    <col min="2" max="2" width="7.5546875" style="167" customWidth="1"/>
    <col min="3" max="3" width="7.21875" style="167" customWidth="1"/>
    <col min="4" max="4" width="10.88671875" style="167" customWidth="1"/>
    <col min="5" max="5" width="6.88671875" style="167" customWidth="1"/>
    <col min="6" max="6" width="7.109375" style="167" customWidth="1"/>
    <col min="7" max="7" width="9.77734375" style="167" customWidth="1"/>
    <col min="8" max="8" width="8" style="167" customWidth="1"/>
    <col min="9" max="9" width="7.77734375" style="167" customWidth="1"/>
    <col min="10" max="10" width="10.5546875" style="167" customWidth="1"/>
    <col min="11" max="11" width="1.44140625" style="167" customWidth="1"/>
    <col min="12" max="16384" width="8.88671875" style="167"/>
  </cols>
  <sheetData>
    <row r="1" spans="1:11" ht="12" customHeight="1" x14ac:dyDescent="0.2">
      <c r="A1" s="170" t="s">
        <v>46</v>
      </c>
      <c r="C1" s="171"/>
      <c r="D1" s="171"/>
      <c r="E1" s="171"/>
      <c r="K1" s="168" t="s">
        <v>67</v>
      </c>
    </row>
    <row r="2" spans="1:11" ht="15.75" x14ac:dyDescent="0.25">
      <c r="A2" s="716" t="s">
        <v>222</v>
      </c>
      <c r="B2" s="716"/>
      <c r="C2" s="716"/>
      <c r="D2" s="716"/>
      <c r="E2" s="716"/>
      <c r="F2" s="716"/>
      <c r="G2" s="716"/>
      <c r="H2" s="716"/>
      <c r="I2" s="716"/>
      <c r="J2" s="716"/>
      <c r="K2" s="168" t="s">
        <v>67</v>
      </c>
    </row>
    <row r="3" spans="1:11" ht="14.25" x14ac:dyDescent="0.2">
      <c r="A3" s="717" t="s">
        <v>16</v>
      </c>
      <c r="B3" s="717"/>
      <c r="C3" s="717"/>
      <c r="D3" s="717"/>
      <c r="E3" s="717"/>
      <c r="F3" s="717"/>
      <c r="G3" s="717"/>
      <c r="H3" s="717"/>
      <c r="I3" s="717"/>
      <c r="J3" s="717"/>
      <c r="K3" s="168" t="s">
        <v>67</v>
      </c>
    </row>
    <row r="4" spans="1:11" ht="14.25" x14ac:dyDescent="0.2">
      <c r="A4" s="717" t="s">
        <v>17</v>
      </c>
      <c r="B4" s="717"/>
      <c r="C4" s="717"/>
      <c r="D4" s="717"/>
      <c r="E4" s="717"/>
      <c r="F4" s="717"/>
      <c r="G4" s="717"/>
      <c r="H4" s="717"/>
      <c r="I4" s="717"/>
      <c r="J4" s="717"/>
      <c r="K4" s="168" t="s">
        <v>67</v>
      </c>
    </row>
    <row r="5" spans="1:11" ht="6.75" customHeight="1" thickBot="1" x14ac:dyDescent="0.25">
      <c r="A5" s="169"/>
      <c r="B5" s="169"/>
      <c r="C5" s="169"/>
      <c r="D5" s="169"/>
      <c r="E5" s="169"/>
      <c r="F5" s="169"/>
      <c r="G5" s="169"/>
      <c r="H5" s="169"/>
      <c r="I5" s="169"/>
      <c r="J5" s="169"/>
      <c r="K5" s="168" t="s">
        <v>67</v>
      </c>
    </row>
    <row r="6" spans="1:11" ht="12" customHeight="1" x14ac:dyDescent="0.2">
      <c r="A6" s="172"/>
      <c r="B6" s="718" t="s">
        <v>285</v>
      </c>
      <c r="C6" s="719"/>
      <c r="D6" s="720"/>
      <c r="E6" s="718" t="s">
        <v>253</v>
      </c>
      <c r="F6" s="719"/>
      <c r="G6" s="720"/>
      <c r="H6" s="725" t="s">
        <v>272</v>
      </c>
      <c r="I6" s="726"/>
      <c r="J6" s="727"/>
      <c r="K6" s="168" t="s">
        <v>67</v>
      </c>
    </row>
    <row r="7" spans="1:11" x14ac:dyDescent="0.2">
      <c r="A7" s="173"/>
      <c r="B7" s="721"/>
      <c r="C7" s="722"/>
      <c r="D7" s="723"/>
      <c r="E7" s="721"/>
      <c r="F7" s="722"/>
      <c r="G7" s="724"/>
      <c r="H7" s="728"/>
      <c r="I7" s="729"/>
      <c r="J7" s="730"/>
      <c r="K7" s="168" t="s">
        <v>67</v>
      </c>
    </row>
    <row r="8" spans="1:11" ht="12.75" thickBot="1" x14ac:dyDescent="0.25">
      <c r="A8" s="174" t="s">
        <v>42</v>
      </c>
      <c r="B8" s="175" t="s">
        <v>14</v>
      </c>
      <c r="C8" s="176" t="s">
        <v>82</v>
      </c>
      <c r="D8" s="177" t="s">
        <v>43</v>
      </c>
      <c r="E8" s="409" t="s">
        <v>14</v>
      </c>
      <c r="F8" s="178" t="s">
        <v>10</v>
      </c>
      <c r="G8" s="179" t="s">
        <v>43</v>
      </c>
      <c r="H8" s="175" t="s">
        <v>14</v>
      </c>
      <c r="I8" s="176" t="s">
        <v>10</v>
      </c>
      <c r="J8" s="177" t="s">
        <v>44</v>
      </c>
      <c r="K8" s="168" t="s">
        <v>67</v>
      </c>
    </row>
    <row r="9" spans="1:11" x14ac:dyDescent="0.2">
      <c r="A9" s="173"/>
      <c r="B9" s="180" t="s">
        <v>46</v>
      </c>
      <c r="C9" s="181" t="s">
        <v>46</v>
      </c>
      <c r="D9" s="182"/>
      <c r="E9" s="180"/>
      <c r="F9" s="183" t="s">
        <v>46</v>
      </c>
      <c r="G9" s="184"/>
      <c r="H9" s="180" t="s">
        <v>46</v>
      </c>
      <c r="I9" s="181"/>
      <c r="J9" s="182"/>
      <c r="K9" s="168" t="s">
        <v>67</v>
      </c>
    </row>
    <row r="10" spans="1:11" x14ac:dyDescent="0.2">
      <c r="A10" s="173" t="s">
        <v>17</v>
      </c>
      <c r="B10" s="180">
        <v>41780</v>
      </c>
      <c r="C10" s="181">
        <v>35896</v>
      </c>
      <c r="D10" s="185">
        <v>6349248</v>
      </c>
      <c r="E10" s="180">
        <v>43058</v>
      </c>
      <c r="F10" s="183">
        <v>37172</v>
      </c>
      <c r="G10" s="186">
        <v>6769000</v>
      </c>
      <c r="H10" s="180">
        <v>43058</v>
      </c>
      <c r="I10" s="181">
        <v>37172</v>
      </c>
      <c r="J10" s="185">
        <v>6804000</v>
      </c>
      <c r="K10" s="168" t="s">
        <v>67</v>
      </c>
    </row>
    <row r="11" spans="1:11" x14ac:dyDescent="0.2">
      <c r="A11" s="173"/>
      <c r="B11" s="180"/>
      <c r="C11" s="181"/>
      <c r="D11" s="187"/>
      <c r="E11" s="180"/>
      <c r="F11" s="183"/>
      <c r="G11" s="184"/>
      <c r="H11" s="180"/>
      <c r="I11" s="181"/>
      <c r="J11" s="182"/>
      <c r="K11" s="168" t="s">
        <v>67</v>
      </c>
    </row>
    <row r="12" spans="1:11" x14ac:dyDescent="0.2">
      <c r="A12" s="173" t="s">
        <v>284</v>
      </c>
      <c r="B12" s="180">
        <v>260</v>
      </c>
      <c r="C12" s="181">
        <v>109</v>
      </c>
      <c r="D12" s="182">
        <f>85856+10000</f>
        <v>95856</v>
      </c>
      <c r="E12" s="180">
        <v>239</v>
      </c>
      <c r="F12" s="183">
        <v>109</v>
      </c>
      <c r="G12" s="184">
        <v>90000</v>
      </c>
      <c r="H12" s="180">
        <v>239</v>
      </c>
      <c r="I12" s="181">
        <v>109</v>
      </c>
      <c r="J12" s="182">
        <v>90000</v>
      </c>
      <c r="K12" s="168" t="s">
        <v>67</v>
      </c>
    </row>
    <row r="13" spans="1:11" x14ac:dyDescent="0.2">
      <c r="A13" s="173" t="s">
        <v>83</v>
      </c>
      <c r="B13" s="188" t="s">
        <v>46</v>
      </c>
      <c r="C13" s="189"/>
      <c r="D13" s="190">
        <v>-64700</v>
      </c>
      <c r="E13" s="188" t="s">
        <v>46</v>
      </c>
      <c r="F13" s="191"/>
      <c r="G13" s="192" t="s">
        <v>46</v>
      </c>
      <c r="H13" s="188" t="s">
        <v>46</v>
      </c>
      <c r="I13" s="189"/>
      <c r="J13" s="192"/>
      <c r="K13" s="168" t="s">
        <v>67</v>
      </c>
    </row>
    <row r="14" spans="1:11" x14ac:dyDescent="0.2">
      <c r="A14" s="173" t="s">
        <v>73</v>
      </c>
      <c r="B14" s="180"/>
      <c r="C14" s="181"/>
      <c r="D14" s="184">
        <f>SUM(D12:D13)</f>
        <v>31156</v>
      </c>
      <c r="E14" s="180"/>
      <c r="F14" s="183"/>
      <c r="G14" s="184">
        <f>SUM(G12:G13)</f>
        <v>90000</v>
      </c>
      <c r="H14" s="180"/>
      <c r="I14" s="181"/>
      <c r="J14" s="182">
        <f>SUM(J12:J13)</f>
        <v>90000</v>
      </c>
      <c r="K14" s="168" t="s">
        <v>67</v>
      </c>
    </row>
    <row r="15" spans="1:11" x14ac:dyDescent="0.2">
      <c r="A15" s="173"/>
      <c r="B15" s="180"/>
      <c r="C15" s="181"/>
      <c r="D15" s="182"/>
      <c r="E15" s="180"/>
      <c r="F15" s="183"/>
      <c r="G15" s="184"/>
      <c r="H15" s="180"/>
      <c r="I15" s="181"/>
      <c r="J15" s="182"/>
      <c r="K15" s="168" t="s">
        <v>67</v>
      </c>
    </row>
    <row r="16" spans="1:11" x14ac:dyDescent="0.2">
      <c r="A16" s="173" t="s">
        <v>22</v>
      </c>
      <c r="B16" s="180">
        <v>1950</v>
      </c>
      <c r="C16" s="181">
        <v>1103</v>
      </c>
      <c r="D16" s="182">
        <v>0</v>
      </c>
      <c r="E16" s="180">
        <v>1950</v>
      </c>
      <c r="F16" s="183">
        <v>1147</v>
      </c>
      <c r="G16" s="184">
        <v>0</v>
      </c>
      <c r="H16" s="180">
        <v>1950</v>
      </c>
      <c r="I16" s="181">
        <v>1147</v>
      </c>
      <c r="J16" s="182">
        <v>0</v>
      </c>
      <c r="K16" s="168" t="s">
        <v>67</v>
      </c>
    </row>
    <row r="17" spans="1:11" x14ac:dyDescent="0.2">
      <c r="A17" s="173"/>
      <c r="B17" s="180"/>
      <c r="C17" s="181"/>
      <c r="D17" s="182"/>
      <c r="E17" s="180"/>
      <c r="F17" s="183"/>
      <c r="G17" s="184"/>
      <c r="H17" s="180"/>
      <c r="I17" s="181"/>
      <c r="J17" s="182" t="s">
        <v>46</v>
      </c>
      <c r="K17" s="168" t="s">
        <v>67</v>
      </c>
    </row>
    <row r="18" spans="1:11" x14ac:dyDescent="0.2">
      <c r="A18" s="173" t="s">
        <v>47</v>
      </c>
      <c r="B18" s="180">
        <v>791</v>
      </c>
      <c r="C18" s="181">
        <v>676</v>
      </c>
      <c r="D18" s="182">
        <v>0</v>
      </c>
      <c r="E18" s="180">
        <v>797</v>
      </c>
      <c r="F18" s="183">
        <v>746</v>
      </c>
      <c r="G18" s="184">
        <v>0</v>
      </c>
      <c r="H18" s="180">
        <v>797</v>
      </c>
      <c r="I18" s="181">
        <v>749</v>
      </c>
      <c r="J18" s="182">
        <v>0</v>
      </c>
      <c r="K18" s="168" t="s">
        <v>67</v>
      </c>
    </row>
    <row r="19" spans="1:11" ht="12.75" thickBot="1" x14ac:dyDescent="0.25">
      <c r="A19" s="174"/>
      <c r="B19" s="193"/>
      <c r="C19" s="194"/>
      <c r="D19" s="195"/>
      <c r="E19" s="193"/>
      <c r="F19" s="196"/>
      <c r="G19" s="197"/>
      <c r="H19" s="193"/>
      <c r="I19" s="194"/>
      <c r="J19" s="195"/>
      <c r="K19" s="168" t="s">
        <v>67</v>
      </c>
    </row>
    <row r="20" spans="1:11" ht="12.75" thickBot="1" x14ac:dyDescent="0.25">
      <c r="A20" s="174" t="s">
        <v>48</v>
      </c>
      <c r="B20" s="193">
        <f>+B10+B12+B16+B18</f>
        <v>44781</v>
      </c>
      <c r="C20" s="194">
        <f>+C10+C12+C16+C18</f>
        <v>37784</v>
      </c>
      <c r="D20" s="195">
        <f>+D10+D14</f>
        <v>6380404</v>
      </c>
      <c r="E20" s="193">
        <f>+E10+E12+E16+E18</f>
        <v>46044</v>
      </c>
      <c r="F20" s="196">
        <f>+F10+F12+F16+F18</f>
        <v>39174</v>
      </c>
      <c r="G20" s="198">
        <f>+G10+G14</f>
        <v>6859000</v>
      </c>
      <c r="H20" s="199">
        <f>+H10+H12+H16+H18</f>
        <v>46044</v>
      </c>
      <c r="I20" s="195">
        <f>+I10+I12+I16+I18</f>
        <v>39177</v>
      </c>
      <c r="J20" s="195">
        <f>+J10+J14+J16+J18</f>
        <v>6894000</v>
      </c>
      <c r="K20" s="168" t="s">
        <v>67</v>
      </c>
    </row>
    <row r="21" spans="1:11" ht="6.75" customHeight="1" x14ac:dyDescent="0.2">
      <c r="A21" s="169"/>
      <c r="B21" s="184"/>
      <c r="C21" s="184"/>
      <c r="D21" s="184"/>
      <c r="E21" s="184"/>
      <c r="F21" s="184"/>
      <c r="G21" s="184"/>
      <c r="H21" s="184"/>
      <c r="I21" s="184"/>
      <c r="J21" s="184"/>
      <c r="K21" s="168" t="s">
        <v>67</v>
      </c>
    </row>
    <row r="22" spans="1:11" x14ac:dyDescent="0.2">
      <c r="A22" s="167" t="s">
        <v>292</v>
      </c>
      <c r="H22" s="167" t="s">
        <v>46</v>
      </c>
      <c r="I22" s="167" t="s">
        <v>46</v>
      </c>
      <c r="J22" s="167" t="s">
        <v>46</v>
      </c>
      <c r="K22" s="168" t="s">
        <v>68</v>
      </c>
    </row>
    <row r="23" spans="1:11" ht="43.5" customHeight="1" x14ac:dyDescent="0.2">
      <c r="A23" s="715"/>
      <c r="B23" s="715"/>
      <c r="C23" s="715"/>
      <c r="D23" s="715"/>
      <c r="E23" s="715"/>
      <c r="F23" s="715"/>
      <c r="G23" s="715"/>
      <c r="H23" s="715"/>
      <c r="I23" s="715"/>
      <c r="J23" s="715"/>
      <c r="K23" s="168"/>
    </row>
    <row r="24" spans="1:11" x14ac:dyDescent="0.2">
      <c r="A24" s="167" t="s">
        <v>46</v>
      </c>
    </row>
    <row r="25" spans="1:11" x14ac:dyDescent="0.2">
      <c r="A25" s="167" t="s">
        <v>46</v>
      </c>
      <c r="K25" s="168"/>
    </row>
  </sheetData>
  <mergeCells count="7">
    <mergeCell ref="A23:J23"/>
    <mergeCell ref="A2:J2"/>
    <mergeCell ref="A3:J3"/>
    <mergeCell ref="A4:J4"/>
    <mergeCell ref="B6:D7"/>
    <mergeCell ref="E6:G7"/>
    <mergeCell ref="H6:J7"/>
  </mergeCells>
  <phoneticPr fontId="0" type="noConversion"/>
  <printOptions horizontalCentered="1"/>
  <pageMargins left="0.73" right="0.52" top="1.25" bottom="1" header="1" footer="0.5"/>
  <pageSetup scale="97" orientation="landscape" r:id="rId1"/>
  <headerFooter scaleWithDoc="0" alignWithMargins="0">
    <oddHeader>&amp;L&amp;"Arial,Bold"M: Summary by Appropriation</oddHeader>
    <oddFooter>&amp;C&amp;"Times New Roman,Regular"Exhibit M:  Summary by Appropriation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view="pageBreakPreview" topLeftCell="A4" zoomScaleNormal="100" zoomScaleSheetLayoutView="100" workbookViewId="0">
      <selection activeCell="J25" sqref="J25"/>
    </sheetView>
  </sheetViews>
  <sheetFormatPr defaultRowHeight="15.75" x14ac:dyDescent="0.25"/>
  <cols>
    <col min="1" max="1" width="1.109375" style="1" customWidth="1"/>
    <col min="2" max="2" width="8.88671875" style="1"/>
    <col min="3" max="3" width="55.77734375" style="1" customWidth="1"/>
    <col min="4" max="4" width="7" style="1" customWidth="1"/>
    <col min="5" max="5" width="7.44140625" style="1" customWidth="1"/>
    <col min="6" max="6" width="11.109375" style="1" customWidth="1"/>
    <col min="7" max="7" width="2" style="1" customWidth="1"/>
    <col min="8" max="16384" width="8.88671875" style="1"/>
  </cols>
  <sheetData>
    <row r="1" spans="1:7" ht="27.75" customHeight="1" x14ac:dyDescent="0.3">
      <c r="A1" s="59"/>
      <c r="B1" s="58" t="s">
        <v>46</v>
      </c>
      <c r="C1" s="59"/>
      <c r="D1" s="59"/>
      <c r="F1" s="14"/>
      <c r="G1" s="19" t="s">
        <v>67</v>
      </c>
    </row>
    <row r="2" spans="1:7" ht="18" x14ac:dyDescent="0.25">
      <c r="B2" s="694" t="s">
        <v>72</v>
      </c>
      <c r="C2" s="694"/>
      <c r="D2" s="694"/>
      <c r="E2" s="694"/>
      <c r="F2" s="694"/>
      <c r="G2" s="19" t="s">
        <v>67</v>
      </c>
    </row>
    <row r="3" spans="1:7" x14ac:dyDescent="0.25">
      <c r="B3" s="695" t="s">
        <v>278</v>
      </c>
      <c r="C3" s="695"/>
      <c r="D3" s="695"/>
      <c r="E3" s="695"/>
      <c r="F3" s="695"/>
      <c r="G3" s="19" t="s">
        <v>67</v>
      </c>
    </row>
    <row r="4" spans="1:7" x14ac:dyDescent="0.25">
      <c r="B4" s="731" t="s">
        <v>17</v>
      </c>
      <c r="C4" s="731"/>
      <c r="D4" s="731"/>
      <c r="E4" s="731"/>
      <c r="F4" s="731"/>
      <c r="G4" s="19" t="s">
        <v>67</v>
      </c>
    </row>
    <row r="5" spans="1:7" ht="16.5" thickBot="1" x14ac:dyDescent="0.3">
      <c r="B5" s="731" t="s">
        <v>39</v>
      </c>
      <c r="C5" s="731"/>
      <c r="D5" s="731"/>
      <c r="E5" s="731"/>
      <c r="F5" s="731"/>
      <c r="G5" s="19" t="s">
        <v>67</v>
      </c>
    </row>
    <row r="6" spans="1:7" x14ac:dyDescent="0.25">
      <c r="A6" s="8"/>
      <c r="B6" s="16"/>
      <c r="C6" s="6"/>
      <c r="D6" s="31"/>
      <c r="E6" s="5"/>
      <c r="F6" s="6" t="s">
        <v>46</v>
      </c>
      <c r="G6" s="19" t="s">
        <v>67</v>
      </c>
    </row>
    <row r="7" spans="1:7" ht="16.5" thickBot="1" x14ac:dyDescent="0.3">
      <c r="A7" s="8"/>
      <c r="C7" s="3"/>
      <c r="D7" s="28" t="s">
        <v>9</v>
      </c>
      <c r="E7" s="22" t="s">
        <v>8</v>
      </c>
      <c r="F7" s="29" t="s">
        <v>11</v>
      </c>
      <c r="G7" s="19" t="s">
        <v>67</v>
      </c>
    </row>
    <row r="8" spans="1:7" ht="16.5" customHeight="1" thickBot="1" x14ac:dyDescent="0.3">
      <c r="B8" s="32" t="s">
        <v>279</v>
      </c>
      <c r="C8" s="25"/>
      <c r="D8" s="34">
        <v>43058</v>
      </c>
      <c r="E8" s="35">
        <v>37172</v>
      </c>
      <c r="F8" s="62">
        <v>6769000</v>
      </c>
      <c r="G8" s="19" t="s">
        <v>67</v>
      </c>
    </row>
    <row r="9" spans="1:7" ht="16.5" customHeight="1" x14ac:dyDescent="0.25">
      <c r="B9" s="17"/>
      <c r="C9" s="8"/>
      <c r="D9" s="11"/>
      <c r="E9" s="61"/>
      <c r="F9" s="410"/>
      <c r="G9" s="19"/>
    </row>
    <row r="10" spans="1:7" x14ac:dyDescent="0.25">
      <c r="B10" s="37" t="s">
        <v>112</v>
      </c>
      <c r="C10" s="8"/>
      <c r="D10" s="160"/>
      <c r="E10" s="4"/>
      <c r="F10" s="8"/>
      <c r="G10" s="19" t="s">
        <v>67</v>
      </c>
    </row>
    <row r="11" spans="1:7" x14ac:dyDescent="0.25">
      <c r="B11" s="37" t="s">
        <v>76</v>
      </c>
      <c r="C11" s="8"/>
      <c r="D11" s="40"/>
      <c r="E11" s="4"/>
      <c r="F11" s="24"/>
      <c r="G11" s="19" t="s">
        <v>67</v>
      </c>
    </row>
    <row r="12" spans="1:7" x14ac:dyDescent="0.25">
      <c r="B12" s="437" t="s">
        <v>243</v>
      </c>
      <c r="C12" s="8"/>
      <c r="D12" s="76">
        <v>0</v>
      </c>
      <c r="E12" s="4">
        <v>0</v>
      </c>
      <c r="F12" s="7">
        <v>24181</v>
      </c>
      <c r="G12" s="19" t="s">
        <v>67</v>
      </c>
    </row>
    <row r="13" spans="1:7" x14ac:dyDescent="0.25">
      <c r="B13" s="437" t="s">
        <v>273</v>
      </c>
      <c r="C13" s="8"/>
      <c r="D13" s="163">
        <v>0</v>
      </c>
      <c r="E13" s="4">
        <v>0</v>
      </c>
      <c r="F13" s="7">
        <v>7756</v>
      </c>
      <c r="G13" s="19" t="s">
        <v>67</v>
      </c>
    </row>
    <row r="14" spans="1:7" x14ac:dyDescent="0.25">
      <c r="B14" s="437" t="s">
        <v>274</v>
      </c>
      <c r="C14" s="8"/>
      <c r="D14" s="163">
        <v>0</v>
      </c>
      <c r="E14" s="4">
        <v>0</v>
      </c>
      <c r="F14" s="7">
        <v>65818</v>
      </c>
      <c r="G14" s="19" t="s">
        <v>67</v>
      </c>
    </row>
    <row r="15" spans="1:7" x14ac:dyDescent="0.25">
      <c r="B15" s="437" t="s">
        <v>98</v>
      </c>
      <c r="C15" s="8"/>
      <c r="D15" s="30">
        <v>0</v>
      </c>
      <c r="E15" s="4">
        <v>0</v>
      </c>
      <c r="F15" s="7">
        <v>8918</v>
      </c>
      <c r="G15" s="19" t="s">
        <v>67</v>
      </c>
    </row>
    <row r="16" spans="1:7" x14ac:dyDescent="0.25">
      <c r="B16" s="437" t="s">
        <v>99</v>
      </c>
      <c r="C16" s="8"/>
      <c r="D16" s="71">
        <v>0</v>
      </c>
      <c r="E16" s="72">
        <v>0</v>
      </c>
      <c r="F16" s="73">
        <v>10301</v>
      </c>
      <c r="G16" s="19" t="s">
        <v>67</v>
      </c>
    </row>
    <row r="17" spans="2:7" x14ac:dyDescent="0.25">
      <c r="B17" s="437" t="s">
        <v>107</v>
      </c>
      <c r="C17" s="8"/>
      <c r="D17" s="70">
        <f>SUM(D15:D16)</f>
        <v>0</v>
      </c>
      <c r="E17" s="4">
        <f>SUM(E15:E16)</f>
        <v>0</v>
      </c>
      <c r="F17" s="26">
        <f>SUM(F12:F16)</f>
        <v>116974</v>
      </c>
      <c r="G17" s="19" t="s">
        <v>67</v>
      </c>
    </row>
    <row r="18" spans="2:7" x14ac:dyDescent="0.25">
      <c r="B18" s="17" t="s">
        <v>46</v>
      </c>
      <c r="C18" s="8"/>
      <c r="D18" s="70"/>
      <c r="E18" s="4"/>
      <c r="F18" s="26"/>
      <c r="G18" s="19" t="s">
        <v>67</v>
      </c>
    </row>
    <row r="19" spans="2:7" x14ac:dyDescent="0.25">
      <c r="B19" s="37" t="s">
        <v>77</v>
      </c>
      <c r="C19" s="8"/>
      <c r="D19" s="40"/>
      <c r="E19" s="4"/>
      <c r="F19" s="7"/>
      <c r="G19" s="19" t="s">
        <v>67</v>
      </c>
    </row>
    <row r="20" spans="2:7" x14ac:dyDescent="0.25">
      <c r="B20" s="437" t="s">
        <v>104</v>
      </c>
      <c r="C20" s="8"/>
      <c r="D20" s="30">
        <v>0</v>
      </c>
      <c r="E20" s="4">
        <v>0</v>
      </c>
      <c r="F20" s="7">
        <v>34921</v>
      </c>
      <c r="G20" s="19" t="s">
        <v>67</v>
      </c>
    </row>
    <row r="21" spans="2:7" x14ac:dyDescent="0.25">
      <c r="B21" s="437" t="s">
        <v>105</v>
      </c>
      <c r="C21" s="8"/>
      <c r="D21" s="30">
        <v>0</v>
      </c>
      <c r="E21" s="4">
        <v>0</v>
      </c>
      <c r="F21" s="7">
        <v>14394</v>
      </c>
      <c r="G21" s="19" t="s">
        <v>67</v>
      </c>
    </row>
    <row r="22" spans="2:7" x14ac:dyDescent="0.25">
      <c r="B22" s="437" t="s">
        <v>106</v>
      </c>
      <c r="C22" s="8"/>
      <c r="D22" s="71">
        <v>0</v>
      </c>
      <c r="E22" s="72">
        <v>0</v>
      </c>
      <c r="F22" s="74">
        <v>23022</v>
      </c>
      <c r="G22" s="19" t="s">
        <v>67</v>
      </c>
    </row>
    <row r="23" spans="2:7" x14ac:dyDescent="0.25">
      <c r="B23" s="437" t="s">
        <v>109</v>
      </c>
      <c r="C23" s="8"/>
      <c r="D23" s="70">
        <f>SUM(D20:D22)</f>
        <v>0</v>
      </c>
      <c r="E23" s="75">
        <f>SUM(E20:E22)</f>
        <v>0</v>
      </c>
      <c r="F23" s="7">
        <f>SUM(F20:F22)</f>
        <v>72337</v>
      </c>
      <c r="G23" s="19" t="s">
        <v>67</v>
      </c>
    </row>
    <row r="24" spans="2:7" x14ac:dyDescent="0.25">
      <c r="B24" s="17" t="s">
        <v>46</v>
      </c>
      <c r="C24" s="8"/>
      <c r="D24" s="63" t="s">
        <v>46</v>
      </c>
      <c r="E24" s="4" t="s">
        <v>46</v>
      </c>
      <c r="F24" s="7" t="s">
        <v>46</v>
      </c>
      <c r="G24" s="19" t="s">
        <v>67</v>
      </c>
    </row>
    <row r="25" spans="2:7" x14ac:dyDescent="0.25">
      <c r="B25" s="37" t="s">
        <v>79</v>
      </c>
      <c r="C25" s="8"/>
      <c r="D25" s="30" t="s">
        <v>46</v>
      </c>
      <c r="E25" s="4" t="s">
        <v>46</v>
      </c>
      <c r="F25" s="26" t="s">
        <v>46</v>
      </c>
      <c r="G25" s="19" t="s">
        <v>67</v>
      </c>
    </row>
    <row r="26" spans="2:7" x14ac:dyDescent="0.25">
      <c r="B26" s="437" t="s">
        <v>236</v>
      </c>
      <c r="C26" s="8"/>
      <c r="D26" s="40">
        <v>0</v>
      </c>
      <c r="E26" s="4">
        <v>0</v>
      </c>
      <c r="F26" s="26">
        <v>3547</v>
      </c>
      <c r="G26" s="19" t="s">
        <v>67</v>
      </c>
    </row>
    <row r="27" spans="2:7" x14ac:dyDescent="0.25">
      <c r="B27" s="437" t="s">
        <v>237</v>
      </c>
      <c r="C27" s="8"/>
      <c r="D27" s="71">
        <v>0</v>
      </c>
      <c r="E27" s="72">
        <v>0</v>
      </c>
      <c r="F27" s="73">
        <v>115</v>
      </c>
      <c r="G27" s="19" t="s">
        <v>67</v>
      </c>
    </row>
    <row r="28" spans="2:7" x14ac:dyDescent="0.25">
      <c r="B28" s="437" t="s">
        <v>108</v>
      </c>
      <c r="C28" s="8"/>
      <c r="D28" s="70">
        <f>SUM(D26:D27)</f>
        <v>0</v>
      </c>
      <c r="E28" s="4">
        <f>SUM(E26:E27)</f>
        <v>0</v>
      </c>
      <c r="F28" s="26">
        <f>SUM(F26:F27)</f>
        <v>3662</v>
      </c>
      <c r="G28" s="19" t="s">
        <v>67</v>
      </c>
    </row>
    <row r="29" spans="2:7" ht="16.5" thickBot="1" x14ac:dyDescent="0.3">
      <c r="B29" s="17" t="s">
        <v>46</v>
      </c>
      <c r="C29" s="8"/>
      <c r="D29" s="40"/>
      <c r="E29" s="4"/>
      <c r="F29" s="24"/>
      <c r="G29" s="19" t="s">
        <v>67</v>
      </c>
    </row>
    <row r="30" spans="2:7" ht="16.5" thickBot="1" x14ac:dyDescent="0.3">
      <c r="B30" s="32" t="s">
        <v>103</v>
      </c>
      <c r="C30" s="25"/>
      <c r="D30" s="33">
        <f>+D17+D23+D28</f>
        <v>0</v>
      </c>
      <c r="E30" s="77">
        <f>+E17+E23+E28</f>
        <v>0</v>
      </c>
      <c r="F30" s="10">
        <f>+F17+F23+F28</f>
        <v>192973</v>
      </c>
      <c r="G30" s="19" t="s">
        <v>67</v>
      </c>
    </row>
    <row r="31" spans="2:7" ht="16.5" thickBot="1" x14ac:dyDescent="0.3">
      <c r="B31" s="38" t="s">
        <v>223</v>
      </c>
      <c r="C31" s="25"/>
      <c r="D31" s="39">
        <f>+D30+D8</f>
        <v>43058</v>
      </c>
      <c r="E31" s="39">
        <f>+E30+E8</f>
        <v>37172</v>
      </c>
      <c r="F31" s="39">
        <f>+F30+F8</f>
        <v>6961973</v>
      </c>
      <c r="G31" s="19" t="s">
        <v>67</v>
      </c>
    </row>
    <row r="32" spans="2:7" x14ac:dyDescent="0.25">
      <c r="B32" s="164" t="s">
        <v>46</v>
      </c>
      <c r="C32" s="8"/>
      <c r="D32" s="30"/>
      <c r="E32" s="4"/>
      <c r="F32" s="8"/>
      <c r="G32" s="19" t="s">
        <v>67</v>
      </c>
    </row>
    <row r="33" spans="2:11" x14ac:dyDescent="0.25">
      <c r="B33" s="37" t="s">
        <v>65</v>
      </c>
      <c r="C33" s="8"/>
      <c r="D33" s="30" t="s">
        <v>46</v>
      </c>
      <c r="E33" s="4" t="s">
        <v>46</v>
      </c>
      <c r="F33" s="61" t="s">
        <v>46</v>
      </c>
      <c r="G33" s="19" t="s">
        <v>67</v>
      </c>
    </row>
    <row r="34" spans="2:11" x14ac:dyDescent="0.25">
      <c r="B34" s="17" t="s">
        <v>275</v>
      </c>
      <c r="C34" s="8"/>
      <c r="D34" s="163"/>
      <c r="E34" s="4"/>
      <c r="F34" s="7"/>
      <c r="G34" s="19" t="s">
        <v>67</v>
      </c>
    </row>
    <row r="35" spans="2:11" x14ac:dyDescent="0.25">
      <c r="B35" s="453" t="s">
        <v>276</v>
      </c>
      <c r="C35" s="8"/>
      <c r="D35" s="411"/>
      <c r="E35" s="72"/>
      <c r="F35" s="74">
        <v>-157973</v>
      </c>
      <c r="G35" s="19" t="s">
        <v>67</v>
      </c>
    </row>
    <row r="36" spans="2:11" x14ac:dyDescent="0.25">
      <c r="B36" s="17" t="s">
        <v>100</v>
      </c>
      <c r="C36" s="8"/>
      <c r="D36" s="454">
        <f>SUM(D35:D35)</f>
        <v>0</v>
      </c>
      <c r="E36" s="61">
        <f>SUM(E35:E35)</f>
        <v>0</v>
      </c>
      <c r="F36" s="61">
        <f>SUM(F35:F35)</f>
        <v>-157973</v>
      </c>
      <c r="G36" s="19" t="s">
        <v>67</v>
      </c>
    </row>
    <row r="37" spans="2:11" ht="16.5" thickBot="1" x14ac:dyDescent="0.3">
      <c r="B37" s="165" t="s">
        <v>46</v>
      </c>
      <c r="C37" s="3"/>
      <c r="D37" s="69" t="s">
        <v>46</v>
      </c>
      <c r="E37" s="36"/>
      <c r="F37" s="36"/>
      <c r="G37" s="19" t="s">
        <v>67</v>
      </c>
    </row>
    <row r="38" spans="2:11" ht="16.5" thickBot="1" x14ac:dyDescent="0.3">
      <c r="B38" s="64" t="s">
        <v>277</v>
      </c>
      <c r="C38" s="3"/>
      <c r="D38" s="65">
        <f>+D31+D36</f>
        <v>43058</v>
      </c>
      <c r="E38" s="66">
        <f>+E31+E36</f>
        <v>37172</v>
      </c>
      <c r="F38" s="67">
        <f>+F31+F36</f>
        <v>6804000</v>
      </c>
      <c r="G38" s="19" t="s">
        <v>67</v>
      </c>
    </row>
    <row r="39" spans="2:11" x14ac:dyDescent="0.25">
      <c r="B39" s="166"/>
      <c r="C39" s="163"/>
      <c r="D39" s="31"/>
      <c r="G39" s="19" t="s">
        <v>68</v>
      </c>
    </row>
    <row r="40" spans="2:11" x14ac:dyDescent="0.25">
      <c r="B40" s="163" t="s">
        <v>46</v>
      </c>
      <c r="C40" s="163"/>
      <c r="D40" s="163"/>
    </row>
    <row r="41" spans="2:11" x14ac:dyDescent="0.25">
      <c r="B41" s="163" t="s">
        <v>46</v>
      </c>
    </row>
    <row r="43" spans="2:11" x14ac:dyDescent="0.25">
      <c r="K43" s="11"/>
    </row>
  </sheetData>
  <mergeCells count="4">
    <mergeCell ref="B2:F2"/>
    <mergeCell ref="B3:F3"/>
    <mergeCell ref="B4:F4"/>
    <mergeCell ref="B5:F5"/>
  </mergeCells>
  <phoneticPr fontId="0" type="noConversion"/>
  <printOptions horizontalCentered="1"/>
  <pageMargins left="0.7" right="0.7" top="0.75" bottom="0.75" header="0.3" footer="0.3"/>
  <pageSetup scale="80" orientation="landscape" r:id="rId1"/>
  <headerFooter scaleWithDoc="0" alignWithMargins="0">
    <oddHeader>&amp;L&amp;"Arial,Bold"N: Summary of Change</oddHeader>
    <oddFooter>&amp;C&amp;"Times New Roman,Regular"&amp;10Exhibit N: Summary of Change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BreakPreview" zoomScaleNormal="100" zoomScaleSheetLayoutView="100" workbookViewId="0">
      <selection activeCell="K38" sqref="K38"/>
    </sheetView>
  </sheetViews>
  <sheetFormatPr defaultRowHeight="14.25" x14ac:dyDescent="0.2"/>
  <cols>
    <col min="1" max="1" width="25.5546875" style="444" customWidth="1"/>
    <col min="2" max="2" width="9" style="444" customWidth="1"/>
    <col min="3" max="3" width="9.33203125" style="444" customWidth="1"/>
    <col min="4" max="4" width="8.5546875" style="444" customWidth="1"/>
    <col min="5" max="6" width="9" style="444" bestFit="1" customWidth="1"/>
    <col min="7" max="16384" width="8.88671875" style="444"/>
  </cols>
  <sheetData>
    <row r="1" spans="1:7" ht="18" x14ac:dyDescent="0.25">
      <c r="A1" s="585" t="s">
        <v>254</v>
      </c>
      <c r="B1" s="585"/>
      <c r="C1" s="585"/>
      <c r="D1" s="585"/>
      <c r="E1" s="585"/>
      <c r="F1" s="585"/>
      <c r="G1" s="19" t="s">
        <v>67</v>
      </c>
    </row>
    <row r="2" spans="1:7" ht="15" x14ac:dyDescent="0.2">
      <c r="A2" s="586" t="s">
        <v>16</v>
      </c>
      <c r="B2" s="586"/>
      <c r="C2" s="586"/>
      <c r="D2" s="586"/>
      <c r="E2" s="586"/>
      <c r="F2" s="586"/>
      <c r="G2" s="19" t="s">
        <v>67</v>
      </c>
    </row>
    <row r="3" spans="1:7" x14ac:dyDescent="0.2">
      <c r="A3" s="732" t="s">
        <v>17</v>
      </c>
      <c r="B3" s="732"/>
      <c r="C3" s="732"/>
      <c r="D3" s="732"/>
      <c r="E3" s="732"/>
      <c r="F3" s="732"/>
      <c r="G3" s="19" t="s">
        <v>67</v>
      </c>
    </row>
    <row r="4" spans="1:7" x14ac:dyDescent="0.2">
      <c r="A4" s="732" t="s">
        <v>39</v>
      </c>
      <c r="B4" s="732"/>
      <c r="C4" s="732"/>
      <c r="D4" s="732"/>
      <c r="E4" s="732"/>
      <c r="F4" s="732"/>
      <c r="G4" s="19" t="s">
        <v>67</v>
      </c>
    </row>
    <row r="5" spans="1:7" x14ac:dyDescent="0.2">
      <c r="A5" s="732"/>
      <c r="B5" s="732"/>
      <c r="C5" s="732"/>
      <c r="D5" s="732"/>
      <c r="E5" s="732"/>
      <c r="F5" s="732"/>
      <c r="G5" s="19" t="s">
        <v>67</v>
      </c>
    </row>
    <row r="6" spans="1:7" ht="15" x14ac:dyDescent="0.2">
      <c r="A6" s="445" t="s">
        <v>255</v>
      </c>
      <c r="B6" s="446" t="s">
        <v>256</v>
      </c>
      <c r="C6" s="445" t="s">
        <v>257</v>
      </c>
      <c r="D6" s="445" t="s">
        <v>258</v>
      </c>
      <c r="E6" s="447" t="s">
        <v>259</v>
      </c>
      <c r="F6" s="445" t="s">
        <v>260</v>
      </c>
      <c r="G6" s="19" t="s">
        <v>67</v>
      </c>
    </row>
    <row r="7" spans="1:7" x14ac:dyDescent="0.2">
      <c r="A7" s="448" t="s">
        <v>261</v>
      </c>
      <c r="B7" s="449">
        <v>865231</v>
      </c>
      <c r="C7" s="450">
        <v>914279</v>
      </c>
      <c r="D7" s="450">
        <v>955585</v>
      </c>
      <c r="E7" s="451">
        <v>990998</v>
      </c>
      <c r="F7" s="450">
        <v>1061875</v>
      </c>
      <c r="G7" s="19" t="s">
        <v>67</v>
      </c>
    </row>
    <row r="8" spans="1:7" x14ac:dyDescent="0.2">
      <c r="A8" s="448" t="s">
        <v>262</v>
      </c>
      <c r="B8" s="449">
        <v>366467</v>
      </c>
      <c r="C8" s="450">
        <v>375404</v>
      </c>
      <c r="D8" s="450">
        <v>396004</v>
      </c>
      <c r="E8" s="451">
        <v>412516</v>
      </c>
      <c r="F8" s="450">
        <v>417457</v>
      </c>
      <c r="G8" s="19" t="s">
        <v>67</v>
      </c>
    </row>
    <row r="9" spans="1:7" x14ac:dyDescent="0.2">
      <c r="A9" s="448" t="s">
        <v>263</v>
      </c>
      <c r="B9" s="449">
        <v>79683</v>
      </c>
      <c r="C9" s="450">
        <v>87931</v>
      </c>
      <c r="D9" s="450">
        <v>92460</v>
      </c>
      <c r="E9" s="451">
        <v>95452</v>
      </c>
      <c r="F9" s="450">
        <v>103887</v>
      </c>
      <c r="G9" s="19" t="s">
        <v>67</v>
      </c>
    </row>
    <row r="10" spans="1:7" x14ac:dyDescent="0.2">
      <c r="A10" s="448" t="s">
        <v>264</v>
      </c>
      <c r="B10" s="449">
        <f>497490-79683</f>
        <v>417807</v>
      </c>
      <c r="C10" s="450">
        <f>527323-87931</f>
        <v>439392</v>
      </c>
      <c r="D10" s="450">
        <f>560353-92460</f>
        <v>467893</v>
      </c>
      <c r="E10" s="451">
        <f>564481-95452</f>
        <v>469029</v>
      </c>
      <c r="F10" s="450">
        <f>576737-103887</f>
        <v>472850</v>
      </c>
      <c r="G10" s="19" t="s">
        <v>67</v>
      </c>
    </row>
    <row r="11" spans="1:7" x14ac:dyDescent="0.2">
      <c r="A11" s="448" t="s">
        <v>265</v>
      </c>
      <c r="B11" s="449">
        <v>118815</v>
      </c>
      <c r="C11" s="450">
        <v>128730</v>
      </c>
      <c r="D11" s="450">
        <v>136650</v>
      </c>
      <c r="E11" s="451">
        <v>141877</v>
      </c>
      <c r="F11" s="450">
        <v>137061</v>
      </c>
      <c r="G11" s="19" t="s">
        <v>67</v>
      </c>
    </row>
    <row r="12" spans="1:7" x14ac:dyDescent="0.2">
      <c r="A12" s="448" t="s">
        <v>266</v>
      </c>
      <c r="B12" s="449">
        <v>40509</v>
      </c>
      <c r="C12" s="450">
        <v>42942</v>
      </c>
      <c r="D12" s="450">
        <v>44381</v>
      </c>
      <c r="E12" s="451">
        <v>44354</v>
      </c>
      <c r="F12" s="450">
        <v>45588</v>
      </c>
      <c r="G12" s="19" t="s">
        <v>67</v>
      </c>
    </row>
    <row r="13" spans="1:7" x14ac:dyDescent="0.2">
      <c r="A13" s="448" t="s">
        <v>267</v>
      </c>
      <c r="B13" s="449">
        <v>51657</v>
      </c>
      <c r="C13" s="450">
        <v>54120</v>
      </c>
      <c r="D13" s="450">
        <v>56266</v>
      </c>
      <c r="E13" s="451">
        <v>58810</v>
      </c>
      <c r="F13" s="450">
        <v>60334</v>
      </c>
      <c r="G13" s="19" t="s">
        <v>67</v>
      </c>
    </row>
    <row r="14" spans="1:7" x14ac:dyDescent="0.2">
      <c r="A14" s="448" t="s">
        <v>268</v>
      </c>
      <c r="B14" s="450">
        <v>64116</v>
      </c>
      <c r="C14" s="450">
        <v>79392</v>
      </c>
      <c r="D14" s="450">
        <v>72878</v>
      </c>
      <c r="E14" s="451">
        <v>86780</v>
      </c>
      <c r="F14" s="450">
        <v>85065</v>
      </c>
      <c r="G14" s="19" t="s">
        <v>67</v>
      </c>
    </row>
    <row r="15" spans="1:7" x14ac:dyDescent="0.2">
      <c r="A15" s="448" t="s">
        <v>294</v>
      </c>
      <c r="B15" s="467">
        <v>262437</v>
      </c>
      <c r="C15" s="468">
        <v>283130</v>
      </c>
      <c r="D15" s="467">
        <v>297778</v>
      </c>
      <c r="E15" s="468">
        <v>309838</v>
      </c>
      <c r="F15" s="467">
        <v>320867</v>
      </c>
      <c r="G15" s="19" t="s">
        <v>67</v>
      </c>
    </row>
    <row r="16" spans="1:7" x14ac:dyDescent="0.2">
      <c r="A16" s="452" t="s">
        <v>295</v>
      </c>
      <c r="B16" s="466">
        <v>488295</v>
      </c>
      <c r="C16" s="465">
        <v>553918</v>
      </c>
      <c r="D16" s="465">
        <v>562160</v>
      </c>
      <c r="E16" s="465">
        <v>640121</v>
      </c>
      <c r="F16" s="465">
        <v>634838</v>
      </c>
      <c r="G16" s="19" t="s">
        <v>67</v>
      </c>
    </row>
    <row r="17" spans="1:7" x14ac:dyDescent="0.2">
      <c r="A17" s="464" t="s">
        <v>46</v>
      </c>
      <c r="B17" s="444" t="s">
        <v>46</v>
      </c>
      <c r="C17" s="444" t="s">
        <v>46</v>
      </c>
      <c r="D17" s="444" t="s">
        <v>46</v>
      </c>
      <c r="E17" s="444" t="s">
        <v>46</v>
      </c>
      <c r="F17" s="444" t="s">
        <v>46</v>
      </c>
      <c r="G17" s="19" t="s">
        <v>67</v>
      </c>
    </row>
    <row r="18" spans="1:7" x14ac:dyDescent="0.2">
      <c r="A18" s="444" t="s">
        <v>296</v>
      </c>
      <c r="G18" s="19" t="s">
        <v>67</v>
      </c>
    </row>
    <row r="19" spans="1:7" x14ac:dyDescent="0.2">
      <c r="A19" s="444" t="s">
        <v>297</v>
      </c>
      <c r="G19" s="19" t="s">
        <v>67</v>
      </c>
    </row>
    <row r="20" spans="1:7" x14ac:dyDescent="0.2">
      <c r="A20" s="444" t="s">
        <v>298</v>
      </c>
      <c r="G20" s="19" t="s">
        <v>68</v>
      </c>
    </row>
  </sheetData>
  <mergeCells count="5">
    <mergeCell ref="A1:F1"/>
    <mergeCell ref="A2:F2"/>
    <mergeCell ref="A3:F3"/>
    <mergeCell ref="A4:F4"/>
    <mergeCell ref="A5:F5"/>
  </mergeCells>
  <printOptions horizontalCentered="1"/>
  <pageMargins left="0.7" right="0.7" top="0.75" bottom="0.75" header="0.3" footer="0.3"/>
  <pageSetup scale="115" orientation="landscape" r:id="rId1"/>
  <headerFooter>
    <oddHeader xml:space="preserve">&amp;LO. Historical Obligations by Program Area
</oddHeader>
    <oddFooter>&amp;CExhibit O: Historical Obligations by Program Area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view="pageBreakPreview" topLeftCell="A10" zoomScaleNormal="100" zoomScaleSheetLayoutView="100" workbookViewId="0">
      <selection activeCell="A11" sqref="A11:B11"/>
    </sheetView>
  </sheetViews>
  <sheetFormatPr defaultRowHeight="15" x14ac:dyDescent="0.2"/>
  <cols>
    <col min="1" max="1" width="28.21875" customWidth="1"/>
    <col min="2" max="2" width="26.109375" customWidth="1"/>
    <col min="6" max="6" width="2.109375" customWidth="1"/>
  </cols>
  <sheetData>
    <row r="1" spans="1:6" ht="15.75" x14ac:dyDescent="0.2">
      <c r="A1" s="477" t="s">
        <v>303</v>
      </c>
      <c r="F1" s="19" t="s">
        <v>67</v>
      </c>
    </row>
    <row r="2" spans="1:6" x14ac:dyDescent="0.2">
      <c r="A2" s="479"/>
      <c r="F2" s="19" t="s">
        <v>67</v>
      </c>
    </row>
    <row r="3" spans="1:6" ht="15.75" x14ac:dyDescent="0.2">
      <c r="A3" s="477" t="s">
        <v>304</v>
      </c>
      <c r="F3" s="19" t="s">
        <v>67</v>
      </c>
    </row>
    <row r="4" spans="1:6" ht="16.5" thickBot="1" x14ac:dyDescent="0.25">
      <c r="A4" s="477" t="s">
        <v>305</v>
      </c>
      <c r="F4" s="19" t="s">
        <v>67</v>
      </c>
    </row>
    <row r="5" spans="1:6" ht="15.75" thickTop="1" x14ac:dyDescent="0.2">
      <c r="A5" s="747"/>
      <c r="B5" s="748"/>
      <c r="C5" s="751" t="s">
        <v>311</v>
      </c>
      <c r="D5" s="751" t="s">
        <v>312</v>
      </c>
      <c r="E5" s="753" t="s">
        <v>306</v>
      </c>
      <c r="F5" s="19" t="s">
        <v>67</v>
      </c>
    </row>
    <row r="6" spans="1:6" ht="15.75" thickBot="1" x14ac:dyDescent="0.25">
      <c r="A6" s="749"/>
      <c r="B6" s="750"/>
      <c r="C6" s="752"/>
      <c r="D6" s="752"/>
      <c r="E6" s="754"/>
      <c r="F6" s="19" t="s">
        <v>67</v>
      </c>
    </row>
    <row r="7" spans="1:6" ht="16.5" thickTop="1" thickBot="1" x14ac:dyDescent="0.25">
      <c r="A7" s="755" t="s">
        <v>313</v>
      </c>
      <c r="B7" s="756"/>
      <c r="C7" s="480">
        <v>283</v>
      </c>
      <c r="D7" s="481">
        <v>283</v>
      </c>
      <c r="E7" s="482">
        <v>291</v>
      </c>
      <c r="F7" s="19" t="s">
        <v>67</v>
      </c>
    </row>
    <row r="8" spans="1:6" ht="15.75" thickBot="1" x14ac:dyDescent="0.25">
      <c r="A8" s="757" t="s">
        <v>314</v>
      </c>
      <c r="B8" s="758"/>
      <c r="C8" s="480">
        <v>82</v>
      </c>
      <c r="D8" s="481">
        <v>82</v>
      </c>
      <c r="E8" s="482">
        <v>68</v>
      </c>
      <c r="F8" s="19" t="s">
        <v>67</v>
      </c>
    </row>
    <row r="9" spans="1:6" ht="15.75" thickBot="1" x14ac:dyDescent="0.25">
      <c r="A9" s="757" t="s">
        <v>315</v>
      </c>
      <c r="B9" s="758"/>
      <c r="C9" s="480">
        <v>201</v>
      </c>
      <c r="D9" s="481">
        <v>201</v>
      </c>
      <c r="E9" s="482">
        <v>223</v>
      </c>
      <c r="F9" s="19" t="s">
        <v>67</v>
      </c>
    </row>
    <row r="10" spans="1:6" ht="15.75" thickBot="1" x14ac:dyDescent="0.25">
      <c r="A10" s="757" t="s">
        <v>316</v>
      </c>
      <c r="B10" s="758"/>
      <c r="C10" s="483">
        <v>142700</v>
      </c>
      <c r="D10" s="484">
        <v>142700</v>
      </c>
      <c r="E10" s="485">
        <v>144127</v>
      </c>
      <c r="F10" s="19" t="s">
        <v>67</v>
      </c>
    </row>
    <row r="11" spans="1:6" ht="15.75" thickBot="1" x14ac:dyDescent="0.25">
      <c r="A11" s="757" t="s">
        <v>317</v>
      </c>
      <c r="B11" s="758"/>
      <c r="C11" s="483">
        <v>21970</v>
      </c>
      <c r="D11" s="484">
        <v>21970</v>
      </c>
      <c r="E11" s="485">
        <v>22190</v>
      </c>
      <c r="F11" s="19" t="s">
        <v>67</v>
      </c>
    </row>
    <row r="12" spans="1:6" ht="15.75" thickBot="1" x14ac:dyDescent="0.25">
      <c r="A12" s="759" t="s">
        <v>307</v>
      </c>
      <c r="B12" s="486" t="s">
        <v>318</v>
      </c>
      <c r="C12" s="481">
        <v>283</v>
      </c>
      <c r="D12" s="481">
        <v>283</v>
      </c>
      <c r="E12" s="482">
        <v>291</v>
      </c>
      <c r="F12" s="19" t="s">
        <v>67</v>
      </c>
    </row>
    <row r="13" spans="1:6" ht="15.75" thickBot="1" x14ac:dyDescent="0.25">
      <c r="A13" s="760"/>
      <c r="B13" s="486" t="s">
        <v>319</v>
      </c>
      <c r="C13" s="481">
        <v>0</v>
      </c>
      <c r="D13" s="481">
        <v>0</v>
      </c>
      <c r="E13" s="482">
        <v>0</v>
      </c>
      <c r="F13" s="19" t="s">
        <v>67</v>
      </c>
    </row>
    <row r="14" spans="1:6" ht="15.75" thickBot="1" x14ac:dyDescent="0.25">
      <c r="A14" s="760"/>
      <c r="B14" s="486" t="s">
        <v>320</v>
      </c>
      <c r="C14" s="481">
        <v>0</v>
      </c>
      <c r="D14" s="481">
        <v>0</v>
      </c>
      <c r="E14" s="482">
        <v>0</v>
      </c>
      <c r="F14" s="19" t="s">
        <v>67</v>
      </c>
    </row>
    <row r="15" spans="1:6" ht="15.75" thickBot="1" x14ac:dyDescent="0.25">
      <c r="A15" s="760"/>
      <c r="B15" s="486" t="s">
        <v>321</v>
      </c>
      <c r="C15" s="481">
        <v>0</v>
      </c>
      <c r="D15" s="481">
        <v>0</v>
      </c>
      <c r="E15" s="482">
        <v>0</v>
      </c>
      <c r="F15" s="19" t="s">
        <v>67</v>
      </c>
    </row>
    <row r="16" spans="1:6" ht="15.75" thickBot="1" x14ac:dyDescent="0.25">
      <c r="A16" s="761"/>
      <c r="B16" s="487" t="s">
        <v>322</v>
      </c>
      <c r="C16" s="488">
        <v>0</v>
      </c>
      <c r="D16" s="488">
        <v>0</v>
      </c>
      <c r="E16" s="489">
        <v>0</v>
      </c>
      <c r="F16" s="19" t="s">
        <v>67</v>
      </c>
    </row>
    <row r="17" spans="1:6" ht="15.75" thickTop="1" x14ac:dyDescent="0.2">
      <c r="A17" s="490" t="s">
        <v>323</v>
      </c>
      <c r="F17" s="19" t="s">
        <v>67</v>
      </c>
    </row>
    <row r="18" spans="1:6" x14ac:dyDescent="0.2">
      <c r="A18" s="491"/>
      <c r="F18" s="19" t="s">
        <v>67</v>
      </c>
    </row>
    <row r="19" spans="1:6" ht="38.25" customHeight="1" thickBot="1" x14ac:dyDescent="0.25">
      <c r="A19" s="746" t="s">
        <v>324</v>
      </c>
      <c r="B19" s="746"/>
      <c r="C19" s="746"/>
      <c r="D19" s="746"/>
      <c r="E19" s="746"/>
      <c r="F19" s="19" t="s">
        <v>67</v>
      </c>
    </row>
    <row r="20" spans="1:6" x14ac:dyDescent="0.2">
      <c r="A20" s="762"/>
      <c r="B20" s="763"/>
      <c r="C20" s="763"/>
      <c r="D20" s="763"/>
      <c r="E20" s="764"/>
      <c r="F20" s="19" t="s">
        <v>67</v>
      </c>
    </row>
    <row r="21" spans="1:6" ht="15.75" thickBot="1" x14ac:dyDescent="0.25">
      <c r="A21" s="740" t="s">
        <v>308</v>
      </c>
      <c r="B21" s="741"/>
      <c r="C21" s="741"/>
      <c r="D21" s="741"/>
      <c r="E21" s="742"/>
      <c r="F21" s="19" t="s">
        <v>67</v>
      </c>
    </row>
    <row r="22" spans="1:6" x14ac:dyDescent="0.2">
      <c r="A22" s="479"/>
      <c r="F22" s="19" t="s">
        <v>67</v>
      </c>
    </row>
    <row r="23" spans="1:6" ht="35.25" customHeight="1" thickBot="1" x14ac:dyDescent="0.25">
      <c r="A23" s="736" t="s">
        <v>325</v>
      </c>
      <c r="B23" s="736"/>
      <c r="C23" s="736"/>
      <c r="D23" s="736"/>
      <c r="E23" s="736"/>
      <c r="F23" s="19" t="s">
        <v>67</v>
      </c>
    </row>
    <row r="24" spans="1:6" x14ac:dyDescent="0.2">
      <c r="A24" s="737" t="s">
        <v>309</v>
      </c>
      <c r="B24" s="738"/>
      <c r="C24" s="738"/>
      <c r="D24" s="738"/>
      <c r="E24" s="739"/>
      <c r="F24" s="19" t="s">
        <v>67</v>
      </c>
    </row>
    <row r="25" spans="1:6" ht="26.25" customHeight="1" thickBot="1" x14ac:dyDescent="0.25">
      <c r="A25" s="740" t="s">
        <v>310</v>
      </c>
      <c r="B25" s="741"/>
      <c r="C25" s="741"/>
      <c r="D25" s="741"/>
      <c r="E25" s="742"/>
      <c r="F25" s="19" t="s">
        <v>67</v>
      </c>
    </row>
    <row r="26" spans="1:6" x14ac:dyDescent="0.2">
      <c r="A26" s="478"/>
      <c r="F26" s="19" t="s">
        <v>67</v>
      </c>
    </row>
    <row r="27" spans="1:6" ht="27.75" customHeight="1" thickBot="1" x14ac:dyDescent="0.25">
      <c r="A27" s="736" t="s">
        <v>326</v>
      </c>
      <c r="B27" s="736"/>
      <c r="C27" s="736"/>
      <c r="D27" s="736"/>
      <c r="E27" s="736"/>
      <c r="F27" s="19" t="s">
        <v>67</v>
      </c>
    </row>
    <row r="28" spans="1:6" ht="51.75" customHeight="1" thickBot="1" x14ac:dyDescent="0.25">
      <c r="A28" s="743" t="s">
        <v>327</v>
      </c>
      <c r="B28" s="744"/>
      <c r="C28" s="744"/>
      <c r="D28" s="744"/>
      <c r="E28" s="745"/>
      <c r="F28" s="19" t="s">
        <v>67</v>
      </c>
    </row>
    <row r="29" spans="1:6" x14ac:dyDescent="0.2">
      <c r="A29" s="491"/>
      <c r="F29" s="19" t="s">
        <v>67</v>
      </c>
    </row>
    <row r="30" spans="1:6" ht="26.25" customHeight="1" thickBot="1" x14ac:dyDescent="0.25">
      <c r="A30" s="746" t="s">
        <v>328</v>
      </c>
      <c r="B30" s="746"/>
      <c r="C30" s="746"/>
      <c r="D30" s="746"/>
      <c r="E30" s="746"/>
      <c r="F30" s="19" t="s">
        <v>67</v>
      </c>
    </row>
    <row r="31" spans="1:6" ht="48" customHeight="1" thickBot="1" x14ac:dyDescent="0.25">
      <c r="A31" s="733" t="s">
        <v>329</v>
      </c>
      <c r="B31" s="734"/>
      <c r="C31" s="734"/>
      <c r="D31" s="734"/>
      <c r="E31" s="735"/>
      <c r="F31" s="19" t="s">
        <v>67</v>
      </c>
    </row>
    <row r="32" spans="1:6" x14ac:dyDescent="0.2">
      <c r="A32" s="479"/>
      <c r="F32" s="19" t="s">
        <v>67</v>
      </c>
    </row>
    <row r="33" spans="1:6" ht="15.75" thickBot="1" x14ac:dyDescent="0.25">
      <c r="A33" s="736" t="s">
        <v>330</v>
      </c>
      <c r="B33" s="736"/>
      <c r="C33" s="736"/>
      <c r="D33" s="736"/>
      <c r="E33" s="736"/>
      <c r="F33" s="19" t="s">
        <v>67</v>
      </c>
    </row>
    <row r="34" spans="1:6" ht="35.25" customHeight="1" thickBot="1" x14ac:dyDescent="0.25">
      <c r="A34" s="733" t="s">
        <v>331</v>
      </c>
      <c r="B34" s="734"/>
      <c r="C34" s="734"/>
      <c r="D34" s="734"/>
      <c r="E34" s="735"/>
      <c r="F34" s="19" t="s">
        <v>68</v>
      </c>
    </row>
    <row r="35" spans="1:6" x14ac:dyDescent="0.2">
      <c r="A35" s="492"/>
    </row>
    <row r="36" spans="1:6" x14ac:dyDescent="0.2">
      <c r="A36" s="492"/>
    </row>
    <row r="37" spans="1:6" x14ac:dyDescent="0.2">
      <c r="A37" s="492"/>
    </row>
    <row r="38" spans="1:6" ht="15.75" x14ac:dyDescent="0.2">
      <c r="A38" s="477"/>
    </row>
    <row r="39" spans="1:6" ht="15.75" x14ac:dyDescent="0.2">
      <c r="A39" s="477"/>
    </row>
    <row r="40" spans="1:6" x14ac:dyDescent="0.2">
      <c r="A40" s="479"/>
    </row>
  </sheetData>
  <mergeCells count="22">
    <mergeCell ref="A21:E21"/>
    <mergeCell ref="A19:E19"/>
    <mergeCell ref="A5:B6"/>
    <mergeCell ref="C5:C6"/>
    <mergeCell ref="D5:D6"/>
    <mergeCell ref="E5:E6"/>
    <mergeCell ref="A7:B7"/>
    <mergeCell ref="A8:B8"/>
    <mergeCell ref="A9:B9"/>
    <mergeCell ref="A10:B10"/>
    <mergeCell ref="A11:B11"/>
    <mergeCell ref="A12:A16"/>
    <mergeCell ref="A20:E20"/>
    <mergeCell ref="A31:E31"/>
    <mergeCell ref="A33:E33"/>
    <mergeCell ref="A34:E34"/>
    <mergeCell ref="A23:E23"/>
    <mergeCell ref="A24:E24"/>
    <mergeCell ref="A25:E25"/>
    <mergeCell ref="A27:E27"/>
    <mergeCell ref="A28:E28"/>
    <mergeCell ref="A30:E30"/>
  </mergeCells>
  <pageMargins left="0.7" right="0.7" top="0.75" bottom="0.75" header="0.3" footer="0.3"/>
  <pageSetup scale="94" orientation="portrait" r:id="rId1"/>
  <headerFooter>
    <oddHeader>&amp;LExhibit P. Physicians' Comparability Allowance (PCA) Worksheet</oddHeader>
    <oddFooter>&amp;CExhibit P: PCA Worksheet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view="pageBreakPreview" zoomScale="85" zoomScaleNormal="85" zoomScaleSheetLayoutView="85" zoomScalePageLayoutView="55" workbookViewId="0">
      <selection activeCell="A35" sqref="A35"/>
    </sheetView>
  </sheetViews>
  <sheetFormatPr defaultRowHeight="14.25" x14ac:dyDescent="0.2"/>
  <cols>
    <col min="1" max="1" width="88.33203125" style="79" customWidth="1"/>
    <col min="2" max="3" width="11.33203125" style="80" customWidth="1"/>
    <col min="4" max="4" width="11.33203125" style="81" customWidth="1"/>
    <col min="5" max="5" width="9" style="78" bestFit="1" customWidth="1"/>
    <col min="6" max="6" width="3.77734375" style="79" customWidth="1"/>
    <col min="7" max="7" width="109.109375" style="79" customWidth="1"/>
    <col min="8" max="16384" width="8.88671875" style="79"/>
  </cols>
  <sheetData>
    <row r="1" spans="1:13" ht="18" x14ac:dyDescent="0.25">
      <c r="A1" s="585" t="s">
        <v>69</v>
      </c>
      <c r="B1" s="585"/>
      <c r="C1" s="585"/>
      <c r="D1" s="585"/>
      <c r="E1" s="78" t="s">
        <v>67</v>
      </c>
      <c r="G1" s="130"/>
      <c r="H1" s="131"/>
      <c r="I1" s="131"/>
      <c r="J1" s="131"/>
      <c r="K1" s="131"/>
      <c r="L1" s="131"/>
      <c r="M1" s="131"/>
    </row>
    <row r="2" spans="1:13" ht="15" x14ac:dyDescent="0.2">
      <c r="A2" s="586" t="s">
        <v>16</v>
      </c>
      <c r="B2" s="586"/>
      <c r="C2" s="586"/>
      <c r="D2" s="586"/>
      <c r="E2" s="78" t="s">
        <v>67</v>
      </c>
      <c r="G2" s="132"/>
      <c r="H2" s="131"/>
      <c r="I2" s="131"/>
      <c r="J2" s="131"/>
      <c r="K2" s="131"/>
      <c r="L2" s="131"/>
      <c r="M2" s="131"/>
    </row>
    <row r="3" spans="1:13" x14ac:dyDescent="0.2">
      <c r="A3" s="587" t="s">
        <v>17</v>
      </c>
      <c r="B3" s="587"/>
      <c r="C3" s="587"/>
      <c r="D3" s="587"/>
      <c r="E3" s="78" t="s">
        <v>67</v>
      </c>
      <c r="G3" s="132"/>
      <c r="H3" s="131"/>
      <c r="I3" s="131"/>
      <c r="J3" s="131"/>
      <c r="K3" s="131"/>
      <c r="L3" s="131"/>
      <c r="M3" s="131"/>
    </row>
    <row r="4" spans="1:13" x14ac:dyDescent="0.2">
      <c r="A4" s="588" t="s">
        <v>39</v>
      </c>
      <c r="B4" s="588"/>
      <c r="C4" s="588"/>
      <c r="D4" s="588"/>
      <c r="E4" s="78" t="s">
        <v>67</v>
      </c>
      <c r="G4" s="132"/>
      <c r="H4" s="131"/>
      <c r="I4" s="131"/>
      <c r="J4" s="131"/>
      <c r="K4" s="131"/>
      <c r="L4" s="131"/>
      <c r="M4" s="131"/>
    </row>
    <row r="5" spans="1:13" ht="15" thickBot="1" x14ac:dyDescent="0.25">
      <c r="E5" s="78" t="s">
        <v>67</v>
      </c>
      <c r="G5" s="132"/>
      <c r="H5" s="131"/>
      <c r="I5" s="131"/>
      <c r="J5" s="131"/>
      <c r="K5" s="131"/>
      <c r="L5" s="131"/>
      <c r="M5" s="131"/>
    </row>
    <row r="6" spans="1:13" ht="15" x14ac:dyDescent="0.25">
      <c r="B6" s="589" t="s">
        <v>216</v>
      </c>
      <c r="C6" s="590"/>
      <c r="D6" s="591"/>
      <c r="E6" s="78" t="s">
        <v>67</v>
      </c>
      <c r="G6" s="131"/>
      <c r="H6" s="131"/>
      <c r="I6" s="131"/>
      <c r="J6" s="131"/>
      <c r="K6" s="131"/>
      <c r="L6" s="131"/>
      <c r="M6" s="131"/>
    </row>
    <row r="7" spans="1:13" ht="15.75" thickBot="1" x14ac:dyDescent="0.25">
      <c r="A7" s="393"/>
      <c r="B7" s="399" t="s">
        <v>110</v>
      </c>
      <c r="C7" s="400" t="s">
        <v>10</v>
      </c>
      <c r="D7" s="401" t="s">
        <v>11</v>
      </c>
      <c r="E7" s="78" t="s">
        <v>67</v>
      </c>
      <c r="G7" s="82"/>
      <c r="H7" s="131"/>
      <c r="I7" s="131"/>
      <c r="J7" s="131"/>
      <c r="K7" s="131"/>
      <c r="L7" s="131"/>
      <c r="M7" s="131"/>
    </row>
    <row r="8" spans="1:13" s="386" customFormat="1" ht="15" x14ac:dyDescent="0.25">
      <c r="A8" s="394" t="s">
        <v>225</v>
      </c>
      <c r="B8" s="396">
        <v>41780</v>
      </c>
      <c r="C8" s="387">
        <v>35896</v>
      </c>
      <c r="D8" s="389">
        <v>6820217</v>
      </c>
      <c r="E8" s="78" t="s">
        <v>67</v>
      </c>
      <c r="G8" s="391"/>
      <c r="H8" s="135"/>
      <c r="I8" s="135"/>
      <c r="J8" s="135"/>
      <c r="K8" s="135"/>
      <c r="L8" s="135"/>
      <c r="M8" s="135"/>
    </row>
    <row r="9" spans="1:13" s="386" customFormat="1" ht="15" x14ac:dyDescent="0.25">
      <c r="A9" s="392" t="s">
        <v>235</v>
      </c>
      <c r="B9" s="427"/>
      <c r="C9" s="428"/>
      <c r="D9" s="88">
        <f>-128015-13385</f>
        <v>-141400</v>
      </c>
      <c r="E9" s="78" t="s">
        <v>67</v>
      </c>
      <c r="G9" s="391"/>
      <c r="H9" s="135"/>
      <c r="I9" s="135"/>
      <c r="J9" s="135"/>
      <c r="K9" s="135"/>
      <c r="L9" s="135"/>
      <c r="M9" s="135"/>
    </row>
    <row r="10" spans="1:13" ht="15" x14ac:dyDescent="0.25">
      <c r="A10" s="392" t="s">
        <v>245</v>
      </c>
      <c r="B10" s="397"/>
      <c r="C10" s="120"/>
      <c r="D10" s="121">
        <v>-329569</v>
      </c>
      <c r="E10" s="78" t="s">
        <v>67</v>
      </c>
      <c r="G10" s="134"/>
      <c r="H10" s="131"/>
      <c r="I10" s="131"/>
      <c r="J10" s="131"/>
      <c r="K10" s="131"/>
      <c r="L10" s="131"/>
      <c r="M10" s="131"/>
    </row>
    <row r="11" spans="1:13" s="386" customFormat="1" ht="15" x14ac:dyDescent="0.25">
      <c r="A11" s="395" t="s">
        <v>244</v>
      </c>
      <c r="B11" s="396">
        <f>SUM(B8:B10)</f>
        <v>41780</v>
      </c>
      <c r="C11" s="387">
        <f>SUM(C8:C10)</f>
        <v>35896</v>
      </c>
      <c r="D11" s="388">
        <f>SUM(D8:D10)</f>
        <v>6349248</v>
      </c>
      <c r="E11" s="78" t="s">
        <v>67</v>
      </c>
      <c r="G11" s="134"/>
      <c r="H11" s="135"/>
      <c r="I11" s="135"/>
      <c r="J11" s="135"/>
      <c r="K11" s="135"/>
      <c r="L11" s="135"/>
      <c r="M11" s="135"/>
    </row>
    <row r="12" spans="1:13" ht="15" x14ac:dyDescent="0.25">
      <c r="A12" s="392"/>
      <c r="B12" s="94"/>
      <c r="C12" s="95"/>
      <c r="D12" s="88"/>
      <c r="E12" s="78" t="s">
        <v>67</v>
      </c>
      <c r="G12" s="134"/>
      <c r="H12" s="131"/>
      <c r="I12" s="131"/>
      <c r="J12" s="131"/>
      <c r="K12" s="131"/>
      <c r="L12" s="131"/>
      <c r="M12" s="131"/>
    </row>
    <row r="13" spans="1:13" s="386" customFormat="1" ht="15" x14ac:dyDescent="0.25">
      <c r="A13" s="395" t="s">
        <v>253</v>
      </c>
      <c r="B13" s="418">
        <v>43058</v>
      </c>
      <c r="C13" s="416">
        <v>37172</v>
      </c>
      <c r="D13" s="417">
        <v>6769000</v>
      </c>
      <c r="E13" s="390" t="s">
        <v>67</v>
      </c>
      <c r="G13" s="134"/>
      <c r="H13" s="135"/>
      <c r="I13" s="135"/>
      <c r="J13" s="135"/>
      <c r="K13" s="135"/>
      <c r="L13" s="135"/>
      <c r="M13" s="135"/>
    </row>
    <row r="14" spans="1:13" s="386" customFormat="1" ht="15" x14ac:dyDescent="0.25">
      <c r="A14" s="395" t="s">
        <v>269</v>
      </c>
      <c r="B14" s="396">
        <f>SUM(B13:B13)</f>
        <v>43058</v>
      </c>
      <c r="C14" s="387">
        <f>SUM(C13:C13)</f>
        <v>37172</v>
      </c>
      <c r="D14" s="388">
        <f>SUM(D13:D13)</f>
        <v>6769000</v>
      </c>
      <c r="E14" s="78" t="s">
        <v>67</v>
      </c>
      <c r="G14" s="134"/>
      <c r="H14" s="135"/>
      <c r="I14" s="135"/>
      <c r="J14" s="135"/>
      <c r="K14" s="135"/>
      <c r="L14" s="135"/>
      <c r="M14" s="135"/>
    </row>
    <row r="15" spans="1:13" s="386" customFormat="1" ht="15" x14ac:dyDescent="0.25">
      <c r="A15" s="395"/>
      <c r="B15" s="396"/>
      <c r="C15" s="387"/>
      <c r="D15" s="388"/>
      <c r="E15" s="78" t="s">
        <v>67</v>
      </c>
      <c r="G15" s="134"/>
      <c r="H15" s="135"/>
      <c r="I15" s="135"/>
      <c r="J15" s="135"/>
      <c r="K15" s="135"/>
      <c r="L15" s="135"/>
      <c r="M15" s="135"/>
    </row>
    <row r="16" spans="1:13" ht="15" x14ac:dyDescent="0.25">
      <c r="A16" s="93" t="s">
        <v>112</v>
      </c>
      <c r="B16" s="90"/>
      <c r="C16" s="87"/>
      <c r="D16" s="92"/>
      <c r="E16" s="78" t="s">
        <v>67</v>
      </c>
      <c r="G16" s="134"/>
      <c r="H16" s="131"/>
      <c r="I16" s="131"/>
      <c r="J16" s="131"/>
      <c r="K16" s="131"/>
      <c r="L16" s="131"/>
      <c r="M16" s="131"/>
    </row>
    <row r="17" spans="1:13" ht="15" x14ac:dyDescent="0.25">
      <c r="A17" s="96" t="s">
        <v>113</v>
      </c>
      <c r="B17" s="94">
        <v>0</v>
      </c>
      <c r="C17" s="95">
        <v>0</v>
      </c>
      <c r="D17" s="88">
        <v>116974</v>
      </c>
      <c r="E17" s="78" t="s">
        <v>67</v>
      </c>
      <c r="G17" s="134"/>
      <c r="H17" s="131"/>
      <c r="I17" s="131"/>
      <c r="J17" s="131"/>
      <c r="K17" s="131"/>
      <c r="L17" s="131"/>
      <c r="M17" s="131"/>
    </row>
    <row r="18" spans="1:13" ht="15" x14ac:dyDescent="0.25">
      <c r="A18" s="96" t="s">
        <v>114</v>
      </c>
      <c r="B18" s="94">
        <v>0</v>
      </c>
      <c r="C18" s="95">
        <v>0</v>
      </c>
      <c r="D18" s="88">
        <v>3662</v>
      </c>
      <c r="E18" s="78" t="s">
        <v>67</v>
      </c>
      <c r="G18" s="134"/>
      <c r="H18" s="131"/>
      <c r="I18" s="131"/>
      <c r="J18" s="131"/>
      <c r="K18" s="131"/>
      <c r="L18" s="131"/>
      <c r="M18" s="131"/>
    </row>
    <row r="19" spans="1:13" ht="15" x14ac:dyDescent="0.25">
      <c r="A19" s="97" t="s">
        <v>115</v>
      </c>
      <c r="B19" s="98">
        <v>0</v>
      </c>
      <c r="C19" s="99">
        <v>0</v>
      </c>
      <c r="D19" s="89">
        <v>72337</v>
      </c>
      <c r="E19" s="78" t="s">
        <v>67</v>
      </c>
      <c r="G19" s="134"/>
      <c r="H19" s="131"/>
      <c r="I19" s="131"/>
      <c r="J19" s="131"/>
      <c r="K19" s="131"/>
      <c r="L19" s="131"/>
      <c r="M19" s="131"/>
    </row>
    <row r="20" spans="1:13" ht="15.75" thickBot="1" x14ac:dyDescent="0.3">
      <c r="A20" s="97" t="s">
        <v>116</v>
      </c>
      <c r="B20" s="100">
        <f>SUM(B17:B19)</f>
        <v>0</v>
      </c>
      <c r="C20" s="101">
        <f>SUM(C17:C19)</f>
        <v>0</v>
      </c>
      <c r="D20" s="102">
        <f>SUM(D17:D19)</f>
        <v>192973</v>
      </c>
      <c r="E20" s="78" t="s">
        <v>67</v>
      </c>
      <c r="G20" s="134"/>
      <c r="H20" s="131"/>
      <c r="I20" s="131"/>
      <c r="J20" s="131"/>
      <c r="K20" s="131"/>
      <c r="L20" s="131"/>
      <c r="M20" s="131"/>
    </row>
    <row r="21" spans="1:13" ht="15" x14ac:dyDescent="0.25">
      <c r="A21" s="103" t="s">
        <v>218</v>
      </c>
      <c r="B21" s="91">
        <f>+B13+B20</f>
        <v>43058</v>
      </c>
      <c r="C21" s="84">
        <f>+C13+C20</f>
        <v>37172</v>
      </c>
      <c r="D21" s="85">
        <f>+D14+D20</f>
        <v>6961973</v>
      </c>
      <c r="E21" s="78" t="s">
        <v>67</v>
      </c>
      <c r="G21" s="134"/>
      <c r="H21" s="131"/>
      <c r="I21" s="131"/>
      <c r="J21" s="131"/>
      <c r="K21" s="131"/>
      <c r="L21" s="131"/>
      <c r="M21" s="131"/>
    </row>
    <row r="22" spans="1:13" ht="15" x14ac:dyDescent="0.25">
      <c r="A22" s="103" t="s">
        <v>65</v>
      </c>
      <c r="B22" s="90"/>
      <c r="C22" s="87"/>
      <c r="D22" s="92"/>
      <c r="E22" s="78" t="s">
        <v>67</v>
      </c>
      <c r="G22" s="133"/>
      <c r="H22" s="131"/>
      <c r="I22" s="131"/>
      <c r="J22" s="131"/>
      <c r="K22" s="131"/>
      <c r="L22" s="131"/>
      <c r="M22" s="131"/>
    </row>
    <row r="23" spans="1:13" ht="15" x14ac:dyDescent="0.25">
      <c r="A23" s="429" t="s">
        <v>299</v>
      </c>
      <c r="B23" s="86"/>
      <c r="C23" s="87"/>
      <c r="D23" s="92"/>
      <c r="E23" s="78" t="s">
        <v>67</v>
      </c>
      <c r="G23" s="133"/>
      <c r="H23" s="131"/>
      <c r="I23" s="131"/>
      <c r="J23" s="131"/>
      <c r="K23" s="131"/>
      <c r="L23" s="131"/>
      <c r="M23" s="131"/>
    </row>
    <row r="24" spans="1:13" x14ac:dyDescent="0.2">
      <c r="A24" s="385" t="s">
        <v>276</v>
      </c>
      <c r="B24" s="104">
        <v>0</v>
      </c>
      <c r="C24" s="95">
        <v>0</v>
      </c>
      <c r="D24" s="88">
        <v>-157973</v>
      </c>
      <c r="E24" s="78" t="s">
        <v>67</v>
      </c>
      <c r="G24" s="133"/>
      <c r="H24" s="131"/>
      <c r="I24" s="131"/>
      <c r="J24" s="131"/>
      <c r="K24" s="131"/>
      <c r="L24" s="131"/>
      <c r="M24" s="131"/>
    </row>
    <row r="25" spans="1:13" ht="15" x14ac:dyDescent="0.25">
      <c r="A25" s="419" t="s">
        <v>300</v>
      </c>
      <c r="B25" s="415">
        <f>SUM(B24:B24)</f>
        <v>0</v>
      </c>
      <c r="C25" s="416">
        <f>SUM(C24:C24)</f>
        <v>0</v>
      </c>
      <c r="D25" s="417">
        <f>SUM(D24:D24)</f>
        <v>-157973</v>
      </c>
      <c r="E25" s="78" t="s">
        <v>67</v>
      </c>
      <c r="G25" s="133"/>
      <c r="H25" s="131"/>
      <c r="I25" s="131"/>
      <c r="J25" s="131"/>
      <c r="K25" s="131"/>
      <c r="L25" s="131"/>
      <c r="M25" s="131"/>
    </row>
    <row r="26" spans="1:13" ht="15.75" thickBot="1" x14ac:dyDescent="0.3">
      <c r="A26" s="395" t="s">
        <v>227</v>
      </c>
      <c r="B26" s="412">
        <f>SUM(B25)</f>
        <v>0</v>
      </c>
      <c r="C26" s="413">
        <f>SUM(C25)</f>
        <v>0</v>
      </c>
      <c r="D26" s="414">
        <f>SUM(D25)</f>
        <v>-157973</v>
      </c>
      <c r="E26" s="78" t="s">
        <v>67</v>
      </c>
      <c r="G26" s="134"/>
      <c r="H26" s="131"/>
      <c r="I26" s="131"/>
      <c r="J26" s="131"/>
      <c r="K26" s="131"/>
      <c r="L26" s="131"/>
      <c r="M26" s="131"/>
    </row>
    <row r="27" spans="1:13" ht="15" x14ac:dyDescent="0.25">
      <c r="A27" s="398" t="s">
        <v>221</v>
      </c>
      <c r="B27" s="83">
        <f>B21+B26</f>
        <v>43058</v>
      </c>
      <c r="C27" s="84">
        <f>C21+C26</f>
        <v>37172</v>
      </c>
      <c r="D27" s="85">
        <f>D21+D26</f>
        <v>6804000</v>
      </c>
      <c r="E27" s="78" t="s">
        <v>67</v>
      </c>
      <c r="G27" s="134"/>
      <c r="H27" s="131"/>
      <c r="I27" s="131"/>
      <c r="J27" s="131"/>
      <c r="K27" s="131"/>
      <c r="L27" s="131"/>
      <c r="M27" s="131"/>
    </row>
    <row r="28" spans="1:13" ht="15.75" thickBot="1" x14ac:dyDescent="0.3">
      <c r="A28" s="383" t="s">
        <v>224</v>
      </c>
      <c r="B28" s="105">
        <f>B27-B13</f>
        <v>0</v>
      </c>
      <c r="C28" s="106">
        <f>C27-C13</f>
        <v>0</v>
      </c>
      <c r="D28" s="107">
        <f>D27-D13</f>
        <v>35000</v>
      </c>
      <c r="E28" s="78" t="s">
        <v>67</v>
      </c>
      <c r="G28" s="134"/>
      <c r="H28" s="131"/>
      <c r="I28" s="131"/>
      <c r="J28" s="131"/>
      <c r="K28" s="131"/>
      <c r="L28" s="131"/>
      <c r="M28" s="131"/>
    </row>
    <row r="29" spans="1:13" ht="17.25" x14ac:dyDescent="0.2">
      <c r="A29" s="583" t="s">
        <v>286</v>
      </c>
      <c r="B29" s="584"/>
      <c r="C29" s="584"/>
      <c r="D29" s="584"/>
      <c r="E29" s="78" t="s">
        <v>68</v>
      </c>
      <c r="G29" s="131"/>
      <c r="H29" s="131"/>
      <c r="I29" s="131"/>
      <c r="J29" s="131"/>
      <c r="K29" s="131"/>
      <c r="L29" s="131"/>
      <c r="M29" s="131"/>
    </row>
    <row r="30" spans="1:13" x14ac:dyDescent="0.2">
      <c r="G30" s="131"/>
      <c r="H30" s="131"/>
      <c r="I30" s="131"/>
      <c r="J30" s="131"/>
      <c r="K30" s="131"/>
      <c r="L30" s="131"/>
      <c r="M30" s="131"/>
    </row>
    <row r="31" spans="1:13" x14ac:dyDescent="0.2">
      <c r="G31" s="131"/>
      <c r="H31" s="131"/>
      <c r="I31" s="131"/>
      <c r="J31" s="131"/>
      <c r="K31" s="131"/>
      <c r="L31" s="131"/>
      <c r="M31" s="131"/>
    </row>
    <row r="32" spans="1:13" x14ac:dyDescent="0.2">
      <c r="G32" s="131"/>
      <c r="H32" s="131"/>
      <c r="I32" s="131"/>
      <c r="J32" s="131"/>
      <c r="K32" s="131"/>
      <c r="L32" s="131"/>
      <c r="M32" s="131"/>
    </row>
    <row r="33" spans="7:13" x14ac:dyDescent="0.2">
      <c r="G33" s="131"/>
      <c r="H33" s="131"/>
      <c r="I33" s="131"/>
      <c r="J33" s="131"/>
      <c r="K33" s="131"/>
      <c r="L33" s="131"/>
      <c r="M33" s="131"/>
    </row>
    <row r="34" spans="7:13" x14ac:dyDescent="0.2">
      <c r="G34" s="131"/>
      <c r="H34" s="131"/>
      <c r="I34" s="131"/>
      <c r="J34" s="131"/>
      <c r="K34" s="131"/>
      <c r="L34" s="131"/>
      <c r="M34" s="131"/>
    </row>
    <row r="35" spans="7:13" x14ac:dyDescent="0.2">
      <c r="G35" s="131"/>
      <c r="H35" s="131"/>
      <c r="I35" s="131"/>
      <c r="J35" s="131"/>
      <c r="K35" s="131"/>
      <c r="L35" s="131"/>
      <c r="M35" s="131"/>
    </row>
    <row r="36" spans="7:13" x14ac:dyDescent="0.2">
      <c r="G36" s="131"/>
      <c r="H36" s="131"/>
      <c r="I36" s="131"/>
      <c r="J36" s="131"/>
      <c r="K36" s="131"/>
      <c r="L36" s="131"/>
      <c r="M36" s="131"/>
    </row>
    <row r="37" spans="7:13" x14ac:dyDescent="0.2">
      <c r="G37" s="131"/>
      <c r="H37" s="131"/>
      <c r="I37" s="131"/>
      <c r="J37" s="131"/>
      <c r="K37" s="131"/>
      <c r="L37" s="131"/>
      <c r="M37" s="131"/>
    </row>
  </sheetData>
  <mergeCells count="6">
    <mergeCell ref="A29:D29"/>
    <mergeCell ref="A1:D1"/>
    <mergeCell ref="A2:D2"/>
    <mergeCell ref="A3:D3"/>
    <mergeCell ref="A4:D4"/>
    <mergeCell ref="B6:D6"/>
  </mergeCells>
  <printOptions horizontalCentered="1"/>
  <pageMargins left="0.7" right="0.7" top="1.38" bottom="0.38" header="1.05" footer="0.3"/>
  <pageSetup scale="84" orientation="landscape" r:id="rId1"/>
  <headerFooter>
    <oddHeader>&amp;L&amp;"Arial,Bold"B. Summary of Requirements</oddHeader>
    <oddFooter>&amp;CExhibit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5"/>
  <sheetViews>
    <sheetView view="pageBreakPreview" zoomScale="85" zoomScaleNormal="85" zoomScaleSheetLayoutView="85" workbookViewId="0">
      <selection activeCell="A37" sqref="A37"/>
    </sheetView>
  </sheetViews>
  <sheetFormatPr defaultRowHeight="14.25" x14ac:dyDescent="0.2"/>
  <cols>
    <col min="1" max="1" width="39.21875" style="79" customWidth="1"/>
    <col min="2" max="2" width="8.44140625" style="79" customWidth="1"/>
    <col min="3" max="3" width="6.44140625" style="79" customWidth="1"/>
    <col min="4" max="4" width="9.88671875" style="79" customWidth="1"/>
    <col min="5" max="6" width="6.44140625" style="79" customWidth="1"/>
    <col min="7" max="7" width="9.88671875" style="79" customWidth="1"/>
    <col min="8" max="9" width="6.44140625" style="79" customWidth="1"/>
    <col min="10" max="10" width="9.88671875" style="79" customWidth="1"/>
    <col min="11" max="12" width="6.44140625" style="79" customWidth="1"/>
    <col min="13" max="13" width="9.88671875" style="79" customWidth="1"/>
    <col min="14" max="14" width="10.88671875" style="78" bestFit="1" customWidth="1"/>
    <col min="15" max="15" width="3.5546875" style="79" customWidth="1"/>
    <col min="16" max="16" width="90.77734375" style="79" customWidth="1"/>
    <col min="17" max="18" width="6.44140625" style="79" customWidth="1"/>
    <col min="19" max="19" width="9.88671875" style="79" customWidth="1"/>
    <col min="20" max="21" width="6.44140625" style="79" customWidth="1"/>
    <col min="22" max="22" width="9.88671875" style="79" customWidth="1"/>
    <col min="23" max="16384" width="8.88671875" style="79"/>
  </cols>
  <sheetData>
    <row r="1" spans="1:22" ht="18" x14ac:dyDescent="0.25">
      <c r="A1" s="585" t="s">
        <v>69</v>
      </c>
      <c r="B1" s="585"/>
      <c r="C1" s="585"/>
      <c r="D1" s="585"/>
      <c r="E1" s="585"/>
      <c r="F1" s="585"/>
      <c r="G1" s="585"/>
      <c r="H1" s="585"/>
      <c r="I1" s="585"/>
      <c r="J1" s="585"/>
      <c r="K1" s="585"/>
      <c r="L1" s="585"/>
      <c r="M1" s="585"/>
      <c r="N1" s="108" t="s">
        <v>67</v>
      </c>
      <c r="O1" s="109"/>
      <c r="P1" s="130"/>
      <c r="Q1" s="136"/>
      <c r="R1" s="136"/>
      <c r="S1" s="136"/>
      <c r="T1" s="109"/>
      <c r="U1" s="109"/>
      <c r="V1" s="109"/>
    </row>
    <row r="2" spans="1:22" ht="15" x14ac:dyDescent="0.2">
      <c r="A2" s="586" t="s">
        <v>16</v>
      </c>
      <c r="B2" s="586"/>
      <c r="C2" s="586"/>
      <c r="D2" s="586"/>
      <c r="E2" s="586"/>
      <c r="F2" s="586"/>
      <c r="G2" s="586"/>
      <c r="H2" s="586"/>
      <c r="I2" s="586"/>
      <c r="J2" s="586"/>
      <c r="K2" s="586"/>
      <c r="L2" s="586"/>
      <c r="M2" s="586"/>
      <c r="N2" s="108" t="s">
        <v>67</v>
      </c>
      <c r="O2" s="110"/>
      <c r="P2" s="132"/>
      <c r="Q2" s="137"/>
      <c r="R2" s="137"/>
      <c r="S2" s="137"/>
      <c r="T2" s="110"/>
      <c r="U2" s="110"/>
      <c r="V2" s="110"/>
    </row>
    <row r="3" spans="1:22" x14ac:dyDescent="0.2">
      <c r="A3" s="587" t="s">
        <v>17</v>
      </c>
      <c r="B3" s="587"/>
      <c r="C3" s="587"/>
      <c r="D3" s="587"/>
      <c r="E3" s="587"/>
      <c r="F3" s="587"/>
      <c r="G3" s="587"/>
      <c r="H3" s="587"/>
      <c r="I3" s="587"/>
      <c r="J3" s="587"/>
      <c r="K3" s="587"/>
      <c r="L3" s="587"/>
      <c r="M3" s="587"/>
      <c r="N3" s="108" t="s">
        <v>67</v>
      </c>
      <c r="O3" s="111"/>
      <c r="P3" s="132"/>
      <c r="Q3" s="138"/>
      <c r="R3" s="138"/>
      <c r="S3" s="138"/>
      <c r="T3" s="111"/>
      <c r="U3" s="111"/>
      <c r="V3" s="111"/>
    </row>
    <row r="4" spans="1:22" x14ac:dyDescent="0.2">
      <c r="A4" s="588" t="s">
        <v>39</v>
      </c>
      <c r="B4" s="588"/>
      <c r="C4" s="588"/>
      <c r="D4" s="588"/>
      <c r="E4" s="588"/>
      <c r="F4" s="588"/>
      <c r="G4" s="588"/>
      <c r="H4" s="588"/>
      <c r="I4" s="588"/>
      <c r="J4" s="588"/>
      <c r="K4" s="588"/>
      <c r="L4" s="588"/>
      <c r="M4" s="588"/>
      <c r="N4" s="108" t="s">
        <v>67</v>
      </c>
      <c r="O4" s="112"/>
      <c r="P4" s="132"/>
      <c r="Q4" s="139"/>
      <c r="R4" s="139"/>
      <c r="S4" s="139"/>
      <c r="T4" s="112"/>
      <c r="U4" s="112"/>
      <c r="V4" s="112"/>
    </row>
    <row r="5" spans="1:22" ht="15" thickBot="1" x14ac:dyDescent="0.25">
      <c r="A5" s="588"/>
      <c r="B5" s="588"/>
      <c r="C5" s="588"/>
      <c r="D5" s="588"/>
      <c r="E5" s="588"/>
      <c r="F5" s="588"/>
      <c r="G5" s="588"/>
      <c r="H5" s="588"/>
      <c r="I5" s="588"/>
      <c r="J5" s="588"/>
      <c r="K5" s="588"/>
      <c r="L5" s="588"/>
      <c r="M5" s="588"/>
      <c r="N5" s="108" t="s">
        <v>67</v>
      </c>
      <c r="O5" s="112"/>
      <c r="P5" s="139"/>
      <c r="Q5" s="139"/>
      <c r="R5" s="139"/>
      <c r="S5" s="139"/>
      <c r="T5" s="112"/>
      <c r="U5" s="112"/>
      <c r="V5" s="112"/>
    </row>
    <row r="6" spans="1:22" ht="45.75" customHeight="1" x14ac:dyDescent="0.2">
      <c r="A6" s="592" t="s">
        <v>117</v>
      </c>
      <c r="B6" s="594" t="s">
        <v>230</v>
      </c>
      <c r="C6" s="594"/>
      <c r="D6" s="594"/>
      <c r="E6" s="594" t="s">
        <v>253</v>
      </c>
      <c r="F6" s="594"/>
      <c r="G6" s="594"/>
      <c r="H6" s="594" t="s">
        <v>217</v>
      </c>
      <c r="I6" s="594"/>
      <c r="J6" s="594"/>
      <c r="K6" s="594" t="s">
        <v>218</v>
      </c>
      <c r="L6" s="594"/>
      <c r="M6" s="595"/>
      <c r="N6" s="108" t="s">
        <v>67</v>
      </c>
      <c r="P6" s="131"/>
      <c r="Q6" s="131"/>
      <c r="R6" s="131"/>
      <c r="S6" s="131"/>
    </row>
    <row r="7" spans="1:22" ht="28.5" x14ac:dyDescent="0.25">
      <c r="A7" s="593"/>
      <c r="B7" s="113" t="s">
        <v>110</v>
      </c>
      <c r="C7" s="113" t="s">
        <v>118</v>
      </c>
      <c r="D7" s="113" t="s">
        <v>11</v>
      </c>
      <c r="E7" s="113" t="s">
        <v>110</v>
      </c>
      <c r="F7" s="113" t="s">
        <v>119</v>
      </c>
      <c r="G7" s="113" t="s">
        <v>11</v>
      </c>
      <c r="H7" s="113" t="s">
        <v>110</v>
      </c>
      <c r="I7" s="113" t="s">
        <v>119</v>
      </c>
      <c r="J7" s="113" t="s">
        <v>11</v>
      </c>
      <c r="K7" s="113" t="s">
        <v>110</v>
      </c>
      <c r="L7" s="113" t="s">
        <v>119</v>
      </c>
      <c r="M7" s="114" t="s">
        <v>11</v>
      </c>
      <c r="N7" s="108" t="s">
        <v>67</v>
      </c>
      <c r="P7" s="140"/>
      <c r="Q7" s="131"/>
      <c r="R7" s="131"/>
      <c r="S7" s="131"/>
    </row>
    <row r="8" spans="1:22" x14ac:dyDescent="0.2">
      <c r="A8" s="115" t="s">
        <v>120</v>
      </c>
      <c r="B8" s="116">
        <v>15282</v>
      </c>
      <c r="C8" s="116">
        <v>12373</v>
      </c>
      <c r="D8" s="116">
        <v>2424619</v>
      </c>
      <c r="E8" s="116">
        <v>15674</v>
      </c>
      <c r="F8" s="116">
        <v>12727</v>
      </c>
      <c r="G8" s="116">
        <v>2525039</v>
      </c>
      <c r="H8" s="116">
        <v>0</v>
      </c>
      <c r="I8" s="116">
        <v>0</v>
      </c>
      <c r="J8" s="116">
        <v>94622</v>
      </c>
      <c r="K8" s="116">
        <f>E8+H8</f>
        <v>15674</v>
      </c>
      <c r="L8" s="116">
        <f t="shared" ref="L8:L11" si="0">F8+I8</f>
        <v>12727</v>
      </c>
      <c r="M8" s="117">
        <f>+J8+G8</f>
        <v>2619661</v>
      </c>
      <c r="N8" s="108" t="s">
        <v>67</v>
      </c>
      <c r="P8" s="131"/>
      <c r="Q8" s="131"/>
      <c r="R8" s="131"/>
      <c r="S8" s="131"/>
    </row>
    <row r="9" spans="1:22" x14ac:dyDescent="0.2">
      <c r="A9" s="118" t="s">
        <v>121</v>
      </c>
      <c r="B9" s="95">
        <v>24852</v>
      </c>
      <c r="C9" s="95">
        <v>22269</v>
      </c>
      <c r="D9" s="95">
        <v>2717938</v>
      </c>
      <c r="E9" s="95">
        <v>25738</v>
      </c>
      <c r="F9" s="95">
        <v>23191</v>
      </c>
      <c r="G9" s="95">
        <v>2966364</v>
      </c>
      <c r="H9" s="95">
        <v>0</v>
      </c>
      <c r="I9" s="95">
        <v>0</v>
      </c>
      <c r="J9" s="95">
        <v>89381</v>
      </c>
      <c r="K9" s="95">
        <f t="shared" ref="K9:K11" si="1">E9+H9</f>
        <v>25738</v>
      </c>
      <c r="L9" s="95">
        <f>F9+I9</f>
        <v>23191</v>
      </c>
      <c r="M9" s="88">
        <f t="shared" ref="M9:M11" si="2">+J9+G9</f>
        <v>3055745</v>
      </c>
      <c r="N9" s="108" t="s">
        <v>67</v>
      </c>
      <c r="P9" s="131"/>
      <c r="Q9" s="131"/>
      <c r="R9" s="131"/>
      <c r="S9" s="131"/>
    </row>
    <row r="10" spans="1:22" x14ac:dyDescent="0.2">
      <c r="A10" s="118" t="s">
        <v>64</v>
      </c>
      <c r="B10" s="95">
        <v>413</v>
      </c>
      <c r="C10" s="95">
        <v>247</v>
      </c>
      <c r="D10" s="95">
        <v>1017298</v>
      </c>
      <c r="E10" s="95">
        <v>413</v>
      </c>
      <c r="F10" s="95">
        <v>247</v>
      </c>
      <c r="G10" s="95">
        <v>1074808</v>
      </c>
      <c r="H10" s="95">
        <v>0</v>
      </c>
      <c r="I10" s="95">
        <v>0</v>
      </c>
      <c r="J10" s="95">
        <v>925</v>
      </c>
      <c r="K10" s="95">
        <f t="shared" si="1"/>
        <v>413</v>
      </c>
      <c r="L10" s="95">
        <f t="shared" si="0"/>
        <v>247</v>
      </c>
      <c r="M10" s="88">
        <f t="shared" si="2"/>
        <v>1075733</v>
      </c>
      <c r="N10" s="108" t="s">
        <v>67</v>
      </c>
      <c r="P10" s="131"/>
      <c r="Q10" s="131"/>
      <c r="R10" s="131"/>
      <c r="S10" s="131"/>
    </row>
    <row r="11" spans="1:22" x14ac:dyDescent="0.2">
      <c r="A11" s="119" t="s">
        <v>96</v>
      </c>
      <c r="B11" s="120">
        <v>1233</v>
      </c>
      <c r="C11" s="120">
        <v>1007</v>
      </c>
      <c r="D11" s="120">
        <v>189393</v>
      </c>
      <c r="E11" s="120">
        <v>1233</v>
      </c>
      <c r="F11" s="120">
        <v>1007</v>
      </c>
      <c r="G11" s="120">
        <v>202789</v>
      </c>
      <c r="H11" s="120">
        <v>0</v>
      </c>
      <c r="I11" s="120">
        <v>0</v>
      </c>
      <c r="J11" s="120">
        <v>8045</v>
      </c>
      <c r="K11" s="120">
        <f t="shared" si="1"/>
        <v>1233</v>
      </c>
      <c r="L11" s="120">
        <f t="shared" si="0"/>
        <v>1007</v>
      </c>
      <c r="M11" s="121">
        <f t="shared" si="2"/>
        <v>210834</v>
      </c>
      <c r="N11" s="108" t="s">
        <v>67</v>
      </c>
      <c r="P11" s="131"/>
      <c r="Q11" s="131"/>
      <c r="R11" s="131"/>
      <c r="S11" s="131"/>
    </row>
    <row r="12" spans="1:22" ht="15" x14ac:dyDescent="0.25">
      <c r="A12" s="122" t="s">
        <v>122</v>
      </c>
      <c r="B12" s="123">
        <f>SUM(B8:B11)</f>
        <v>41780</v>
      </c>
      <c r="C12" s="123">
        <f t="shared" ref="C12:K12" si="3">SUM(C8:C11)</f>
        <v>35896</v>
      </c>
      <c r="D12" s="123">
        <f t="shared" si="3"/>
        <v>6349248</v>
      </c>
      <c r="E12" s="123">
        <f>SUM(E8:E11)</f>
        <v>43058</v>
      </c>
      <c r="F12" s="123">
        <f t="shared" ref="F12:G12" si="4">SUM(F8:F11)</f>
        <v>37172</v>
      </c>
      <c r="G12" s="123">
        <f t="shared" si="4"/>
        <v>6769000</v>
      </c>
      <c r="H12" s="123">
        <f t="shared" si="3"/>
        <v>0</v>
      </c>
      <c r="I12" s="123">
        <f t="shared" si="3"/>
        <v>0</v>
      </c>
      <c r="J12" s="123">
        <f t="shared" si="3"/>
        <v>192973</v>
      </c>
      <c r="K12" s="123">
        <f t="shared" si="3"/>
        <v>43058</v>
      </c>
      <c r="L12" s="123">
        <f>SUM(L8:L11)</f>
        <v>37172</v>
      </c>
      <c r="M12" s="124">
        <f>SUM(M8:M11)</f>
        <v>6961973</v>
      </c>
      <c r="N12" s="108" t="s">
        <v>67</v>
      </c>
      <c r="P12" s="135"/>
      <c r="Q12" s="131"/>
      <c r="R12" s="131"/>
      <c r="S12" s="131"/>
    </row>
    <row r="13" spans="1:22" x14ac:dyDescent="0.2">
      <c r="A13" s="115" t="s">
        <v>7</v>
      </c>
      <c r="B13" s="116"/>
      <c r="C13" s="116">
        <v>0</v>
      </c>
      <c r="D13" s="116"/>
      <c r="E13" s="116"/>
      <c r="F13" s="116">
        <v>0</v>
      </c>
      <c r="G13" s="116"/>
      <c r="H13" s="116"/>
      <c r="I13" s="116">
        <v>0</v>
      </c>
      <c r="J13" s="116"/>
      <c r="K13" s="116"/>
      <c r="L13" s="116">
        <f t="shared" ref="L13:L14" si="5">F13+I13</f>
        <v>0</v>
      </c>
      <c r="M13" s="117"/>
      <c r="N13" s="108" t="s">
        <v>67</v>
      </c>
      <c r="P13" s="131"/>
      <c r="Q13" s="131"/>
      <c r="R13" s="131"/>
      <c r="S13" s="131"/>
    </row>
    <row r="14" spans="1:22" x14ac:dyDescent="0.2">
      <c r="A14" s="118" t="s">
        <v>125</v>
      </c>
      <c r="B14" s="95"/>
      <c r="C14" s="95">
        <f>C12+C13</f>
        <v>35896</v>
      </c>
      <c r="D14" s="95"/>
      <c r="E14" s="95"/>
      <c r="F14" s="95">
        <f>F12+F13</f>
        <v>37172</v>
      </c>
      <c r="G14" s="95"/>
      <c r="H14" s="95"/>
      <c r="I14" s="95">
        <f>I12+I13</f>
        <v>0</v>
      </c>
      <c r="J14" s="95"/>
      <c r="K14" s="95"/>
      <c r="L14" s="95">
        <f t="shared" si="5"/>
        <v>37172</v>
      </c>
      <c r="M14" s="88"/>
      <c r="N14" s="108" t="s">
        <v>67</v>
      </c>
      <c r="P14" s="131"/>
      <c r="Q14" s="131"/>
      <c r="R14" s="131"/>
      <c r="S14" s="131"/>
    </row>
    <row r="15" spans="1:22" x14ac:dyDescent="0.2">
      <c r="A15" s="118"/>
      <c r="B15" s="95"/>
      <c r="C15" s="95"/>
      <c r="D15" s="95"/>
      <c r="E15" s="95"/>
      <c r="F15" s="95"/>
      <c r="G15" s="95"/>
      <c r="H15" s="95"/>
      <c r="I15" s="95"/>
      <c r="J15" s="95"/>
      <c r="K15" s="95"/>
      <c r="L15" s="95"/>
      <c r="M15" s="88"/>
      <c r="N15" s="108" t="s">
        <v>67</v>
      </c>
      <c r="P15" s="131"/>
      <c r="Q15" s="131"/>
      <c r="R15" s="131"/>
      <c r="S15" s="131"/>
    </row>
    <row r="16" spans="1:22" x14ac:dyDescent="0.2">
      <c r="A16" s="118" t="s">
        <v>126</v>
      </c>
      <c r="B16" s="95"/>
      <c r="C16" s="95"/>
      <c r="D16" s="95"/>
      <c r="E16" s="95"/>
      <c r="F16" s="95"/>
      <c r="G16" s="95"/>
      <c r="H16" s="95"/>
      <c r="I16" s="95"/>
      <c r="J16" s="95"/>
      <c r="K16" s="95"/>
      <c r="L16" s="95"/>
      <c r="M16" s="88"/>
      <c r="N16" s="108" t="s">
        <v>67</v>
      </c>
      <c r="P16" s="131"/>
      <c r="Q16" s="131"/>
      <c r="R16" s="131"/>
      <c r="S16" s="131"/>
    </row>
    <row r="17" spans="1:19" x14ac:dyDescent="0.2">
      <c r="A17" s="125" t="s">
        <v>127</v>
      </c>
      <c r="B17" s="95"/>
      <c r="C17" s="95">
        <v>0</v>
      </c>
      <c r="D17" s="95"/>
      <c r="E17" s="95"/>
      <c r="F17" s="95">
        <v>0</v>
      </c>
      <c r="G17" s="95"/>
      <c r="H17" s="95"/>
      <c r="I17" s="95">
        <v>0</v>
      </c>
      <c r="J17" s="95"/>
      <c r="K17" s="95"/>
      <c r="L17" s="95">
        <f t="shared" ref="L17:L19" si="6">F17+I17</f>
        <v>0</v>
      </c>
      <c r="M17" s="88"/>
      <c r="N17" s="108" t="s">
        <v>67</v>
      </c>
      <c r="P17" s="131"/>
      <c r="Q17" s="131"/>
      <c r="R17" s="131"/>
      <c r="S17" s="131"/>
    </row>
    <row r="18" spans="1:19" x14ac:dyDescent="0.2">
      <c r="A18" s="126" t="s">
        <v>128</v>
      </c>
      <c r="B18" s="120"/>
      <c r="C18" s="120">
        <v>0</v>
      </c>
      <c r="D18" s="120"/>
      <c r="E18" s="120"/>
      <c r="F18" s="120">
        <v>0</v>
      </c>
      <c r="G18" s="120"/>
      <c r="H18" s="120"/>
      <c r="I18" s="120">
        <v>0</v>
      </c>
      <c r="J18" s="120"/>
      <c r="K18" s="120"/>
      <c r="L18" s="120">
        <f t="shared" si="6"/>
        <v>0</v>
      </c>
      <c r="M18" s="121"/>
      <c r="N18" s="108" t="s">
        <v>67</v>
      </c>
      <c r="P18" s="131"/>
      <c r="Q18" s="131"/>
      <c r="R18" s="131"/>
      <c r="S18" s="131"/>
    </row>
    <row r="19" spans="1:19" ht="15" thickBot="1" x14ac:dyDescent="0.25">
      <c r="A19" s="127" t="s">
        <v>129</v>
      </c>
      <c r="B19" s="128"/>
      <c r="C19" s="128">
        <f>C14+C17+C18</f>
        <v>35896</v>
      </c>
      <c r="D19" s="128"/>
      <c r="E19" s="128"/>
      <c r="F19" s="128">
        <f>F14+F17+F18</f>
        <v>37172</v>
      </c>
      <c r="G19" s="128"/>
      <c r="H19" s="128"/>
      <c r="I19" s="128">
        <f>I14+I17+I18</f>
        <v>0</v>
      </c>
      <c r="J19" s="128"/>
      <c r="K19" s="128"/>
      <c r="L19" s="128">
        <f t="shared" si="6"/>
        <v>37172</v>
      </c>
      <c r="M19" s="129"/>
      <c r="N19" s="108" t="s">
        <v>67</v>
      </c>
      <c r="P19" s="131"/>
      <c r="Q19" s="131"/>
      <c r="R19" s="131"/>
      <c r="S19" s="131"/>
    </row>
    <row r="20" spans="1:19" ht="15" thickBot="1" x14ac:dyDescent="0.25">
      <c r="N20" s="108" t="s">
        <v>67</v>
      </c>
      <c r="P20" s="131"/>
      <c r="Q20" s="131"/>
      <c r="R20" s="131"/>
      <c r="S20" s="131"/>
    </row>
    <row r="21" spans="1:19" ht="15" x14ac:dyDescent="0.2">
      <c r="A21" s="592" t="s">
        <v>117</v>
      </c>
      <c r="B21" s="594" t="s">
        <v>219</v>
      </c>
      <c r="C21" s="594"/>
      <c r="D21" s="594"/>
      <c r="E21" s="594" t="s">
        <v>220</v>
      </c>
      <c r="F21" s="594"/>
      <c r="G21" s="594"/>
      <c r="H21" s="594" t="s">
        <v>215</v>
      </c>
      <c r="I21" s="594"/>
      <c r="J21" s="595"/>
      <c r="N21" s="108" t="s">
        <v>67</v>
      </c>
      <c r="P21" s="131"/>
      <c r="Q21" s="131"/>
      <c r="R21" s="131"/>
      <c r="S21" s="131"/>
    </row>
    <row r="22" spans="1:19" ht="28.5" x14ac:dyDescent="0.2">
      <c r="A22" s="593"/>
      <c r="B22" s="113" t="s">
        <v>110</v>
      </c>
      <c r="C22" s="113" t="s">
        <v>119</v>
      </c>
      <c r="D22" s="113" t="s">
        <v>11</v>
      </c>
      <c r="E22" s="113" t="s">
        <v>110</v>
      </c>
      <c r="F22" s="113" t="s">
        <v>119</v>
      </c>
      <c r="G22" s="113" t="s">
        <v>11</v>
      </c>
      <c r="H22" s="113" t="s">
        <v>110</v>
      </c>
      <c r="I22" s="113" t="s">
        <v>119</v>
      </c>
      <c r="J22" s="114" t="s">
        <v>11</v>
      </c>
      <c r="N22" s="108" t="s">
        <v>67</v>
      </c>
      <c r="P22" s="131"/>
      <c r="Q22" s="131"/>
      <c r="R22" s="131"/>
      <c r="S22" s="131"/>
    </row>
    <row r="23" spans="1:19" x14ac:dyDescent="0.2">
      <c r="A23" s="115" t="s">
        <v>120</v>
      </c>
      <c r="B23" s="116">
        <v>0</v>
      </c>
      <c r="C23" s="116">
        <v>0</v>
      </c>
      <c r="D23" s="116">
        <v>0</v>
      </c>
      <c r="E23" s="116">
        <v>0</v>
      </c>
      <c r="F23" s="116">
        <v>0</v>
      </c>
      <c r="G23" s="116">
        <v>-59442</v>
      </c>
      <c r="H23" s="116">
        <f>+E23+B23+K8</f>
        <v>15674</v>
      </c>
      <c r="I23" s="116">
        <f>+F23+C23+L8</f>
        <v>12727</v>
      </c>
      <c r="J23" s="117">
        <f>+G23+D23+M8</f>
        <v>2560219</v>
      </c>
      <c r="N23" s="108" t="s">
        <v>67</v>
      </c>
      <c r="P23" s="131"/>
      <c r="Q23" s="131"/>
      <c r="R23" s="131"/>
      <c r="S23" s="131"/>
    </row>
    <row r="24" spans="1:19" x14ac:dyDescent="0.2">
      <c r="A24" s="118" t="s">
        <v>121</v>
      </c>
      <c r="B24" s="95">
        <v>0</v>
      </c>
      <c r="C24" s="95">
        <v>0</v>
      </c>
      <c r="D24" s="95">
        <v>0</v>
      </c>
      <c r="E24" s="95">
        <v>0</v>
      </c>
      <c r="F24" s="95">
        <v>0</v>
      </c>
      <c r="G24" s="95">
        <v>-69337</v>
      </c>
      <c r="H24" s="95">
        <f t="shared" ref="H24:J24" si="7">+E24+B24+K9</f>
        <v>25738</v>
      </c>
      <c r="I24" s="95">
        <f t="shared" si="7"/>
        <v>23191</v>
      </c>
      <c r="J24" s="88">
        <f t="shared" si="7"/>
        <v>2986408</v>
      </c>
      <c r="N24" s="108" t="s">
        <v>67</v>
      </c>
      <c r="P24" s="131"/>
      <c r="Q24" s="131"/>
      <c r="R24" s="131"/>
      <c r="S24" s="131"/>
    </row>
    <row r="25" spans="1:19" x14ac:dyDescent="0.2">
      <c r="A25" s="118" t="s">
        <v>64</v>
      </c>
      <c r="B25" s="95">
        <v>0</v>
      </c>
      <c r="C25" s="95">
        <v>0</v>
      </c>
      <c r="D25" s="95">
        <v>0</v>
      </c>
      <c r="E25" s="95">
        <v>0</v>
      </c>
      <c r="F25" s="95">
        <v>0</v>
      </c>
      <c r="G25" s="95">
        <v>-24410</v>
      </c>
      <c r="H25" s="95">
        <f t="shared" ref="H25:J25" si="8">+E25+B25+K10</f>
        <v>413</v>
      </c>
      <c r="I25" s="95">
        <f t="shared" si="8"/>
        <v>247</v>
      </c>
      <c r="J25" s="88">
        <f t="shared" si="8"/>
        <v>1051323</v>
      </c>
      <c r="N25" s="108" t="s">
        <v>67</v>
      </c>
      <c r="P25" s="131"/>
      <c r="Q25" s="131"/>
      <c r="R25" s="131"/>
      <c r="S25" s="131"/>
    </row>
    <row r="26" spans="1:19" x14ac:dyDescent="0.2">
      <c r="A26" s="119" t="s">
        <v>96</v>
      </c>
      <c r="B26" s="120">
        <v>0</v>
      </c>
      <c r="C26" s="120">
        <v>0</v>
      </c>
      <c r="D26" s="120">
        <v>0</v>
      </c>
      <c r="E26" s="120">
        <v>0</v>
      </c>
      <c r="F26" s="120">
        <v>0</v>
      </c>
      <c r="G26" s="120">
        <v>-4784</v>
      </c>
      <c r="H26" s="120">
        <f t="shared" ref="H26:J26" si="9">+E26+B26+K11</f>
        <v>1233</v>
      </c>
      <c r="I26" s="120">
        <f t="shared" si="9"/>
        <v>1007</v>
      </c>
      <c r="J26" s="121">
        <f t="shared" si="9"/>
        <v>206050</v>
      </c>
      <c r="N26" s="108" t="s">
        <v>67</v>
      </c>
      <c r="P26" s="131"/>
      <c r="Q26" s="131"/>
      <c r="R26" s="131"/>
      <c r="S26" s="131"/>
    </row>
    <row r="27" spans="1:19" ht="15" x14ac:dyDescent="0.25">
      <c r="A27" s="122" t="s">
        <v>122</v>
      </c>
      <c r="B27" s="123">
        <f t="shared" ref="B27:J27" si="10">SUM(B23:B26)</f>
        <v>0</v>
      </c>
      <c r="C27" s="123">
        <f t="shared" si="10"/>
        <v>0</v>
      </c>
      <c r="D27" s="123">
        <f t="shared" si="10"/>
        <v>0</v>
      </c>
      <c r="E27" s="123">
        <f t="shared" si="10"/>
        <v>0</v>
      </c>
      <c r="F27" s="123">
        <f t="shared" si="10"/>
        <v>0</v>
      </c>
      <c r="G27" s="123">
        <f t="shared" si="10"/>
        <v>-157973</v>
      </c>
      <c r="H27" s="123">
        <f t="shared" si="10"/>
        <v>43058</v>
      </c>
      <c r="I27" s="123">
        <f t="shared" si="10"/>
        <v>37172</v>
      </c>
      <c r="J27" s="124">
        <f t="shared" si="10"/>
        <v>6804000</v>
      </c>
      <c r="N27" s="108" t="s">
        <v>67</v>
      </c>
      <c r="P27" s="131"/>
      <c r="Q27" s="131"/>
      <c r="R27" s="131"/>
      <c r="S27" s="131"/>
    </row>
    <row r="28" spans="1:19" x14ac:dyDescent="0.2">
      <c r="A28" s="115" t="s">
        <v>7</v>
      </c>
      <c r="B28" s="116"/>
      <c r="C28" s="116">
        <v>0</v>
      </c>
      <c r="D28" s="116"/>
      <c r="E28" s="116"/>
      <c r="F28" s="116">
        <v>0</v>
      </c>
      <c r="G28" s="116"/>
      <c r="H28" s="116"/>
      <c r="I28" s="116">
        <f t="shared" ref="I28:I34" si="11">L13+C28+F28</f>
        <v>0</v>
      </c>
      <c r="J28" s="117"/>
      <c r="N28" s="108" t="s">
        <v>67</v>
      </c>
      <c r="P28" s="131"/>
      <c r="Q28" s="131"/>
      <c r="R28" s="131"/>
      <c r="S28" s="131"/>
    </row>
    <row r="29" spans="1:19" x14ac:dyDescent="0.2">
      <c r="A29" s="118" t="s">
        <v>125</v>
      </c>
      <c r="B29" s="95"/>
      <c r="C29" s="95">
        <f>C27+C28</f>
        <v>0</v>
      </c>
      <c r="D29" s="95"/>
      <c r="E29" s="95"/>
      <c r="F29" s="95">
        <f>F27+F28</f>
        <v>0</v>
      </c>
      <c r="G29" s="95"/>
      <c r="H29" s="95"/>
      <c r="I29" s="95">
        <f t="shared" si="11"/>
        <v>37172</v>
      </c>
      <c r="J29" s="88"/>
      <c r="N29" s="108" t="s">
        <v>67</v>
      </c>
      <c r="P29" s="131"/>
      <c r="Q29" s="131"/>
      <c r="R29" s="131"/>
      <c r="S29" s="131"/>
    </row>
    <row r="30" spans="1:19" x14ac:dyDescent="0.2">
      <c r="A30" s="118"/>
      <c r="B30" s="95"/>
      <c r="C30" s="95"/>
      <c r="D30" s="95"/>
      <c r="E30" s="95"/>
      <c r="F30" s="95"/>
      <c r="G30" s="95"/>
      <c r="H30" s="95"/>
      <c r="I30" s="507" t="s">
        <v>46</v>
      </c>
      <c r="J30" s="88"/>
      <c r="N30" s="108" t="s">
        <v>67</v>
      </c>
      <c r="P30" s="131"/>
      <c r="Q30" s="131"/>
      <c r="R30" s="131"/>
      <c r="S30" s="131"/>
    </row>
    <row r="31" spans="1:19" x14ac:dyDescent="0.2">
      <c r="A31" s="118" t="s">
        <v>126</v>
      </c>
      <c r="B31" s="95"/>
      <c r="C31" s="95"/>
      <c r="D31" s="95"/>
      <c r="E31" s="95"/>
      <c r="F31" s="95"/>
      <c r="G31" s="95"/>
      <c r="H31" s="95"/>
      <c r="I31" s="507" t="s">
        <v>46</v>
      </c>
      <c r="J31" s="88"/>
      <c r="N31" s="108" t="s">
        <v>67</v>
      </c>
      <c r="P31" s="131"/>
      <c r="Q31" s="131"/>
      <c r="R31" s="131"/>
      <c r="S31" s="131"/>
    </row>
    <row r="32" spans="1:19" x14ac:dyDescent="0.2">
      <c r="A32" s="125" t="s">
        <v>127</v>
      </c>
      <c r="B32" s="95"/>
      <c r="C32" s="95">
        <v>0</v>
      </c>
      <c r="D32" s="95"/>
      <c r="E32" s="95"/>
      <c r="F32" s="95">
        <v>0</v>
      </c>
      <c r="G32" s="95"/>
      <c r="H32" s="95"/>
      <c r="I32" s="95">
        <f t="shared" si="11"/>
        <v>0</v>
      </c>
      <c r="J32" s="88"/>
      <c r="N32" s="108" t="s">
        <v>67</v>
      </c>
      <c r="P32" s="131"/>
      <c r="Q32" s="131"/>
      <c r="R32" s="131"/>
      <c r="S32" s="131"/>
    </row>
    <row r="33" spans="1:19" x14ac:dyDescent="0.2">
      <c r="A33" s="126" t="s">
        <v>128</v>
      </c>
      <c r="B33" s="120"/>
      <c r="C33" s="120">
        <v>0</v>
      </c>
      <c r="D33" s="120"/>
      <c r="E33" s="120"/>
      <c r="F33" s="120">
        <v>0</v>
      </c>
      <c r="G33" s="120"/>
      <c r="H33" s="120"/>
      <c r="I33" s="120">
        <f t="shared" si="11"/>
        <v>0</v>
      </c>
      <c r="J33" s="121"/>
      <c r="N33" s="108" t="s">
        <v>67</v>
      </c>
      <c r="P33" s="131"/>
      <c r="Q33" s="131"/>
      <c r="R33" s="131"/>
      <c r="S33" s="131"/>
    </row>
    <row r="34" spans="1:19" ht="15" thickBot="1" x14ac:dyDescent="0.25">
      <c r="A34" s="127" t="s">
        <v>129</v>
      </c>
      <c r="B34" s="128"/>
      <c r="C34" s="128">
        <f>C29+C32+C33</f>
        <v>0</v>
      </c>
      <c r="D34" s="128"/>
      <c r="E34" s="128"/>
      <c r="F34" s="128">
        <f>F29+F32+F33</f>
        <v>0</v>
      </c>
      <c r="G34" s="128"/>
      <c r="H34" s="128"/>
      <c r="I34" s="128">
        <f t="shared" si="11"/>
        <v>37172</v>
      </c>
      <c r="J34" s="129"/>
      <c r="N34" s="108" t="s">
        <v>67</v>
      </c>
      <c r="P34" s="131"/>
      <c r="Q34" s="131"/>
      <c r="R34" s="131"/>
      <c r="S34" s="131"/>
    </row>
    <row r="35" spans="1:19" x14ac:dyDescent="0.2">
      <c r="N35" s="78" t="s">
        <v>68</v>
      </c>
      <c r="P35" s="131"/>
      <c r="Q35" s="131"/>
      <c r="R35" s="131"/>
      <c r="S35" s="131"/>
    </row>
    <row r="36" spans="1:19" x14ac:dyDescent="0.2">
      <c r="P36" s="131"/>
      <c r="Q36" s="131"/>
      <c r="R36" s="131"/>
      <c r="S36" s="131"/>
    </row>
    <row r="37" spans="1:19" x14ac:dyDescent="0.2">
      <c r="P37" s="131"/>
      <c r="Q37" s="131"/>
      <c r="R37" s="131"/>
      <c r="S37" s="131"/>
    </row>
    <row r="38" spans="1:19" x14ac:dyDescent="0.2">
      <c r="P38" s="131"/>
      <c r="Q38" s="131"/>
      <c r="R38" s="131"/>
      <c r="S38" s="131"/>
    </row>
    <row r="39" spans="1:19" x14ac:dyDescent="0.2">
      <c r="P39" s="131"/>
      <c r="Q39" s="131"/>
      <c r="R39" s="131"/>
      <c r="S39" s="131"/>
    </row>
    <row r="40" spans="1:19" x14ac:dyDescent="0.2">
      <c r="P40" s="131"/>
      <c r="Q40" s="131"/>
      <c r="R40" s="131"/>
      <c r="S40" s="131"/>
    </row>
    <row r="41" spans="1:19" x14ac:dyDescent="0.2">
      <c r="P41" s="131"/>
      <c r="Q41" s="131"/>
      <c r="R41" s="131"/>
      <c r="S41" s="131"/>
    </row>
    <row r="42" spans="1:19" x14ac:dyDescent="0.2">
      <c r="P42" s="131"/>
      <c r="Q42" s="131"/>
      <c r="R42" s="131"/>
      <c r="S42" s="131"/>
    </row>
    <row r="43" spans="1:19" x14ac:dyDescent="0.2">
      <c r="P43" s="131"/>
      <c r="Q43" s="131"/>
      <c r="R43" s="131"/>
      <c r="S43" s="131"/>
    </row>
    <row r="44" spans="1:19" x14ac:dyDescent="0.2">
      <c r="P44" s="131"/>
      <c r="Q44" s="131"/>
      <c r="R44" s="131"/>
      <c r="S44" s="131"/>
    </row>
    <row r="45" spans="1:19" x14ac:dyDescent="0.2">
      <c r="P45" s="131"/>
      <c r="Q45" s="131"/>
      <c r="R45" s="131"/>
      <c r="S45" s="131"/>
    </row>
  </sheetData>
  <mergeCells count="14">
    <mergeCell ref="A21:A22"/>
    <mergeCell ref="B21:D21"/>
    <mergeCell ref="E21:G21"/>
    <mergeCell ref="H21:J21"/>
    <mergeCell ref="A1:M1"/>
    <mergeCell ref="A2:M2"/>
    <mergeCell ref="A3:M3"/>
    <mergeCell ref="A4:M4"/>
    <mergeCell ref="A5:M5"/>
    <mergeCell ref="A6:A7"/>
    <mergeCell ref="B6:D6"/>
    <mergeCell ref="E6:G6"/>
    <mergeCell ref="H6:J6"/>
    <mergeCell ref="K6:M6"/>
  </mergeCells>
  <pageMargins left="0.7" right="0.7" top="1.25" bottom="0.75" header="1.05" footer="0.3"/>
  <pageSetup scale="78" orientation="landscape" r:id="rId1"/>
  <headerFooter>
    <oddHeader>&amp;L&amp;"Arial,Bold"B. Summary of Requirements</oddHeader>
    <oddFooter>&amp;CExhibit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zoomScale="80" zoomScaleNormal="100" zoomScaleSheetLayoutView="80" zoomScalePageLayoutView="75" workbookViewId="0">
      <selection activeCell="A31" sqref="A31"/>
    </sheetView>
  </sheetViews>
  <sheetFormatPr defaultRowHeight="14.25" x14ac:dyDescent="0.2"/>
  <cols>
    <col min="1" max="1" width="42.88671875" style="354" customWidth="1"/>
    <col min="2" max="2" width="28.88671875" style="354" customWidth="1"/>
    <col min="3" max="5" width="6.77734375" style="354" customWidth="1"/>
    <col min="6" max="6" width="9.88671875" style="354" customWidth="1"/>
    <col min="7" max="9" width="6.77734375" style="354" customWidth="1"/>
    <col min="10" max="10" width="9.88671875" style="354" customWidth="1"/>
    <col min="11" max="13" width="6.77734375" style="354" customWidth="1"/>
    <col min="14" max="14" width="9.88671875" style="354" customWidth="1"/>
    <col min="15" max="15" width="10.88671875" style="375" bestFit="1" customWidth="1"/>
    <col min="16" max="16" width="3.5546875" style="354" customWidth="1"/>
    <col min="17" max="18" width="6.44140625" style="354" customWidth="1"/>
    <col min="19" max="19" width="9.88671875" style="354" customWidth="1"/>
    <col min="20" max="21" width="6.44140625" style="354" customWidth="1"/>
    <col min="22" max="22" width="9.88671875" style="354" customWidth="1"/>
    <col min="23" max="16384" width="8.88671875" style="354"/>
  </cols>
  <sheetData>
    <row r="1" spans="1:22" ht="18" x14ac:dyDescent="0.25">
      <c r="A1" s="606" t="s">
        <v>229</v>
      </c>
      <c r="B1" s="606"/>
      <c r="C1" s="606"/>
      <c r="D1" s="606"/>
      <c r="E1" s="606"/>
      <c r="F1" s="606"/>
      <c r="G1" s="606"/>
      <c r="H1" s="606"/>
      <c r="I1" s="606"/>
      <c r="J1" s="606"/>
      <c r="K1" s="606"/>
      <c r="L1" s="606"/>
      <c r="M1" s="606"/>
      <c r="N1" s="606"/>
      <c r="O1" s="352" t="s">
        <v>67</v>
      </c>
      <c r="P1" s="353"/>
      <c r="Q1" s="353"/>
      <c r="R1" s="353"/>
      <c r="S1" s="353"/>
      <c r="T1" s="353"/>
      <c r="U1" s="353"/>
      <c r="V1" s="353"/>
    </row>
    <row r="2" spans="1:22" ht="18" x14ac:dyDescent="0.25">
      <c r="A2" s="607" t="s">
        <v>16</v>
      </c>
      <c r="B2" s="607"/>
      <c r="C2" s="607"/>
      <c r="D2" s="607"/>
      <c r="E2" s="607"/>
      <c r="F2" s="607"/>
      <c r="G2" s="607"/>
      <c r="H2" s="607"/>
      <c r="I2" s="607"/>
      <c r="J2" s="607"/>
      <c r="K2" s="607"/>
      <c r="L2" s="607"/>
      <c r="M2" s="607"/>
      <c r="N2" s="607"/>
      <c r="O2" s="352" t="s">
        <v>67</v>
      </c>
      <c r="P2" s="355"/>
      <c r="Q2" s="355"/>
      <c r="R2" s="355"/>
      <c r="S2" s="355"/>
      <c r="T2" s="355"/>
      <c r="U2" s="355"/>
      <c r="V2" s="355"/>
    </row>
    <row r="3" spans="1:22" ht="18" x14ac:dyDescent="0.25">
      <c r="A3" s="608" t="s">
        <v>17</v>
      </c>
      <c r="B3" s="608"/>
      <c r="C3" s="608"/>
      <c r="D3" s="608"/>
      <c r="E3" s="608"/>
      <c r="F3" s="608"/>
      <c r="G3" s="608"/>
      <c r="H3" s="608"/>
      <c r="I3" s="608"/>
      <c r="J3" s="608"/>
      <c r="K3" s="608"/>
      <c r="L3" s="608"/>
      <c r="M3" s="608"/>
      <c r="N3" s="608"/>
      <c r="O3" s="352" t="s">
        <v>67</v>
      </c>
      <c r="P3" s="356"/>
      <c r="Q3" s="356"/>
      <c r="R3" s="356"/>
      <c r="S3" s="356"/>
      <c r="T3" s="356"/>
      <c r="U3" s="356"/>
      <c r="V3" s="356"/>
    </row>
    <row r="4" spans="1:22" ht="18" x14ac:dyDescent="0.25">
      <c r="A4" s="609" t="s">
        <v>39</v>
      </c>
      <c r="B4" s="609"/>
      <c r="C4" s="609"/>
      <c r="D4" s="609"/>
      <c r="E4" s="609"/>
      <c r="F4" s="609"/>
      <c r="G4" s="609"/>
      <c r="H4" s="609"/>
      <c r="I4" s="609"/>
      <c r="J4" s="609"/>
      <c r="K4" s="609"/>
      <c r="L4" s="609"/>
      <c r="M4" s="609"/>
      <c r="N4" s="609"/>
      <c r="O4" s="352" t="s">
        <v>67</v>
      </c>
      <c r="P4" s="357"/>
      <c r="Q4" s="357"/>
      <c r="R4" s="357"/>
      <c r="S4" s="357"/>
      <c r="T4" s="357"/>
      <c r="U4" s="357"/>
      <c r="V4" s="357"/>
    </row>
    <row r="5" spans="1:22" ht="18.75" thickBot="1" x14ac:dyDescent="0.3">
      <c r="A5" s="610"/>
      <c r="B5" s="610"/>
      <c r="C5" s="610"/>
      <c r="D5" s="610"/>
      <c r="E5" s="610"/>
      <c r="F5" s="610"/>
      <c r="G5" s="610"/>
      <c r="H5" s="610"/>
      <c r="I5" s="610"/>
      <c r="J5" s="610"/>
      <c r="K5" s="611"/>
      <c r="L5" s="611"/>
      <c r="M5" s="611"/>
      <c r="N5" s="611"/>
      <c r="O5" s="352" t="s">
        <v>67</v>
      </c>
      <c r="P5" s="357"/>
      <c r="Q5" s="357"/>
      <c r="R5" s="357"/>
      <c r="S5" s="357"/>
      <c r="T5" s="357"/>
      <c r="U5" s="357"/>
      <c r="V5" s="357"/>
    </row>
    <row r="6" spans="1:22" ht="33.75" customHeight="1" x14ac:dyDescent="0.25">
      <c r="A6" s="598" t="s">
        <v>49</v>
      </c>
      <c r="B6" s="600" t="s">
        <v>287</v>
      </c>
      <c r="C6" s="596" t="s">
        <v>120</v>
      </c>
      <c r="D6" s="596"/>
      <c r="E6" s="596"/>
      <c r="F6" s="596"/>
      <c r="G6" s="596" t="s">
        <v>121</v>
      </c>
      <c r="H6" s="596"/>
      <c r="I6" s="596"/>
      <c r="J6" s="597"/>
      <c r="K6" s="358"/>
      <c r="L6" s="358"/>
      <c r="M6" s="358"/>
      <c r="N6" s="359"/>
      <c r="O6" s="352" t="s">
        <v>67</v>
      </c>
    </row>
    <row r="7" spans="1:22" ht="28.5" x14ac:dyDescent="0.25">
      <c r="A7" s="599"/>
      <c r="B7" s="601"/>
      <c r="C7" s="360" t="s">
        <v>110</v>
      </c>
      <c r="D7" s="360" t="s">
        <v>228</v>
      </c>
      <c r="E7" s="360" t="s">
        <v>119</v>
      </c>
      <c r="F7" s="360" t="s">
        <v>11</v>
      </c>
      <c r="G7" s="360" t="s">
        <v>110</v>
      </c>
      <c r="H7" s="360" t="s">
        <v>228</v>
      </c>
      <c r="I7" s="360" t="s">
        <v>119</v>
      </c>
      <c r="J7" s="361" t="s">
        <v>11</v>
      </c>
      <c r="K7" s="362"/>
      <c r="L7" s="362"/>
      <c r="M7" s="362"/>
      <c r="N7" s="359"/>
      <c r="O7" s="352" t="s">
        <v>67</v>
      </c>
    </row>
    <row r="8" spans="1:22" ht="57" x14ac:dyDescent="0.25">
      <c r="A8" s="462" t="s">
        <v>280</v>
      </c>
      <c r="B8" s="463" t="s">
        <v>283</v>
      </c>
      <c r="C8" s="363">
        <v>0</v>
      </c>
      <c r="D8" s="363">
        <v>0</v>
      </c>
      <c r="E8" s="363">
        <v>0</v>
      </c>
      <c r="F8" s="363">
        <v>-59442</v>
      </c>
      <c r="G8" s="363">
        <v>0</v>
      </c>
      <c r="H8" s="363">
        <v>0</v>
      </c>
      <c r="I8" s="363">
        <v>0</v>
      </c>
      <c r="J8" s="364">
        <v>-69337</v>
      </c>
      <c r="K8" s="365"/>
      <c r="L8" s="365"/>
      <c r="M8" s="365"/>
      <c r="N8" s="365"/>
      <c r="O8" s="352" t="s">
        <v>67</v>
      </c>
    </row>
    <row r="9" spans="1:22" ht="18.75" thickBot="1" x14ac:dyDescent="0.3">
      <c r="A9" s="370" t="s">
        <v>12</v>
      </c>
      <c r="B9" s="455"/>
      <c r="C9" s="372">
        <f t="shared" ref="C9:J9" si="0">SUM(C8:C8)</f>
        <v>0</v>
      </c>
      <c r="D9" s="372">
        <f t="shared" si="0"/>
        <v>0</v>
      </c>
      <c r="E9" s="372">
        <f t="shared" si="0"/>
        <v>0</v>
      </c>
      <c r="F9" s="372">
        <f t="shared" si="0"/>
        <v>-59442</v>
      </c>
      <c r="G9" s="372">
        <f t="shared" si="0"/>
        <v>0</v>
      </c>
      <c r="H9" s="372">
        <f t="shared" si="0"/>
        <v>0</v>
      </c>
      <c r="I9" s="372">
        <f t="shared" si="0"/>
        <v>0</v>
      </c>
      <c r="J9" s="373">
        <f t="shared" si="0"/>
        <v>-69337</v>
      </c>
      <c r="K9" s="374"/>
      <c r="L9" s="374"/>
      <c r="M9" s="374"/>
      <c r="N9" s="374"/>
      <c r="O9" s="352" t="s">
        <v>67</v>
      </c>
    </row>
    <row r="10" spans="1:22" ht="18.75" thickBot="1" x14ac:dyDescent="0.3">
      <c r="B10" s="456"/>
      <c r="O10" s="352" t="s">
        <v>67</v>
      </c>
    </row>
    <row r="11" spans="1:22" ht="33.75" customHeight="1" x14ac:dyDescent="0.25">
      <c r="A11" s="598" t="str">
        <f>+A6</f>
        <v>Program Offsets</v>
      </c>
      <c r="B11" s="600" t="str">
        <f>+B6</f>
        <v>Location of Description in Narrative</v>
      </c>
      <c r="C11" s="596" t="s">
        <v>64</v>
      </c>
      <c r="D11" s="596"/>
      <c r="E11" s="596"/>
      <c r="F11" s="596"/>
      <c r="G11" s="596" t="s">
        <v>96</v>
      </c>
      <c r="H11" s="596"/>
      <c r="I11" s="596"/>
      <c r="J11" s="596"/>
      <c r="K11" s="596" t="s">
        <v>13</v>
      </c>
      <c r="L11" s="596"/>
      <c r="M11" s="596"/>
      <c r="N11" s="597"/>
      <c r="O11" s="352" t="s">
        <v>67</v>
      </c>
    </row>
    <row r="12" spans="1:22" ht="28.5" x14ac:dyDescent="0.25">
      <c r="A12" s="599"/>
      <c r="B12" s="601"/>
      <c r="C12" s="360" t="s">
        <v>110</v>
      </c>
      <c r="D12" s="360" t="s">
        <v>228</v>
      </c>
      <c r="E12" s="360" t="s">
        <v>119</v>
      </c>
      <c r="F12" s="360" t="s">
        <v>11</v>
      </c>
      <c r="G12" s="360" t="s">
        <v>110</v>
      </c>
      <c r="H12" s="360" t="s">
        <v>228</v>
      </c>
      <c r="I12" s="360" t="s">
        <v>119</v>
      </c>
      <c r="J12" s="360" t="s">
        <v>11</v>
      </c>
      <c r="K12" s="360" t="s">
        <v>110</v>
      </c>
      <c r="L12" s="360" t="s">
        <v>228</v>
      </c>
      <c r="M12" s="360" t="s">
        <v>119</v>
      </c>
      <c r="N12" s="361" t="s">
        <v>11</v>
      </c>
      <c r="O12" s="352" t="s">
        <v>67</v>
      </c>
    </row>
    <row r="13" spans="1:22" ht="57" x14ac:dyDescent="0.25">
      <c r="A13" s="462" t="str">
        <f>+A8</f>
        <v>Program Offset-Misc. Program &amp; Administrative Reductions</v>
      </c>
      <c r="B13" s="463" t="str">
        <f>+B8</f>
        <v>Inmate Care &amp; Programs, Inst. Security &amp; Admin, Contract Confinement, Management &amp; Administration</v>
      </c>
      <c r="C13" s="363">
        <v>0</v>
      </c>
      <c r="D13" s="363">
        <v>0</v>
      </c>
      <c r="E13" s="363">
        <v>0</v>
      </c>
      <c r="F13" s="363">
        <v>-24410</v>
      </c>
      <c r="G13" s="363">
        <v>0</v>
      </c>
      <c r="H13" s="363">
        <v>0</v>
      </c>
      <c r="I13" s="363">
        <v>0</v>
      </c>
      <c r="J13" s="363">
        <v>-4784</v>
      </c>
      <c r="K13" s="363">
        <f>C8+G8+C13+G13</f>
        <v>0</v>
      </c>
      <c r="L13" s="363">
        <f>D8+H8+D13+H13</f>
        <v>0</v>
      </c>
      <c r="M13" s="363">
        <f>E8+I8+E13+I13</f>
        <v>0</v>
      </c>
      <c r="N13" s="364">
        <f>F8+J8+F13+J13</f>
        <v>-157973</v>
      </c>
      <c r="O13" s="352" t="s">
        <v>67</v>
      </c>
    </row>
    <row r="14" spans="1:22" ht="18.75" thickBot="1" x14ac:dyDescent="0.3">
      <c r="A14" s="370" t="s">
        <v>12</v>
      </c>
      <c r="B14" s="371"/>
      <c r="C14" s="372">
        <f t="shared" ref="C14:N14" si="1">SUM(C13:C13)</f>
        <v>0</v>
      </c>
      <c r="D14" s="372">
        <f t="shared" si="1"/>
        <v>0</v>
      </c>
      <c r="E14" s="372">
        <f t="shared" si="1"/>
        <v>0</v>
      </c>
      <c r="F14" s="372">
        <f t="shared" si="1"/>
        <v>-24410</v>
      </c>
      <c r="G14" s="372">
        <f t="shared" si="1"/>
        <v>0</v>
      </c>
      <c r="H14" s="372">
        <f t="shared" si="1"/>
        <v>0</v>
      </c>
      <c r="I14" s="372">
        <f t="shared" si="1"/>
        <v>0</v>
      </c>
      <c r="J14" s="372">
        <f t="shared" si="1"/>
        <v>-4784</v>
      </c>
      <c r="K14" s="372">
        <f t="shared" si="1"/>
        <v>0</v>
      </c>
      <c r="L14" s="372">
        <f t="shared" si="1"/>
        <v>0</v>
      </c>
      <c r="M14" s="372">
        <f t="shared" si="1"/>
        <v>0</v>
      </c>
      <c r="N14" s="373">
        <f t="shared" si="1"/>
        <v>-157973</v>
      </c>
      <c r="O14" s="352" t="s">
        <v>68</v>
      </c>
    </row>
    <row r="15" spans="1:22" ht="18" x14ac:dyDescent="0.25">
      <c r="O15" s="352"/>
    </row>
    <row r="16" spans="1:22" ht="33.75" hidden="1" customHeight="1" x14ac:dyDescent="0.25">
      <c r="A16" s="598" t="s">
        <v>49</v>
      </c>
      <c r="B16" s="600" t="s">
        <v>173</v>
      </c>
      <c r="C16" s="602" t="s">
        <v>120</v>
      </c>
      <c r="D16" s="602"/>
      <c r="E16" s="602"/>
      <c r="F16" s="602"/>
      <c r="G16" s="602" t="s">
        <v>121</v>
      </c>
      <c r="H16" s="602"/>
      <c r="I16" s="602"/>
      <c r="J16" s="605"/>
      <c r="K16" s="358"/>
      <c r="L16" s="358"/>
      <c r="M16" s="358"/>
      <c r="N16" s="359"/>
      <c r="O16" s="352" t="s">
        <v>67</v>
      </c>
    </row>
    <row r="17" spans="1:15" ht="28.5" hidden="1" x14ac:dyDescent="0.25">
      <c r="A17" s="599"/>
      <c r="B17" s="601"/>
      <c r="C17" s="360" t="s">
        <v>110</v>
      </c>
      <c r="D17" s="360" t="s">
        <v>209</v>
      </c>
      <c r="E17" s="360" t="s">
        <v>119</v>
      </c>
      <c r="F17" s="360" t="s">
        <v>11</v>
      </c>
      <c r="G17" s="360" t="s">
        <v>110</v>
      </c>
      <c r="H17" s="360" t="s">
        <v>209</v>
      </c>
      <c r="I17" s="360" t="s">
        <v>119</v>
      </c>
      <c r="J17" s="361" t="s">
        <v>11</v>
      </c>
      <c r="K17" s="362"/>
      <c r="L17" s="362"/>
      <c r="M17" s="362"/>
      <c r="N17" s="359"/>
      <c r="O17" s="352" t="s">
        <v>67</v>
      </c>
    </row>
    <row r="18" spans="1:15" ht="18" hidden="1" x14ac:dyDescent="0.25">
      <c r="A18" s="380" t="s">
        <v>75</v>
      </c>
      <c r="B18" s="377" t="s">
        <v>80</v>
      </c>
      <c r="C18" s="363">
        <v>0</v>
      </c>
      <c r="D18" s="363">
        <v>0</v>
      </c>
      <c r="E18" s="363">
        <v>0</v>
      </c>
      <c r="F18" s="363">
        <v>0</v>
      </c>
      <c r="G18" s="363">
        <v>0</v>
      </c>
      <c r="H18" s="363">
        <v>0</v>
      </c>
      <c r="I18" s="363">
        <v>0</v>
      </c>
      <c r="J18" s="364">
        <v>0</v>
      </c>
      <c r="K18" s="365"/>
      <c r="L18" s="365"/>
      <c r="M18" s="365"/>
      <c r="N18" s="365"/>
      <c r="O18" s="352" t="s">
        <v>67</v>
      </c>
    </row>
    <row r="19" spans="1:15" ht="18" hidden="1" x14ac:dyDescent="0.25">
      <c r="A19" s="381" t="s">
        <v>134</v>
      </c>
      <c r="B19" s="378" t="s">
        <v>81</v>
      </c>
      <c r="C19" s="366">
        <v>0</v>
      </c>
      <c r="D19" s="366">
        <v>0</v>
      </c>
      <c r="E19" s="366">
        <v>0</v>
      </c>
      <c r="F19" s="366">
        <v>0</v>
      </c>
      <c r="G19" s="366">
        <v>0</v>
      </c>
      <c r="H19" s="366">
        <v>0</v>
      </c>
      <c r="I19" s="366">
        <v>0</v>
      </c>
      <c r="J19" s="367">
        <v>0</v>
      </c>
      <c r="K19" s="365"/>
      <c r="L19" s="365"/>
      <c r="M19" s="365"/>
      <c r="N19" s="365"/>
      <c r="O19" s="352" t="s">
        <v>67</v>
      </c>
    </row>
    <row r="20" spans="1:15" ht="18" hidden="1" x14ac:dyDescent="0.25">
      <c r="A20" s="381" t="s">
        <v>210</v>
      </c>
      <c r="B20" s="378" t="s">
        <v>172</v>
      </c>
      <c r="C20" s="366">
        <v>0</v>
      </c>
      <c r="D20" s="366">
        <v>0</v>
      </c>
      <c r="E20" s="366">
        <v>0</v>
      </c>
      <c r="F20" s="366">
        <v>0</v>
      </c>
      <c r="G20" s="366">
        <v>0</v>
      </c>
      <c r="H20" s="366">
        <v>0</v>
      </c>
      <c r="I20" s="366">
        <v>0</v>
      </c>
      <c r="J20" s="367">
        <v>0</v>
      </c>
      <c r="K20" s="365"/>
      <c r="L20" s="365"/>
      <c r="M20" s="365"/>
      <c r="N20" s="365"/>
      <c r="O20" s="352" t="s">
        <v>67</v>
      </c>
    </row>
    <row r="21" spans="1:15" ht="18" hidden="1" x14ac:dyDescent="0.25">
      <c r="A21" s="382" t="s">
        <v>211</v>
      </c>
      <c r="B21" s="379" t="s">
        <v>171</v>
      </c>
      <c r="C21" s="368">
        <v>0</v>
      </c>
      <c r="D21" s="368">
        <v>0</v>
      </c>
      <c r="E21" s="368">
        <v>0</v>
      </c>
      <c r="F21" s="368">
        <v>0</v>
      </c>
      <c r="G21" s="368">
        <v>0</v>
      </c>
      <c r="H21" s="368">
        <v>0</v>
      </c>
      <c r="I21" s="368">
        <v>0</v>
      </c>
      <c r="J21" s="369">
        <v>0</v>
      </c>
      <c r="K21" s="365"/>
      <c r="L21" s="365"/>
      <c r="M21" s="365"/>
      <c r="N21" s="365"/>
      <c r="O21" s="352" t="s">
        <v>67</v>
      </c>
    </row>
    <row r="22" spans="1:15" ht="18.75" hidden="1" thickBot="1" x14ac:dyDescent="0.3">
      <c r="A22" s="370" t="s">
        <v>170</v>
      </c>
      <c r="B22" s="371"/>
      <c r="C22" s="372">
        <f>SUM(C18:C21)</f>
        <v>0</v>
      </c>
      <c r="D22" s="372">
        <f>SUM(D18:D21)</f>
        <v>0</v>
      </c>
      <c r="E22" s="372">
        <f t="shared" ref="E22:F22" si="2">SUM(E18:E21)</f>
        <v>0</v>
      </c>
      <c r="F22" s="372">
        <f t="shared" si="2"/>
        <v>0</v>
      </c>
      <c r="G22" s="372">
        <f>SUM(G18:G21)</f>
        <v>0</v>
      </c>
      <c r="H22" s="372">
        <f>SUM(H18:H21)</f>
        <v>0</v>
      </c>
      <c r="I22" s="372">
        <f t="shared" ref="I22:J22" si="3">SUM(I18:I21)</f>
        <v>0</v>
      </c>
      <c r="J22" s="373">
        <f t="shared" si="3"/>
        <v>0</v>
      </c>
      <c r="K22" s="374"/>
      <c r="L22" s="374"/>
      <c r="M22" s="374"/>
      <c r="N22" s="374"/>
      <c r="O22" s="352" t="s">
        <v>67</v>
      </c>
    </row>
    <row r="23" spans="1:15" ht="18.75" hidden="1" thickBot="1" x14ac:dyDescent="0.3">
      <c r="O23" s="352" t="s">
        <v>67</v>
      </c>
    </row>
    <row r="24" spans="1:15" ht="33.75" hidden="1" customHeight="1" x14ac:dyDescent="0.25">
      <c r="A24" s="598" t="s">
        <v>49</v>
      </c>
      <c r="B24" s="600" t="s">
        <v>173</v>
      </c>
      <c r="C24" s="602" t="s">
        <v>64</v>
      </c>
      <c r="D24" s="602"/>
      <c r="E24" s="602"/>
      <c r="F24" s="602"/>
      <c r="G24" s="603" t="s">
        <v>96</v>
      </c>
      <c r="H24" s="602"/>
      <c r="I24" s="602"/>
      <c r="J24" s="602"/>
      <c r="K24" s="604" t="s">
        <v>13</v>
      </c>
      <c r="L24" s="596"/>
      <c r="M24" s="596"/>
      <c r="N24" s="596"/>
      <c r="O24" s="352" t="s">
        <v>67</v>
      </c>
    </row>
    <row r="25" spans="1:15" ht="28.5" hidden="1" x14ac:dyDescent="0.25">
      <c r="A25" s="599"/>
      <c r="B25" s="601"/>
      <c r="C25" s="360" t="s">
        <v>110</v>
      </c>
      <c r="D25" s="360" t="s">
        <v>209</v>
      </c>
      <c r="E25" s="360" t="s">
        <v>119</v>
      </c>
      <c r="F25" s="360" t="s">
        <v>11</v>
      </c>
      <c r="G25" s="360" t="s">
        <v>110</v>
      </c>
      <c r="H25" s="360" t="s">
        <v>209</v>
      </c>
      <c r="I25" s="360" t="s">
        <v>119</v>
      </c>
      <c r="J25" s="360" t="s">
        <v>11</v>
      </c>
      <c r="K25" s="360" t="s">
        <v>110</v>
      </c>
      <c r="L25" s="360" t="s">
        <v>209</v>
      </c>
      <c r="M25" s="360" t="s">
        <v>119</v>
      </c>
      <c r="N25" s="360" t="s">
        <v>11</v>
      </c>
      <c r="O25" s="352" t="s">
        <v>67</v>
      </c>
    </row>
    <row r="26" spans="1:15" ht="18" hidden="1" x14ac:dyDescent="0.25">
      <c r="A26" s="380" t="s">
        <v>75</v>
      </c>
      <c r="B26" s="377" t="s">
        <v>80</v>
      </c>
      <c r="C26" s="363">
        <v>0</v>
      </c>
      <c r="D26" s="363">
        <v>0</v>
      </c>
      <c r="E26" s="363">
        <v>0</v>
      </c>
      <c r="F26" s="363">
        <v>0</v>
      </c>
      <c r="G26" s="363">
        <v>0</v>
      </c>
      <c r="H26" s="363">
        <v>0</v>
      </c>
      <c r="I26" s="363">
        <v>0</v>
      </c>
      <c r="J26" s="363">
        <v>0</v>
      </c>
      <c r="K26" s="363">
        <f>C18+G18+C26+G26</f>
        <v>0</v>
      </c>
      <c r="L26" s="363">
        <f>D18+H18+D26+H26</f>
        <v>0</v>
      </c>
      <c r="M26" s="363">
        <f>E18+I18+E26+I26</f>
        <v>0</v>
      </c>
      <c r="N26" s="363">
        <f t="shared" ref="N26:N29" si="4">F18+J18+F26+J26</f>
        <v>0</v>
      </c>
      <c r="O26" s="352" t="s">
        <v>67</v>
      </c>
    </row>
    <row r="27" spans="1:15" ht="18" hidden="1" x14ac:dyDescent="0.25">
      <c r="A27" s="381" t="s">
        <v>134</v>
      </c>
      <c r="B27" s="378" t="s">
        <v>81</v>
      </c>
      <c r="C27" s="366">
        <v>0</v>
      </c>
      <c r="D27" s="366">
        <v>0</v>
      </c>
      <c r="E27" s="366">
        <v>0</v>
      </c>
      <c r="F27" s="366">
        <v>0</v>
      </c>
      <c r="G27" s="366">
        <v>0</v>
      </c>
      <c r="H27" s="366">
        <v>0</v>
      </c>
      <c r="I27" s="366">
        <v>0</v>
      </c>
      <c r="J27" s="366">
        <v>0</v>
      </c>
      <c r="K27" s="366">
        <f t="shared" ref="K27:M29" si="5">C19+G19+C27+G27</f>
        <v>0</v>
      </c>
      <c r="L27" s="366">
        <f t="shared" si="5"/>
        <v>0</v>
      </c>
      <c r="M27" s="366">
        <f t="shared" si="5"/>
        <v>0</v>
      </c>
      <c r="N27" s="366">
        <f t="shared" si="4"/>
        <v>0</v>
      </c>
      <c r="O27" s="352" t="s">
        <v>67</v>
      </c>
    </row>
    <row r="28" spans="1:15" ht="18" hidden="1" x14ac:dyDescent="0.25">
      <c r="A28" s="381" t="s">
        <v>135</v>
      </c>
      <c r="B28" s="378" t="s">
        <v>172</v>
      </c>
      <c r="C28" s="366">
        <v>0</v>
      </c>
      <c r="D28" s="366">
        <v>0</v>
      </c>
      <c r="E28" s="366">
        <v>0</v>
      </c>
      <c r="F28" s="366">
        <v>0</v>
      </c>
      <c r="G28" s="366">
        <v>0</v>
      </c>
      <c r="H28" s="366">
        <v>0</v>
      </c>
      <c r="I28" s="366">
        <v>0</v>
      </c>
      <c r="J28" s="366">
        <v>0</v>
      </c>
      <c r="K28" s="366">
        <f t="shared" si="5"/>
        <v>0</v>
      </c>
      <c r="L28" s="366">
        <f t="shared" si="5"/>
        <v>0</v>
      </c>
      <c r="M28" s="366">
        <f t="shared" si="5"/>
        <v>0</v>
      </c>
      <c r="N28" s="366">
        <f t="shared" si="4"/>
        <v>0</v>
      </c>
      <c r="O28" s="352" t="s">
        <v>67</v>
      </c>
    </row>
    <row r="29" spans="1:15" ht="18" hidden="1" x14ac:dyDescent="0.25">
      <c r="A29" s="382" t="s">
        <v>155</v>
      </c>
      <c r="B29" s="379" t="s">
        <v>171</v>
      </c>
      <c r="C29" s="368">
        <v>0</v>
      </c>
      <c r="D29" s="368">
        <v>0</v>
      </c>
      <c r="E29" s="368">
        <v>0</v>
      </c>
      <c r="F29" s="368">
        <v>0</v>
      </c>
      <c r="G29" s="368">
        <v>0</v>
      </c>
      <c r="H29" s="368">
        <v>0</v>
      </c>
      <c r="I29" s="368">
        <v>0</v>
      </c>
      <c r="J29" s="368">
        <v>0</v>
      </c>
      <c r="K29" s="368">
        <f t="shared" si="5"/>
        <v>0</v>
      </c>
      <c r="L29" s="368">
        <f t="shared" si="5"/>
        <v>0</v>
      </c>
      <c r="M29" s="368">
        <f t="shared" si="5"/>
        <v>0</v>
      </c>
      <c r="N29" s="368">
        <f t="shared" si="4"/>
        <v>0</v>
      </c>
      <c r="O29" s="352" t="s">
        <v>67</v>
      </c>
    </row>
    <row r="30" spans="1:15" ht="18.75" hidden="1" thickBot="1" x14ac:dyDescent="0.3">
      <c r="A30" s="370" t="s">
        <v>170</v>
      </c>
      <c r="B30" s="371"/>
      <c r="C30" s="372">
        <f>SUM(C26:C29)</f>
        <v>0</v>
      </c>
      <c r="D30" s="372">
        <f>SUM(D26:D29)</f>
        <v>0</v>
      </c>
      <c r="E30" s="372">
        <f t="shared" ref="E30:F30" si="6">SUM(E26:E29)</f>
        <v>0</v>
      </c>
      <c r="F30" s="372">
        <f t="shared" si="6"/>
        <v>0</v>
      </c>
      <c r="G30" s="372">
        <f>SUM(G26:G29)</f>
        <v>0</v>
      </c>
      <c r="H30" s="372">
        <f>SUM(H26:H29)</f>
        <v>0</v>
      </c>
      <c r="I30" s="372">
        <f t="shared" ref="I30:J30" si="7">SUM(I26:I29)</f>
        <v>0</v>
      </c>
      <c r="J30" s="372">
        <f t="shared" si="7"/>
        <v>0</v>
      </c>
      <c r="K30" s="372">
        <f>SUM(K26:K29)</f>
        <v>0</v>
      </c>
      <c r="L30" s="372">
        <f t="shared" ref="L30:N30" si="8">SUM(L26:L29)</f>
        <v>0</v>
      </c>
      <c r="M30" s="372">
        <f t="shared" si="8"/>
        <v>0</v>
      </c>
      <c r="N30" s="372">
        <f t="shared" si="8"/>
        <v>0</v>
      </c>
      <c r="O30" s="352" t="s">
        <v>67</v>
      </c>
    </row>
    <row r="32" spans="1:15" x14ac:dyDescent="0.2">
      <c r="B32" s="376"/>
    </row>
  </sheetData>
  <mergeCells count="23">
    <mergeCell ref="A6:A7"/>
    <mergeCell ref="B6:B7"/>
    <mergeCell ref="C6:F6"/>
    <mergeCell ref="G6:J6"/>
    <mergeCell ref="A11:A12"/>
    <mergeCell ref="B11:B12"/>
    <mergeCell ref="C11:F11"/>
    <mergeCell ref="G11:J11"/>
    <mergeCell ref="A1:N1"/>
    <mergeCell ref="A2:N2"/>
    <mergeCell ref="A3:N3"/>
    <mergeCell ref="A4:N4"/>
    <mergeCell ref="A5:N5"/>
    <mergeCell ref="K11:N11"/>
    <mergeCell ref="A24:A25"/>
    <mergeCell ref="B24:B25"/>
    <mergeCell ref="C24:F24"/>
    <mergeCell ref="G24:J24"/>
    <mergeCell ref="K24:N24"/>
    <mergeCell ref="A16:A17"/>
    <mergeCell ref="B16:B17"/>
    <mergeCell ref="C16:F16"/>
    <mergeCell ref="G16:J16"/>
  </mergeCells>
  <printOptions horizontalCentered="1"/>
  <pageMargins left="0.7" right="0.7" top="1.41" bottom="0.65" header="1.05" footer="0.3"/>
  <pageSetup scale="63" orientation="landscape" r:id="rId1"/>
  <headerFooter>
    <oddHeader xml:space="preserve">&amp;L&amp;"Arial,Bold"C. Program Changes by Decision Unit
</oddHeader>
    <oddFooter>&amp;CExhibit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view="pageBreakPreview" topLeftCell="B1" zoomScaleNormal="75" zoomScaleSheetLayoutView="100" workbookViewId="0">
      <selection activeCell="B11" sqref="A11:XFD11"/>
    </sheetView>
  </sheetViews>
  <sheetFormatPr defaultRowHeight="14.25" x14ac:dyDescent="0.2"/>
  <cols>
    <col min="1" max="1" width="5.77734375" style="218" bestFit="1" customWidth="1"/>
    <col min="2" max="2" width="45.21875" style="218" customWidth="1"/>
    <col min="3" max="3" width="6.77734375" style="218" customWidth="1"/>
    <col min="4" max="4" width="9.88671875" style="218" customWidth="1"/>
    <col min="5" max="5" width="6.77734375" style="218" customWidth="1"/>
    <col min="6" max="6" width="9.88671875" style="218" customWidth="1"/>
    <col min="7" max="7" width="6.77734375" style="218" customWidth="1"/>
    <col min="8" max="8" width="9.88671875" style="218" customWidth="1"/>
    <col min="9" max="9" width="6.77734375" style="218" customWidth="1"/>
    <col min="10" max="10" width="9.88671875" style="218" customWidth="1"/>
    <col min="11" max="11" width="6.77734375" style="218" customWidth="1"/>
    <col min="12" max="12" width="9.88671875" style="218" customWidth="1"/>
    <col min="13" max="13" width="6.77734375" style="218" customWidth="1"/>
    <col min="14" max="14" width="9.88671875" style="218" customWidth="1"/>
    <col min="15" max="15" width="10.88671875" style="219" bestFit="1" customWidth="1"/>
    <col min="16" max="16" width="3.5546875" style="218" customWidth="1"/>
    <col min="17" max="18" width="6.44140625" style="218" customWidth="1"/>
    <col min="19" max="19" width="9.88671875" style="218" customWidth="1"/>
    <col min="20" max="21" width="6.44140625" style="218" customWidth="1"/>
    <col min="22" max="22" width="9.88671875" style="218" customWidth="1"/>
    <col min="23" max="16384" width="8.88671875" style="218"/>
  </cols>
  <sheetData>
    <row r="1" spans="1:22" ht="18" x14ac:dyDescent="0.25">
      <c r="A1" s="612" t="s">
        <v>101</v>
      </c>
      <c r="B1" s="612"/>
      <c r="C1" s="612"/>
      <c r="D1" s="612"/>
      <c r="E1" s="612"/>
      <c r="F1" s="612"/>
      <c r="G1" s="612"/>
      <c r="H1" s="612"/>
      <c r="I1" s="612"/>
      <c r="J1" s="612"/>
      <c r="K1" s="612"/>
      <c r="L1" s="612"/>
      <c r="M1" s="612"/>
      <c r="N1" s="612"/>
      <c r="O1" s="221" t="s">
        <v>67</v>
      </c>
      <c r="P1" s="243"/>
      <c r="Q1" s="243"/>
      <c r="R1" s="243"/>
      <c r="S1" s="243"/>
      <c r="T1" s="243"/>
      <c r="U1" s="243"/>
      <c r="V1" s="243"/>
    </row>
    <row r="2" spans="1:22" ht="15" x14ac:dyDescent="0.2">
      <c r="A2" s="613" t="s">
        <v>16</v>
      </c>
      <c r="B2" s="613"/>
      <c r="C2" s="613"/>
      <c r="D2" s="613"/>
      <c r="E2" s="613"/>
      <c r="F2" s="613"/>
      <c r="G2" s="613"/>
      <c r="H2" s="613"/>
      <c r="I2" s="613"/>
      <c r="J2" s="613"/>
      <c r="K2" s="613"/>
      <c r="L2" s="613"/>
      <c r="M2" s="613"/>
      <c r="N2" s="613"/>
      <c r="O2" s="221" t="s">
        <v>67</v>
      </c>
      <c r="P2" s="242"/>
      <c r="Q2" s="242"/>
      <c r="R2" s="242"/>
      <c r="S2" s="242"/>
      <c r="T2" s="242"/>
      <c r="U2" s="242"/>
      <c r="V2" s="242"/>
    </row>
    <row r="3" spans="1:22" x14ac:dyDescent="0.2">
      <c r="A3" s="614" t="s">
        <v>17</v>
      </c>
      <c r="B3" s="614"/>
      <c r="C3" s="614"/>
      <c r="D3" s="614"/>
      <c r="E3" s="614"/>
      <c r="F3" s="614"/>
      <c r="G3" s="614"/>
      <c r="H3" s="614"/>
      <c r="I3" s="614"/>
      <c r="J3" s="614"/>
      <c r="K3" s="614"/>
      <c r="L3" s="614"/>
      <c r="M3" s="614"/>
      <c r="N3" s="614"/>
      <c r="O3" s="221" t="s">
        <v>67</v>
      </c>
      <c r="P3" s="241"/>
      <c r="Q3" s="241"/>
      <c r="R3" s="241"/>
      <c r="S3" s="241"/>
      <c r="T3" s="241"/>
      <c r="U3" s="241"/>
      <c r="V3" s="241"/>
    </row>
    <row r="4" spans="1:22" x14ac:dyDescent="0.2">
      <c r="A4" s="615" t="s">
        <v>39</v>
      </c>
      <c r="B4" s="615"/>
      <c r="C4" s="615"/>
      <c r="D4" s="615"/>
      <c r="E4" s="615"/>
      <c r="F4" s="615"/>
      <c r="G4" s="615"/>
      <c r="H4" s="615"/>
      <c r="I4" s="615"/>
      <c r="J4" s="615"/>
      <c r="K4" s="615"/>
      <c r="L4" s="615"/>
      <c r="M4" s="615"/>
      <c r="N4" s="615"/>
      <c r="O4" s="221" t="s">
        <v>67</v>
      </c>
      <c r="P4" s="240"/>
      <c r="Q4" s="240"/>
      <c r="R4" s="240"/>
      <c r="S4" s="240"/>
      <c r="T4" s="240"/>
      <c r="U4" s="240"/>
      <c r="V4" s="240"/>
    </row>
    <row r="5" spans="1:22" ht="15" thickBot="1" x14ac:dyDescent="0.25">
      <c r="A5" s="622"/>
      <c r="B5" s="622"/>
      <c r="C5" s="622"/>
      <c r="D5" s="622"/>
      <c r="E5" s="622"/>
      <c r="F5" s="622"/>
      <c r="G5" s="622"/>
      <c r="H5" s="622"/>
      <c r="I5" s="622"/>
      <c r="J5" s="622"/>
      <c r="K5" s="622"/>
      <c r="L5" s="622"/>
      <c r="M5" s="622"/>
      <c r="N5" s="622"/>
      <c r="O5" s="221" t="s">
        <v>67</v>
      </c>
      <c r="P5" s="240"/>
      <c r="Q5" s="240"/>
      <c r="R5" s="240"/>
      <c r="S5" s="240"/>
      <c r="T5" s="240"/>
      <c r="U5" s="240"/>
      <c r="V5" s="240"/>
    </row>
    <row r="6" spans="1:22" ht="60" customHeight="1" x14ac:dyDescent="0.2">
      <c r="A6" s="618" t="s">
        <v>102</v>
      </c>
      <c r="B6" s="619"/>
      <c r="C6" s="616" t="s">
        <v>230</v>
      </c>
      <c r="D6" s="616"/>
      <c r="E6" s="616" t="s">
        <v>253</v>
      </c>
      <c r="F6" s="616"/>
      <c r="G6" s="616" t="s">
        <v>218</v>
      </c>
      <c r="H6" s="616"/>
      <c r="I6" s="616" t="s">
        <v>219</v>
      </c>
      <c r="J6" s="616"/>
      <c r="K6" s="616" t="s">
        <v>220</v>
      </c>
      <c r="L6" s="616"/>
      <c r="M6" s="616" t="s">
        <v>221</v>
      </c>
      <c r="N6" s="617"/>
      <c r="O6" s="221" t="s">
        <v>67</v>
      </c>
    </row>
    <row r="7" spans="1:22" ht="42.75" x14ac:dyDescent="0.2">
      <c r="A7" s="620"/>
      <c r="B7" s="621"/>
      <c r="C7" s="239" t="s">
        <v>163</v>
      </c>
      <c r="D7" s="239" t="s">
        <v>162</v>
      </c>
      <c r="E7" s="239" t="s">
        <v>163</v>
      </c>
      <c r="F7" s="239" t="s">
        <v>162</v>
      </c>
      <c r="G7" s="239" t="s">
        <v>163</v>
      </c>
      <c r="H7" s="239" t="s">
        <v>162</v>
      </c>
      <c r="I7" s="239" t="s">
        <v>163</v>
      </c>
      <c r="J7" s="239" t="s">
        <v>162</v>
      </c>
      <c r="K7" s="239" t="s">
        <v>163</v>
      </c>
      <c r="L7" s="239" t="s">
        <v>162</v>
      </c>
      <c r="M7" s="239" t="s">
        <v>163</v>
      </c>
      <c r="N7" s="238" t="s">
        <v>162</v>
      </c>
      <c r="O7" s="221" t="s">
        <v>67</v>
      </c>
    </row>
    <row r="8" spans="1:22" ht="45" x14ac:dyDescent="0.2">
      <c r="A8" s="237" t="s">
        <v>161</v>
      </c>
      <c r="B8" s="236" t="s">
        <v>160</v>
      </c>
      <c r="C8" s="235"/>
      <c r="D8" s="235"/>
      <c r="E8" s="235"/>
      <c r="F8" s="235"/>
      <c r="G8" s="235"/>
      <c r="H8" s="235"/>
      <c r="I8" s="235"/>
      <c r="J8" s="235"/>
      <c r="K8" s="235"/>
      <c r="L8" s="235"/>
      <c r="M8" s="235"/>
      <c r="N8" s="234"/>
      <c r="O8" s="221" t="s">
        <v>67</v>
      </c>
    </row>
    <row r="9" spans="1:22" ht="51.75" customHeight="1" x14ac:dyDescent="0.2">
      <c r="A9" s="233">
        <v>3.3</v>
      </c>
      <c r="B9" s="232" t="s">
        <v>337</v>
      </c>
      <c r="C9" s="231">
        <f>35896-C10</f>
        <v>33355</v>
      </c>
      <c r="D9" s="231">
        <f>6349248-D10</f>
        <v>5696263</v>
      </c>
      <c r="E9" s="231">
        <f>37172-E10</f>
        <v>34520</v>
      </c>
      <c r="F9" s="231">
        <f>6769000-F10</f>
        <v>6069075</v>
      </c>
      <c r="G9" s="231">
        <v>34520</v>
      </c>
      <c r="H9" s="231">
        <f>6961973-H10</f>
        <v>6255491</v>
      </c>
      <c r="I9" s="231">
        <v>0</v>
      </c>
      <c r="J9" s="231">
        <v>0</v>
      </c>
      <c r="K9" s="231">
        <v>0</v>
      </c>
      <c r="L9" s="231">
        <f>-157973-L10</f>
        <v>-144562</v>
      </c>
      <c r="M9" s="231">
        <f>G9+I9+K9</f>
        <v>34520</v>
      </c>
      <c r="N9" s="230">
        <f>6804000-N10</f>
        <v>6110929</v>
      </c>
      <c r="O9" s="221" t="s">
        <v>67</v>
      </c>
    </row>
    <row r="10" spans="1:22" ht="57" x14ac:dyDescent="0.2">
      <c r="A10" s="233">
        <v>3.4</v>
      </c>
      <c r="B10" s="506" t="s">
        <v>338</v>
      </c>
      <c r="C10" s="231">
        <f>1076+336+493+36+600</f>
        <v>2541</v>
      </c>
      <c r="D10" s="231">
        <f>95452+137061+45588+60334+314550</f>
        <v>652985</v>
      </c>
      <c r="E10" s="231">
        <f>660+1110+504+36+342</f>
        <v>2652</v>
      </c>
      <c r="F10" s="402">
        <f>115452+143640+66536+323235+51062</f>
        <v>699925</v>
      </c>
      <c r="G10" s="231">
        <v>2652</v>
      </c>
      <c r="H10" s="402">
        <f>115452+147021+52306+68322+323381</f>
        <v>706482</v>
      </c>
      <c r="I10" s="231">
        <v>0</v>
      </c>
      <c r="J10" s="231">
        <v>0</v>
      </c>
      <c r="K10" s="231">
        <v>0</v>
      </c>
      <c r="L10" s="231">
        <v>-13411</v>
      </c>
      <c r="M10" s="231">
        <f>G10+I10+K10</f>
        <v>2652</v>
      </c>
      <c r="N10" s="230">
        <f t="shared" ref="N10" si="0">H10+J10+L10</f>
        <v>693071</v>
      </c>
      <c r="O10" s="221" t="s">
        <v>67</v>
      </c>
    </row>
    <row r="11" spans="1:22" ht="15" x14ac:dyDescent="0.25">
      <c r="A11" s="229"/>
      <c r="B11" s="228" t="s">
        <v>46</v>
      </c>
      <c r="C11" s="227" t="s">
        <v>46</v>
      </c>
      <c r="D11" s="227" t="s">
        <v>46</v>
      </c>
      <c r="E11" s="227" t="s">
        <v>46</v>
      </c>
      <c r="F11" s="227" t="s">
        <v>46</v>
      </c>
      <c r="G11" s="227" t="s">
        <v>46</v>
      </c>
      <c r="H11" s="227" t="s">
        <v>46</v>
      </c>
      <c r="I11" s="227" t="s">
        <v>46</v>
      </c>
      <c r="J11" s="227" t="s">
        <v>46</v>
      </c>
      <c r="K11" s="227" t="s">
        <v>46</v>
      </c>
      <c r="L11" s="227" t="s">
        <v>46</v>
      </c>
      <c r="M11" s="227" t="s">
        <v>46</v>
      </c>
      <c r="N11" s="226" t="s">
        <v>46</v>
      </c>
      <c r="O11" s="221" t="s">
        <v>67</v>
      </c>
    </row>
    <row r="12" spans="1:22" ht="15.75" thickBot="1" x14ac:dyDescent="0.3">
      <c r="A12" s="225"/>
      <c r="B12" s="224" t="s">
        <v>159</v>
      </c>
      <c r="C12" s="223">
        <f t="shared" ref="C12:N12" si="1">+C9+C10</f>
        <v>35896</v>
      </c>
      <c r="D12" s="223">
        <f t="shared" si="1"/>
        <v>6349248</v>
      </c>
      <c r="E12" s="223">
        <f t="shared" si="1"/>
        <v>37172</v>
      </c>
      <c r="F12" s="223">
        <f t="shared" si="1"/>
        <v>6769000</v>
      </c>
      <c r="G12" s="223">
        <f t="shared" si="1"/>
        <v>37172</v>
      </c>
      <c r="H12" s="223">
        <f t="shared" si="1"/>
        <v>6961973</v>
      </c>
      <c r="I12" s="223">
        <f t="shared" si="1"/>
        <v>0</v>
      </c>
      <c r="J12" s="223">
        <f t="shared" si="1"/>
        <v>0</v>
      </c>
      <c r="K12" s="223">
        <f t="shared" si="1"/>
        <v>0</v>
      </c>
      <c r="L12" s="223">
        <f t="shared" si="1"/>
        <v>-157973</v>
      </c>
      <c r="M12" s="223">
        <f t="shared" si="1"/>
        <v>37172</v>
      </c>
      <c r="N12" s="222">
        <f t="shared" si="1"/>
        <v>6804000</v>
      </c>
      <c r="O12" s="221" t="s">
        <v>68</v>
      </c>
    </row>
    <row r="13" spans="1:22" x14ac:dyDescent="0.2">
      <c r="A13" s="220"/>
      <c r="O13" s="218"/>
    </row>
    <row r="16" spans="1:22" x14ac:dyDescent="0.2">
      <c r="C16" s="469" t="s">
        <v>46</v>
      </c>
    </row>
  </sheetData>
  <mergeCells count="12">
    <mergeCell ref="A1:N1"/>
    <mergeCell ref="A2:N2"/>
    <mergeCell ref="A3:N3"/>
    <mergeCell ref="A4:N4"/>
    <mergeCell ref="M6:N6"/>
    <mergeCell ref="A6:B7"/>
    <mergeCell ref="A5:N5"/>
    <mergeCell ref="C6:D6"/>
    <mergeCell ref="E6:F6"/>
    <mergeCell ref="G6:H6"/>
    <mergeCell ref="I6:J6"/>
    <mergeCell ref="K6:L6"/>
  </mergeCells>
  <printOptions horizontalCentered="1"/>
  <pageMargins left="0.7" right="0.7" top="1.25" bottom="0.75" header="1.05" footer="0.3"/>
  <pageSetup scale="67" orientation="landscape" r:id="rId1"/>
  <headerFooter>
    <oddHeader>&amp;L&amp;"Arial,Bold"D. Resources by DOJ Strategic Goal/Objective</oddHeader>
    <oddFooter>&amp;CExhibit D - Resources by DOJ Strategic Goal/Objective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view="pageBreakPreview" zoomScaleNormal="120" zoomScaleSheetLayoutView="100" workbookViewId="0">
      <selection activeCell="B20" sqref="B20:D20"/>
    </sheetView>
  </sheetViews>
  <sheetFormatPr defaultRowHeight="14.25" x14ac:dyDescent="0.2"/>
  <cols>
    <col min="1" max="1" width="2.88671875" style="79" customWidth="1"/>
    <col min="2" max="2" width="55.33203125" style="79" customWidth="1"/>
    <col min="3" max="4" width="11.44140625" style="79" customWidth="1"/>
    <col min="5" max="6" width="6.77734375" style="79" customWidth="1"/>
    <col min="7" max="7" width="9.88671875" style="79" customWidth="1"/>
    <col min="8" max="8" width="10.88671875" style="157" customWidth="1"/>
    <col min="9" max="9" width="3.5546875" style="79" customWidth="1"/>
    <col min="10" max="10" width="10.33203125" style="144" customWidth="1"/>
    <col min="11" max="12" width="6.44140625" style="79" customWidth="1"/>
    <col min="13" max="13" width="9.88671875" style="79" customWidth="1"/>
    <col min="14" max="15" width="6.44140625" style="79" customWidth="1"/>
    <col min="16" max="16" width="9.88671875" style="79" customWidth="1"/>
    <col min="17" max="16384" width="8.88671875" style="79"/>
  </cols>
  <sheetData>
    <row r="1" spans="1:16" ht="18" x14ac:dyDescent="0.25">
      <c r="A1" s="623" t="s">
        <v>130</v>
      </c>
      <c r="B1" s="623"/>
      <c r="C1" s="623"/>
      <c r="D1" s="623"/>
      <c r="E1" s="623"/>
      <c r="F1" s="623"/>
      <c r="G1" s="623"/>
      <c r="H1" s="141" t="s">
        <v>67</v>
      </c>
      <c r="I1" s="136"/>
      <c r="J1" s="130"/>
      <c r="K1" s="109"/>
      <c r="L1" s="109"/>
      <c r="M1" s="109"/>
      <c r="N1" s="109"/>
      <c r="O1" s="109"/>
      <c r="P1" s="109"/>
    </row>
    <row r="2" spans="1:16" ht="15" x14ac:dyDescent="0.2">
      <c r="A2" s="588" t="s">
        <v>16</v>
      </c>
      <c r="B2" s="588"/>
      <c r="C2" s="588"/>
      <c r="D2" s="588"/>
      <c r="E2" s="588"/>
      <c r="F2" s="588"/>
      <c r="G2" s="588"/>
      <c r="H2" s="141" t="s">
        <v>67</v>
      </c>
      <c r="I2" s="137"/>
      <c r="J2" s="132"/>
      <c r="K2" s="110"/>
      <c r="L2" s="110"/>
      <c r="M2" s="110"/>
      <c r="N2" s="110"/>
      <c r="O2" s="110"/>
      <c r="P2" s="110"/>
    </row>
    <row r="3" spans="1:16" x14ac:dyDescent="0.2">
      <c r="A3" s="624" t="s">
        <v>17</v>
      </c>
      <c r="B3" s="624"/>
      <c r="C3" s="624"/>
      <c r="D3" s="624"/>
      <c r="E3" s="624"/>
      <c r="F3" s="624"/>
      <c r="G3" s="624"/>
      <c r="H3" s="141" t="s">
        <v>67</v>
      </c>
      <c r="I3" s="138"/>
      <c r="J3" s="132"/>
      <c r="K3" s="111"/>
      <c r="L3" s="111"/>
      <c r="M3" s="111"/>
      <c r="N3" s="111"/>
      <c r="O3" s="111"/>
      <c r="P3" s="111"/>
    </row>
    <row r="4" spans="1:16" ht="15" thickBot="1" x14ac:dyDescent="0.25">
      <c r="A4" s="625" t="s">
        <v>39</v>
      </c>
      <c r="B4" s="625"/>
      <c r="C4" s="625"/>
      <c r="D4" s="625"/>
      <c r="E4" s="625"/>
      <c r="F4" s="625"/>
      <c r="G4" s="625"/>
      <c r="H4" s="141" t="s">
        <v>67</v>
      </c>
      <c r="I4" s="139"/>
      <c r="J4" s="132"/>
      <c r="K4" s="112"/>
      <c r="L4" s="112"/>
      <c r="M4" s="112"/>
      <c r="N4" s="112"/>
      <c r="O4" s="112"/>
      <c r="P4" s="112"/>
    </row>
    <row r="5" spans="1:16" s="143" customFormat="1" ht="29.25" customHeight="1" thickBot="1" x14ac:dyDescent="0.25">
      <c r="A5" s="142"/>
      <c r="B5" s="142"/>
      <c r="C5" s="142"/>
      <c r="D5" s="142"/>
      <c r="E5" s="474" t="s">
        <v>110</v>
      </c>
      <c r="F5" s="472" t="s">
        <v>111</v>
      </c>
      <c r="G5" s="476" t="s">
        <v>11</v>
      </c>
      <c r="H5" s="141" t="s">
        <v>67</v>
      </c>
      <c r="I5" s="146"/>
      <c r="J5" s="158"/>
    </row>
    <row r="6" spans="1:16" s="143" customFormat="1" ht="12.75" x14ac:dyDescent="0.2">
      <c r="A6" s="153"/>
      <c r="B6" s="626" t="s">
        <v>113</v>
      </c>
      <c r="C6" s="626"/>
      <c r="D6" s="627"/>
      <c r="E6" s="471"/>
      <c r="F6" s="475"/>
      <c r="G6" s="473"/>
      <c r="H6" s="141" t="s">
        <v>67</v>
      </c>
      <c r="I6" s="146"/>
      <c r="J6" s="159"/>
    </row>
    <row r="7" spans="1:16" s="143" customFormat="1" ht="39.75" customHeight="1" x14ac:dyDescent="0.2">
      <c r="A7" s="145">
        <v>1</v>
      </c>
      <c r="B7" s="632" t="s">
        <v>288</v>
      </c>
      <c r="C7" s="632"/>
      <c r="D7" s="633"/>
      <c r="E7" s="151">
        <v>0</v>
      </c>
      <c r="F7" s="151">
        <v>0</v>
      </c>
      <c r="G7" s="152">
        <v>24181</v>
      </c>
      <c r="H7" s="141" t="s">
        <v>67</v>
      </c>
      <c r="I7" s="146"/>
      <c r="J7" s="159"/>
    </row>
    <row r="8" spans="1:16" s="143" customFormat="1" ht="56.25" customHeight="1" x14ac:dyDescent="0.2">
      <c r="A8" s="145">
        <v>2</v>
      </c>
      <c r="B8" s="632" t="s">
        <v>301</v>
      </c>
      <c r="C8" s="632"/>
      <c r="D8" s="633"/>
      <c r="E8" s="151">
        <v>0</v>
      </c>
      <c r="F8" s="151">
        <v>0</v>
      </c>
      <c r="G8" s="152">
        <v>7756</v>
      </c>
      <c r="H8" s="141" t="s">
        <v>67</v>
      </c>
      <c r="I8" s="146"/>
      <c r="J8" s="159"/>
    </row>
    <row r="9" spans="1:16" s="143" customFormat="1" ht="41.25" customHeight="1" x14ac:dyDescent="0.2">
      <c r="A9" s="145">
        <v>3</v>
      </c>
      <c r="B9" s="628" t="s">
        <v>240</v>
      </c>
      <c r="C9" s="628"/>
      <c r="D9" s="629"/>
      <c r="E9" s="151">
        <v>0</v>
      </c>
      <c r="F9" s="151">
        <v>0</v>
      </c>
      <c r="G9" s="152">
        <v>10301</v>
      </c>
      <c r="H9" s="141" t="s">
        <v>67</v>
      </c>
      <c r="I9" s="146"/>
      <c r="J9" s="159"/>
    </row>
    <row r="10" spans="1:16" s="143" customFormat="1" ht="47.25" customHeight="1" x14ac:dyDescent="0.2">
      <c r="A10" s="145">
        <v>4</v>
      </c>
      <c r="B10" s="632" t="s">
        <v>293</v>
      </c>
      <c r="C10" s="632"/>
      <c r="D10" s="633"/>
      <c r="E10" s="151">
        <v>0</v>
      </c>
      <c r="F10" s="151">
        <v>0</v>
      </c>
      <c r="G10" s="152">
        <v>65818</v>
      </c>
      <c r="H10" s="141" t="s">
        <v>67</v>
      </c>
      <c r="I10" s="146"/>
      <c r="J10" s="159"/>
    </row>
    <row r="11" spans="1:16" s="143" customFormat="1" ht="62.25" customHeight="1" x14ac:dyDescent="0.2">
      <c r="A11" s="145">
        <v>5</v>
      </c>
      <c r="B11" s="628" t="s">
        <v>281</v>
      </c>
      <c r="C11" s="628"/>
      <c r="D11" s="629"/>
      <c r="E11" s="151">
        <v>0</v>
      </c>
      <c r="F11" s="151">
        <v>0</v>
      </c>
      <c r="G11" s="152">
        <v>8918</v>
      </c>
      <c r="H11" s="141" t="s">
        <v>67</v>
      </c>
      <c r="I11" s="146"/>
      <c r="J11" s="159"/>
    </row>
    <row r="12" spans="1:16" s="143" customFormat="1" ht="12.75" x14ac:dyDescent="0.2">
      <c r="A12" s="147"/>
      <c r="B12" s="630" t="s">
        <v>107</v>
      </c>
      <c r="C12" s="630"/>
      <c r="D12" s="631"/>
      <c r="E12" s="148">
        <f>SUM(E9:E11)</f>
        <v>0</v>
      </c>
      <c r="F12" s="148">
        <f>SUM(F9:F11)</f>
        <v>0</v>
      </c>
      <c r="G12" s="149">
        <f>SUM(G7:G11)</f>
        <v>116974</v>
      </c>
      <c r="H12" s="141" t="s">
        <v>67</v>
      </c>
      <c r="I12" s="146"/>
      <c r="J12" s="158"/>
    </row>
    <row r="13" spans="1:16" s="143" customFormat="1" ht="12.75" x14ac:dyDescent="0.2">
      <c r="A13" s="153"/>
      <c r="B13" s="634" t="s">
        <v>114</v>
      </c>
      <c r="C13" s="634"/>
      <c r="D13" s="635"/>
      <c r="E13" s="154"/>
      <c r="F13" s="154"/>
      <c r="G13" s="150"/>
      <c r="H13" s="141" t="s">
        <v>67</v>
      </c>
      <c r="I13" s="146"/>
      <c r="J13" s="159"/>
    </row>
    <row r="14" spans="1:16" s="143" customFormat="1" ht="75" customHeight="1" x14ac:dyDescent="0.2">
      <c r="A14" s="145">
        <v>1</v>
      </c>
      <c r="B14" s="628" t="s">
        <v>289</v>
      </c>
      <c r="C14" s="628"/>
      <c r="D14" s="629"/>
      <c r="E14" s="403">
        <v>0</v>
      </c>
      <c r="F14" s="151">
        <v>0</v>
      </c>
      <c r="G14" s="152">
        <v>3547</v>
      </c>
      <c r="H14" s="141" t="s">
        <v>67</v>
      </c>
      <c r="I14" s="638" t="s">
        <v>226</v>
      </c>
      <c r="J14" s="628"/>
      <c r="K14" s="628"/>
      <c r="L14" s="146"/>
      <c r="M14" s="146"/>
    </row>
    <row r="15" spans="1:16" s="143" customFormat="1" ht="43.5" customHeight="1" x14ac:dyDescent="0.2">
      <c r="A15" s="145">
        <v>2</v>
      </c>
      <c r="B15" s="628" t="s">
        <v>241</v>
      </c>
      <c r="C15" s="628"/>
      <c r="D15" s="629"/>
      <c r="E15" s="151">
        <v>0</v>
      </c>
      <c r="F15" s="151">
        <v>0</v>
      </c>
      <c r="G15" s="152">
        <v>115</v>
      </c>
      <c r="H15" s="141" t="s">
        <v>67</v>
      </c>
      <c r="I15" s="638"/>
      <c r="J15" s="638"/>
      <c r="K15" s="638"/>
      <c r="L15" s="146"/>
      <c r="M15" s="146"/>
    </row>
    <row r="16" spans="1:16" s="143" customFormat="1" ht="12.75" x14ac:dyDescent="0.2">
      <c r="A16" s="147"/>
      <c r="B16" s="630" t="s">
        <v>234</v>
      </c>
      <c r="C16" s="630"/>
      <c r="D16" s="631"/>
      <c r="E16" s="148">
        <f>SUM(E14:E15)</f>
        <v>0</v>
      </c>
      <c r="F16" s="148">
        <f>SUM(F14:F15)</f>
        <v>0</v>
      </c>
      <c r="G16" s="149">
        <f>SUM(G14:G15)</f>
        <v>3662</v>
      </c>
      <c r="H16" s="141" t="s">
        <v>67</v>
      </c>
      <c r="I16" s="146"/>
      <c r="J16" s="158"/>
      <c r="K16" s="146"/>
      <c r="L16" s="146"/>
      <c r="M16" s="146"/>
    </row>
    <row r="17" spans="1:13" x14ac:dyDescent="0.2">
      <c r="A17" s="470"/>
      <c r="B17" s="639" t="s">
        <v>115</v>
      </c>
      <c r="C17" s="639"/>
      <c r="D17" s="640"/>
      <c r="E17" s="457"/>
      <c r="F17" s="458"/>
      <c r="G17" s="150"/>
    </row>
    <row r="18" spans="1:13" s="143" customFormat="1" ht="42" customHeight="1" x14ac:dyDescent="0.2">
      <c r="A18" s="145">
        <v>1</v>
      </c>
      <c r="B18" s="628" t="s">
        <v>233</v>
      </c>
      <c r="C18" s="628"/>
      <c r="D18" s="629"/>
      <c r="E18" s="151">
        <v>0</v>
      </c>
      <c r="F18" s="151">
        <v>0</v>
      </c>
      <c r="G18" s="152">
        <v>14394</v>
      </c>
      <c r="H18" s="141" t="s">
        <v>67</v>
      </c>
      <c r="I18" s="638"/>
      <c r="J18" s="638"/>
      <c r="K18" s="638"/>
      <c r="L18" s="146"/>
      <c r="M18" s="146"/>
    </row>
    <row r="19" spans="1:13" s="143" customFormat="1" ht="43.5" customHeight="1" x14ac:dyDescent="0.2">
      <c r="A19" s="145">
        <v>2</v>
      </c>
      <c r="B19" s="628" t="s">
        <v>290</v>
      </c>
      <c r="C19" s="628"/>
      <c r="D19" s="629"/>
      <c r="E19" s="151">
        <v>0</v>
      </c>
      <c r="F19" s="151">
        <v>0</v>
      </c>
      <c r="G19" s="152">
        <v>34921</v>
      </c>
      <c r="H19" s="141" t="s">
        <v>67</v>
      </c>
      <c r="I19" s="638"/>
      <c r="J19" s="638"/>
      <c r="K19" s="638"/>
      <c r="L19" s="146"/>
      <c r="M19" s="146"/>
    </row>
    <row r="20" spans="1:13" s="143" customFormat="1" ht="43.5" customHeight="1" x14ac:dyDescent="0.2">
      <c r="A20" s="145">
        <v>3</v>
      </c>
      <c r="B20" s="628" t="s">
        <v>291</v>
      </c>
      <c r="C20" s="628"/>
      <c r="D20" s="629"/>
      <c r="E20" s="151">
        <v>0</v>
      </c>
      <c r="F20" s="151">
        <v>0</v>
      </c>
      <c r="G20" s="152">
        <v>23022</v>
      </c>
      <c r="H20" s="141" t="s">
        <v>67</v>
      </c>
      <c r="I20" s="638"/>
      <c r="J20" s="638"/>
      <c r="K20" s="638"/>
      <c r="L20" s="146"/>
      <c r="M20" s="146"/>
    </row>
    <row r="21" spans="1:13" s="143" customFormat="1" ht="12.75" x14ac:dyDescent="0.2">
      <c r="A21" s="147"/>
      <c r="B21" s="630" t="s">
        <v>131</v>
      </c>
      <c r="C21" s="630"/>
      <c r="D21" s="631"/>
      <c r="E21" s="148">
        <f>SUM(E18:E20)</f>
        <v>0</v>
      </c>
      <c r="F21" s="148">
        <f>SUM(F18:F20)</f>
        <v>0</v>
      </c>
      <c r="G21" s="149">
        <f>SUM(G18:G20)</f>
        <v>72337</v>
      </c>
      <c r="H21" s="141" t="s">
        <v>67</v>
      </c>
      <c r="I21" s="146"/>
      <c r="J21" s="158"/>
      <c r="K21" s="146"/>
      <c r="L21" s="146"/>
      <c r="M21" s="146"/>
    </row>
    <row r="22" spans="1:13" ht="15" thickBot="1" x14ac:dyDescent="0.25">
      <c r="A22" s="155"/>
      <c r="B22" s="636" t="s">
        <v>132</v>
      </c>
      <c r="C22" s="636"/>
      <c r="D22" s="637"/>
      <c r="E22" s="156">
        <f>E21+E12</f>
        <v>0</v>
      </c>
      <c r="F22" s="156">
        <f>F21+F12</f>
        <v>0</v>
      </c>
      <c r="G22" s="508">
        <f>G21+G12+G16</f>
        <v>192973</v>
      </c>
      <c r="H22" s="141" t="s">
        <v>68</v>
      </c>
      <c r="I22" s="131"/>
      <c r="J22" s="158"/>
      <c r="K22" s="131"/>
      <c r="L22" s="131"/>
      <c r="M22" s="131"/>
    </row>
    <row r="23" spans="1:13" x14ac:dyDescent="0.2">
      <c r="I23" s="131"/>
      <c r="J23" s="159"/>
      <c r="K23" s="131"/>
      <c r="L23" s="131"/>
      <c r="M23" s="131"/>
    </row>
    <row r="24" spans="1:13" x14ac:dyDescent="0.2">
      <c r="I24" s="131"/>
      <c r="J24" s="159"/>
    </row>
    <row r="25" spans="1:13" x14ac:dyDescent="0.2">
      <c r="I25" s="131"/>
      <c r="J25" s="159"/>
    </row>
    <row r="26" spans="1:13" x14ac:dyDescent="0.2">
      <c r="I26" s="131"/>
      <c r="J26" s="159"/>
    </row>
    <row r="27" spans="1:13" x14ac:dyDescent="0.2">
      <c r="I27" s="131"/>
      <c r="J27" s="159"/>
    </row>
  </sheetData>
  <mergeCells count="26">
    <mergeCell ref="I18:K18"/>
    <mergeCell ref="B18:D18"/>
    <mergeCell ref="I14:K14"/>
    <mergeCell ref="B15:D15"/>
    <mergeCell ref="I15:K15"/>
    <mergeCell ref="B16:D16"/>
    <mergeCell ref="B17:D17"/>
    <mergeCell ref="B14:D14"/>
    <mergeCell ref="B22:D22"/>
    <mergeCell ref="B19:D19"/>
    <mergeCell ref="B20:D20"/>
    <mergeCell ref="I19:K19"/>
    <mergeCell ref="I20:K20"/>
    <mergeCell ref="B21:D21"/>
    <mergeCell ref="B9:D9"/>
    <mergeCell ref="B11:D11"/>
    <mergeCell ref="B12:D12"/>
    <mergeCell ref="B7:D7"/>
    <mergeCell ref="B13:D13"/>
    <mergeCell ref="B8:D8"/>
    <mergeCell ref="B10:D10"/>
    <mergeCell ref="A1:G1"/>
    <mergeCell ref="A2:G2"/>
    <mergeCell ref="A3:G3"/>
    <mergeCell ref="A4:G4"/>
    <mergeCell ref="B6:D6"/>
  </mergeCells>
  <printOptions horizontalCentered="1"/>
  <pageMargins left="0.45" right="0.45" top="0.75" bottom="0.75" header="1.05" footer="0.3"/>
  <pageSetup scale="92" fitToHeight="2" orientation="landscape" r:id="rId1"/>
  <headerFooter>
    <oddHeader>&amp;L&amp;"Arial,Bold"&amp;11E. Justification for Technical and Base Adjustments</oddHeader>
    <oddFooter>&amp;C&amp;"Arial,Bold"&amp;11Exhibit E - Justification for Technical and Base Adjustments</oddFooter>
  </headerFooter>
  <rowBreaks count="1" manualBreakCount="1">
    <brk id="1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view="pageBreakPreview" zoomScale="80" zoomScaleNormal="100" zoomScaleSheetLayoutView="80" workbookViewId="0">
      <selection activeCell="I9" sqref="I9"/>
    </sheetView>
  </sheetViews>
  <sheetFormatPr defaultRowHeight="14.25" x14ac:dyDescent="0.2"/>
  <cols>
    <col min="1" max="1" width="30.33203125" style="287" customWidth="1"/>
    <col min="2" max="3" width="6.44140625" style="287" customWidth="1"/>
    <col min="4" max="4" width="9.88671875" style="287" customWidth="1"/>
    <col min="5" max="7" width="9.88671875" style="287" hidden="1" customWidth="1"/>
    <col min="8" max="8" width="5.5546875" style="287" customWidth="1"/>
    <col min="9" max="9" width="6.77734375" style="287" customWidth="1"/>
    <col min="10" max="10" width="9.88671875" style="287" customWidth="1"/>
    <col min="11" max="12" width="6.44140625" style="287" customWidth="1"/>
    <col min="13" max="15" width="9.88671875" style="287" customWidth="1"/>
    <col min="16" max="17" width="6.44140625" style="287" customWidth="1"/>
    <col min="18" max="18" width="9.88671875" style="287" customWidth="1"/>
    <col min="19" max="19" width="10.88671875" style="288" bestFit="1" customWidth="1"/>
    <col min="20" max="20" width="3.5546875" style="287" customWidth="1"/>
    <col min="21" max="22" width="6.44140625" style="287" customWidth="1"/>
    <col min="23" max="23" width="9.88671875" style="287" customWidth="1"/>
    <col min="24" max="25" width="6.44140625" style="287" customWidth="1"/>
    <col min="26" max="26" width="9.88671875" style="287" customWidth="1"/>
    <col min="27" max="16384" width="8.88671875" style="287"/>
  </cols>
  <sheetData>
    <row r="1" spans="1:26" ht="18" x14ac:dyDescent="0.25">
      <c r="A1" s="646" t="s">
        <v>133</v>
      </c>
      <c r="B1" s="646"/>
      <c r="C1" s="646"/>
      <c r="D1" s="646"/>
      <c r="E1" s="646"/>
      <c r="F1" s="646"/>
      <c r="G1" s="646"/>
      <c r="H1" s="646"/>
      <c r="I1" s="646"/>
      <c r="J1" s="646"/>
      <c r="K1" s="646"/>
      <c r="L1" s="646"/>
      <c r="M1" s="646"/>
      <c r="N1" s="646"/>
      <c r="O1" s="646"/>
      <c r="P1" s="646"/>
      <c r="Q1" s="646"/>
      <c r="R1" s="646"/>
      <c r="S1" s="304" t="s">
        <v>67</v>
      </c>
      <c r="T1" s="303"/>
      <c r="U1" s="303"/>
      <c r="V1" s="303"/>
      <c r="W1" s="303"/>
      <c r="X1" s="303"/>
      <c r="Y1" s="303"/>
      <c r="Z1" s="303"/>
    </row>
    <row r="2" spans="1:26" ht="15" x14ac:dyDescent="0.2">
      <c r="A2" s="647" t="s">
        <v>16</v>
      </c>
      <c r="B2" s="647"/>
      <c r="C2" s="647"/>
      <c r="D2" s="647"/>
      <c r="E2" s="647"/>
      <c r="F2" s="647"/>
      <c r="G2" s="647"/>
      <c r="H2" s="647"/>
      <c r="I2" s="647"/>
      <c r="J2" s="647"/>
      <c r="K2" s="647"/>
      <c r="L2" s="647"/>
      <c r="M2" s="647"/>
      <c r="N2" s="647"/>
      <c r="O2" s="647"/>
      <c r="P2" s="647"/>
      <c r="Q2" s="647"/>
      <c r="R2" s="647"/>
      <c r="S2" s="304" t="s">
        <v>67</v>
      </c>
      <c r="T2" s="302"/>
      <c r="U2" s="302"/>
      <c r="V2" s="302"/>
      <c r="W2" s="302"/>
      <c r="X2" s="302"/>
      <c r="Y2" s="302"/>
      <c r="Z2" s="302"/>
    </row>
    <row r="3" spans="1:26" x14ac:dyDescent="0.2">
      <c r="A3" s="648" t="s">
        <v>17</v>
      </c>
      <c r="B3" s="648"/>
      <c r="C3" s="648"/>
      <c r="D3" s="648"/>
      <c r="E3" s="648"/>
      <c r="F3" s="648"/>
      <c r="G3" s="648"/>
      <c r="H3" s="648"/>
      <c r="I3" s="648"/>
      <c r="J3" s="648"/>
      <c r="K3" s="648"/>
      <c r="L3" s="648"/>
      <c r="M3" s="648"/>
      <c r="N3" s="648"/>
      <c r="O3" s="648"/>
      <c r="P3" s="648"/>
      <c r="Q3" s="648"/>
      <c r="R3" s="648"/>
      <c r="S3" s="304" t="s">
        <v>67</v>
      </c>
      <c r="T3" s="301"/>
      <c r="U3" s="301"/>
      <c r="V3" s="301"/>
      <c r="W3" s="301"/>
      <c r="X3" s="301"/>
      <c r="Y3" s="301"/>
      <c r="Z3" s="301"/>
    </row>
    <row r="4" spans="1:26" x14ac:dyDescent="0.2">
      <c r="A4" s="649" t="s">
        <v>39</v>
      </c>
      <c r="B4" s="649"/>
      <c r="C4" s="649"/>
      <c r="D4" s="649"/>
      <c r="E4" s="649"/>
      <c r="F4" s="649"/>
      <c r="G4" s="649"/>
      <c r="H4" s="649"/>
      <c r="I4" s="649"/>
      <c r="J4" s="649"/>
      <c r="K4" s="649"/>
      <c r="L4" s="649"/>
      <c r="M4" s="649"/>
      <c r="N4" s="649"/>
      <c r="O4" s="649"/>
      <c r="P4" s="649"/>
      <c r="Q4" s="649"/>
      <c r="R4" s="649"/>
      <c r="S4" s="304" t="s">
        <v>67</v>
      </c>
      <c r="T4" s="300"/>
      <c r="U4" s="300"/>
      <c r="V4" s="300"/>
      <c r="W4" s="300"/>
      <c r="X4" s="300"/>
      <c r="Y4" s="300"/>
      <c r="Z4" s="300"/>
    </row>
    <row r="5" spans="1:26" x14ac:dyDescent="0.2">
      <c r="A5" s="300"/>
      <c r="B5" s="300"/>
      <c r="C5" s="300"/>
      <c r="D5" s="300"/>
      <c r="E5" s="300"/>
      <c r="F5" s="300"/>
      <c r="G5" s="300"/>
      <c r="H5" s="300"/>
      <c r="I5" s="300"/>
      <c r="J5" s="300"/>
      <c r="K5" s="300"/>
      <c r="L5" s="300"/>
      <c r="M5" s="300"/>
      <c r="N5" s="300"/>
      <c r="O5" s="300"/>
      <c r="P5" s="300"/>
      <c r="Q5" s="300"/>
      <c r="R5" s="300"/>
      <c r="S5" s="304" t="s">
        <v>67</v>
      </c>
      <c r="T5" s="300"/>
      <c r="U5" s="300"/>
      <c r="V5" s="300"/>
      <c r="W5" s="300"/>
      <c r="X5" s="300"/>
      <c r="Y5" s="300"/>
      <c r="Z5" s="300"/>
    </row>
    <row r="6" spans="1:26" ht="15" thickBot="1" x14ac:dyDescent="0.25">
      <c r="A6" s="319"/>
      <c r="B6" s="319"/>
      <c r="C6" s="319"/>
      <c r="D6" s="319"/>
      <c r="E6" s="439"/>
      <c r="F6" s="439"/>
      <c r="G6" s="439"/>
      <c r="H6" s="319"/>
      <c r="I6" s="319"/>
      <c r="J6" s="319"/>
      <c r="K6" s="319"/>
      <c r="L6" s="319"/>
      <c r="M6" s="319"/>
      <c r="N6" s="319"/>
      <c r="O6" s="319"/>
      <c r="P6" s="319"/>
      <c r="Q6" s="319"/>
      <c r="R6" s="319"/>
      <c r="S6" s="304" t="s">
        <v>67</v>
      </c>
      <c r="T6" s="300"/>
      <c r="U6" s="300"/>
      <c r="V6" s="300"/>
      <c r="W6" s="300"/>
      <c r="X6" s="300"/>
      <c r="Y6" s="300"/>
      <c r="Z6" s="300"/>
    </row>
    <row r="7" spans="1:26" ht="33.75" customHeight="1" x14ac:dyDescent="0.2">
      <c r="A7" s="644" t="s">
        <v>117</v>
      </c>
      <c r="B7" s="602" t="s">
        <v>248</v>
      </c>
      <c r="C7" s="602"/>
      <c r="D7" s="602"/>
      <c r="E7" s="602" t="s">
        <v>242</v>
      </c>
      <c r="F7" s="602"/>
      <c r="G7" s="602"/>
      <c r="H7" s="602" t="s">
        <v>232</v>
      </c>
      <c r="I7" s="650"/>
      <c r="J7" s="603"/>
      <c r="K7" s="602" t="s">
        <v>138</v>
      </c>
      <c r="L7" s="602"/>
      <c r="M7" s="602"/>
      <c r="N7" s="318" t="s">
        <v>168</v>
      </c>
      <c r="O7" s="318" t="s">
        <v>167</v>
      </c>
      <c r="P7" s="602" t="s">
        <v>250</v>
      </c>
      <c r="Q7" s="602"/>
      <c r="R7" s="605"/>
      <c r="S7" s="304" t="s">
        <v>67</v>
      </c>
    </row>
    <row r="8" spans="1:26" ht="28.5" x14ac:dyDescent="0.2">
      <c r="A8" s="645"/>
      <c r="B8" s="295" t="s">
        <v>110</v>
      </c>
      <c r="C8" s="420" t="s">
        <v>231</v>
      </c>
      <c r="D8" s="295" t="s">
        <v>11</v>
      </c>
      <c r="E8" s="295" t="s">
        <v>110</v>
      </c>
      <c r="F8" s="420" t="s">
        <v>231</v>
      </c>
      <c r="G8" s="295" t="s">
        <v>11</v>
      </c>
      <c r="H8" s="420" t="s">
        <v>231</v>
      </c>
      <c r="I8" s="295" t="s">
        <v>118</v>
      </c>
      <c r="J8" s="295" t="s">
        <v>11</v>
      </c>
      <c r="K8" s="295" t="s">
        <v>110</v>
      </c>
      <c r="L8" s="420" t="s">
        <v>231</v>
      </c>
      <c r="M8" s="295" t="s">
        <v>11</v>
      </c>
      <c r="N8" s="295" t="s">
        <v>11</v>
      </c>
      <c r="O8" s="295" t="s">
        <v>11</v>
      </c>
      <c r="P8" s="295" t="s">
        <v>110</v>
      </c>
      <c r="Q8" s="420" t="s">
        <v>231</v>
      </c>
      <c r="R8" s="294" t="s">
        <v>11</v>
      </c>
      <c r="S8" s="304" t="s">
        <v>67</v>
      </c>
    </row>
    <row r="9" spans="1:26" x14ac:dyDescent="0.2">
      <c r="A9" s="421" t="s">
        <v>120</v>
      </c>
      <c r="B9" s="293">
        <v>15282</v>
      </c>
      <c r="C9" s="293">
        <v>12373</v>
      </c>
      <c r="D9" s="293">
        <f>2542064-52720</f>
        <v>2489344</v>
      </c>
      <c r="E9" s="293">
        <v>0</v>
      </c>
      <c r="F9" s="293">
        <v>0</v>
      </c>
      <c r="G9" s="293">
        <v>0</v>
      </c>
      <c r="H9" s="293">
        <v>0</v>
      </c>
      <c r="I9" s="293">
        <v>0</v>
      </c>
      <c r="J9" s="293">
        <v>-64724</v>
      </c>
      <c r="K9" s="293">
        <v>0</v>
      </c>
      <c r="L9" s="293">
        <v>0</v>
      </c>
      <c r="M9" s="293">
        <f>27300-1300</f>
        <v>26000</v>
      </c>
      <c r="N9" s="293">
        <v>0</v>
      </c>
      <c r="O9" s="293">
        <v>0</v>
      </c>
      <c r="P9" s="293">
        <f>+K9+H9+B9</f>
        <v>15282</v>
      </c>
      <c r="Q9" s="293">
        <f>+L9+I9+C9</f>
        <v>12373</v>
      </c>
      <c r="R9" s="292">
        <f>+N9+M9+J9+D9+G9</f>
        <v>2450620</v>
      </c>
      <c r="S9" s="304" t="s">
        <v>67</v>
      </c>
    </row>
    <row r="10" spans="1:26" x14ac:dyDescent="0.2">
      <c r="A10" s="422" t="s">
        <v>95</v>
      </c>
      <c r="B10" s="290">
        <v>24852</v>
      </c>
      <c r="C10" s="290">
        <v>22269</v>
      </c>
      <c r="D10" s="290">
        <f>2984833-61908</f>
        <v>2922925</v>
      </c>
      <c r="E10" s="290">
        <v>0</v>
      </c>
      <c r="F10" s="290">
        <v>0</v>
      </c>
      <c r="G10" s="290">
        <v>0</v>
      </c>
      <c r="H10" s="290">
        <v>0</v>
      </c>
      <c r="I10" s="290">
        <v>0</v>
      </c>
      <c r="J10" s="290">
        <v>-204987</v>
      </c>
      <c r="K10" s="290">
        <v>0</v>
      </c>
      <c r="L10" s="290">
        <v>0</v>
      </c>
      <c r="M10" s="290">
        <v>170000</v>
      </c>
      <c r="N10" s="290">
        <v>5275</v>
      </c>
      <c r="O10" s="290">
        <v>0</v>
      </c>
      <c r="P10" s="290">
        <f t="shared" ref="P10:P12" si="0">+K10+H10+B10</f>
        <v>24852</v>
      </c>
      <c r="Q10" s="290">
        <f t="shared" ref="Q10:Q12" si="1">+L10+I10+C10</f>
        <v>22269</v>
      </c>
      <c r="R10" s="289">
        <f>+N10+M10+J10+D10+G10</f>
        <v>2893213</v>
      </c>
      <c r="S10" s="304" t="s">
        <v>67</v>
      </c>
    </row>
    <row r="11" spans="1:26" x14ac:dyDescent="0.2">
      <c r="A11" s="422" t="s">
        <v>64</v>
      </c>
      <c r="B11" s="290">
        <v>413</v>
      </c>
      <c r="C11" s="290">
        <v>247</v>
      </c>
      <c r="D11" s="290">
        <f>1088748-22537</f>
        <v>1066211</v>
      </c>
      <c r="E11" s="290">
        <v>0</v>
      </c>
      <c r="F11" s="290">
        <v>0</v>
      </c>
      <c r="G11" s="290">
        <v>0</v>
      </c>
      <c r="H11" s="290">
        <v>0</v>
      </c>
      <c r="I11" s="290">
        <v>0</v>
      </c>
      <c r="J11" s="290">
        <v>-48914</v>
      </c>
      <c r="K11" s="290">
        <v>0</v>
      </c>
      <c r="L11" s="290">
        <v>0</v>
      </c>
      <c r="M11" s="290">
        <v>0</v>
      </c>
      <c r="N11" s="290">
        <v>0</v>
      </c>
      <c r="O11" s="290">
        <v>0</v>
      </c>
      <c r="P11" s="290">
        <f t="shared" si="0"/>
        <v>413</v>
      </c>
      <c r="Q11" s="290">
        <f t="shared" si="1"/>
        <v>247</v>
      </c>
      <c r="R11" s="289">
        <f>+N11+M11+J11+D11+G11</f>
        <v>1017297</v>
      </c>
      <c r="S11" s="304" t="s">
        <v>67</v>
      </c>
    </row>
    <row r="12" spans="1:26" x14ac:dyDescent="0.2">
      <c r="A12" s="423" t="s">
        <v>166</v>
      </c>
      <c r="B12" s="317">
        <v>1233</v>
      </c>
      <c r="C12" s="317">
        <v>1007</v>
      </c>
      <c r="D12" s="317">
        <f>204572-4235</f>
        <v>200337</v>
      </c>
      <c r="E12" s="317">
        <v>0</v>
      </c>
      <c r="F12" s="317">
        <v>0</v>
      </c>
      <c r="G12" s="317">
        <v>0</v>
      </c>
      <c r="H12" s="317">
        <v>0</v>
      </c>
      <c r="I12" s="317">
        <v>0</v>
      </c>
      <c r="J12" s="317">
        <v>-10944</v>
      </c>
      <c r="K12" s="317">
        <v>0</v>
      </c>
      <c r="L12" s="317">
        <v>0</v>
      </c>
      <c r="M12" s="317">
        <v>0</v>
      </c>
      <c r="N12" s="317">
        <v>0</v>
      </c>
      <c r="O12" s="317">
        <v>0</v>
      </c>
      <c r="P12" s="317">
        <f t="shared" si="0"/>
        <v>1233</v>
      </c>
      <c r="Q12" s="290">
        <f t="shared" si="1"/>
        <v>1007</v>
      </c>
      <c r="R12" s="316">
        <f>+N12+M12+J12+D12+G12</f>
        <v>189393</v>
      </c>
      <c r="S12" s="304" t="s">
        <v>67</v>
      </c>
    </row>
    <row r="13" spans="1:26" ht="15" x14ac:dyDescent="0.25">
      <c r="A13" s="315" t="s">
        <v>122</v>
      </c>
      <c r="B13" s="314">
        <f t="shared" ref="B13:R13" si="2">SUM(B9:B12)</f>
        <v>41780</v>
      </c>
      <c r="C13" s="314">
        <f t="shared" si="2"/>
        <v>35896</v>
      </c>
      <c r="D13" s="314">
        <f t="shared" si="2"/>
        <v>6678817</v>
      </c>
      <c r="E13" s="314">
        <f t="shared" ref="E13:G13" si="3">SUM(E9:E12)</f>
        <v>0</v>
      </c>
      <c r="F13" s="314">
        <f t="shared" si="3"/>
        <v>0</v>
      </c>
      <c r="G13" s="314">
        <f t="shared" si="3"/>
        <v>0</v>
      </c>
      <c r="H13" s="314">
        <f t="shared" si="2"/>
        <v>0</v>
      </c>
      <c r="I13" s="314">
        <f t="shared" si="2"/>
        <v>0</v>
      </c>
      <c r="J13" s="314">
        <f t="shared" si="2"/>
        <v>-329569</v>
      </c>
      <c r="K13" s="314">
        <f t="shared" si="2"/>
        <v>0</v>
      </c>
      <c r="L13" s="314">
        <f t="shared" si="2"/>
        <v>0</v>
      </c>
      <c r="M13" s="314">
        <f t="shared" si="2"/>
        <v>196000</v>
      </c>
      <c r="N13" s="314">
        <f t="shared" si="2"/>
        <v>5275</v>
      </c>
      <c r="O13" s="314">
        <f t="shared" si="2"/>
        <v>0</v>
      </c>
      <c r="P13" s="314">
        <f t="shared" si="2"/>
        <v>41780</v>
      </c>
      <c r="Q13" s="314">
        <f t="shared" si="2"/>
        <v>35896</v>
      </c>
      <c r="R13" s="313">
        <f t="shared" si="2"/>
        <v>6550523</v>
      </c>
      <c r="S13" s="304" t="s">
        <v>67</v>
      </c>
    </row>
    <row r="14" spans="1:26" x14ac:dyDescent="0.2">
      <c r="A14" s="424" t="s">
        <v>7</v>
      </c>
      <c r="B14" s="311"/>
      <c r="C14" s="311">
        <v>0</v>
      </c>
      <c r="D14" s="311"/>
      <c r="E14" s="311"/>
      <c r="F14" s="311">
        <v>0</v>
      </c>
      <c r="G14" s="311"/>
      <c r="H14" s="311"/>
      <c r="I14" s="311">
        <v>0</v>
      </c>
      <c r="J14" s="311"/>
      <c r="K14" s="311"/>
      <c r="L14" s="311">
        <v>0</v>
      </c>
      <c r="M14" s="311"/>
      <c r="N14" s="311"/>
      <c r="O14" s="311"/>
      <c r="P14" s="311"/>
      <c r="Q14" s="311">
        <f>C14+L14+I14</f>
        <v>0</v>
      </c>
      <c r="R14" s="312"/>
      <c r="S14" s="304" t="s">
        <v>67</v>
      </c>
    </row>
    <row r="15" spans="1:26" x14ac:dyDescent="0.2">
      <c r="A15" s="422" t="s">
        <v>125</v>
      </c>
      <c r="B15" s="290"/>
      <c r="C15" s="290">
        <f>C13+C14</f>
        <v>35896</v>
      </c>
      <c r="D15" s="290"/>
      <c r="E15" s="290"/>
      <c r="F15" s="290">
        <f>F13+F14</f>
        <v>0</v>
      </c>
      <c r="G15" s="290"/>
      <c r="H15" s="290"/>
      <c r="I15" s="290">
        <f>I13+I14</f>
        <v>0</v>
      </c>
      <c r="J15" s="290"/>
      <c r="K15" s="290"/>
      <c r="L15" s="290">
        <f>L13+L14</f>
        <v>0</v>
      </c>
      <c r="M15" s="290"/>
      <c r="N15" s="290"/>
      <c r="O15" s="290"/>
      <c r="P15" s="290"/>
      <c r="Q15" s="311">
        <f>Q13+Q14</f>
        <v>35896</v>
      </c>
      <c r="R15" s="289"/>
      <c r="S15" s="304" t="s">
        <v>67</v>
      </c>
    </row>
    <row r="16" spans="1:26" x14ac:dyDescent="0.2">
      <c r="A16" s="422"/>
      <c r="B16" s="290"/>
      <c r="C16" s="290"/>
      <c r="D16" s="290"/>
      <c r="E16" s="290"/>
      <c r="F16" s="290"/>
      <c r="G16" s="290"/>
      <c r="H16" s="290"/>
      <c r="I16" s="290"/>
      <c r="J16" s="290"/>
      <c r="K16" s="290"/>
      <c r="L16" s="290"/>
      <c r="M16" s="290"/>
      <c r="N16" s="290"/>
      <c r="O16" s="290"/>
      <c r="P16" s="290"/>
      <c r="Q16" s="290"/>
      <c r="R16" s="289"/>
      <c r="S16" s="304" t="s">
        <v>67</v>
      </c>
    </row>
    <row r="17" spans="1:19" x14ac:dyDescent="0.2">
      <c r="A17" s="422" t="s">
        <v>126</v>
      </c>
      <c r="B17" s="290"/>
      <c r="C17" s="290"/>
      <c r="D17" s="290"/>
      <c r="E17" s="290"/>
      <c r="F17" s="290"/>
      <c r="G17" s="290"/>
      <c r="H17" s="290"/>
      <c r="I17" s="290"/>
      <c r="J17" s="290"/>
      <c r="K17" s="290"/>
      <c r="L17" s="290"/>
      <c r="M17" s="290"/>
      <c r="N17" s="290"/>
      <c r="O17" s="290"/>
      <c r="P17" s="290"/>
      <c r="Q17" s="290"/>
      <c r="R17" s="289"/>
      <c r="S17" s="304" t="s">
        <v>67</v>
      </c>
    </row>
    <row r="18" spans="1:19" x14ac:dyDescent="0.2">
      <c r="A18" s="291" t="s">
        <v>127</v>
      </c>
      <c r="B18" s="290"/>
      <c r="C18" s="290">
        <v>0</v>
      </c>
      <c r="D18" s="290"/>
      <c r="E18" s="290"/>
      <c r="F18" s="290">
        <v>0</v>
      </c>
      <c r="G18" s="290"/>
      <c r="H18" s="290"/>
      <c r="I18" s="290">
        <v>0</v>
      </c>
      <c r="J18" s="290"/>
      <c r="K18" s="290"/>
      <c r="L18" s="290">
        <v>0</v>
      </c>
      <c r="M18" s="290"/>
      <c r="N18" s="290"/>
      <c r="O18" s="290"/>
      <c r="P18" s="290"/>
      <c r="Q18" s="290">
        <f>C18+L18+I18</f>
        <v>0</v>
      </c>
      <c r="R18" s="289"/>
      <c r="S18" s="304" t="s">
        <v>67</v>
      </c>
    </row>
    <row r="19" spans="1:19" x14ac:dyDescent="0.2">
      <c r="A19" s="425" t="s">
        <v>128</v>
      </c>
      <c r="B19" s="310"/>
      <c r="C19" s="310">
        <v>0</v>
      </c>
      <c r="E19" s="310"/>
      <c r="F19" s="310">
        <v>0</v>
      </c>
      <c r="G19" s="509"/>
      <c r="I19" s="310">
        <v>0</v>
      </c>
      <c r="J19" s="310"/>
      <c r="K19" s="310"/>
      <c r="L19" s="310">
        <v>0</v>
      </c>
      <c r="M19" s="310"/>
      <c r="N19" s="310"/>
      <c r="O19" s="310"/>
      <c r="P19" s="310"/>
      <c r="Q19" s="290">
        <f>C19+L19+I18</f>
        <v>0</v>
      </c>
      <c r="R19" s="309"/>
      <c r="S19" s="304" t="s">
        <v>67</v>
      </c>
    </row>
    <row r="20" spans="1:19" ht="15" thickBot="1" x14ac:dyDescent="0.25">
      <c r="A20" s="426" t="s">
        <v>129</v>
      </c>
      <c r="B20" s="308"/>
      <c r="C20" s="308">
        <f>C15+C18+C19</f>
        <v>35896</v>
      </c>
      <c r="D20" s="308"/>
      <c r="E20" s="308"/>
      <c r="F20" s="308">
        <f>F15+F18+F19</f>
        <v>0</v>
      </c>
      <c r="G20" s="308"/>
      <c r="H20" s="308"/>
      <c r="I20" s="308">
        <f>I15+I18+I19</f>
        <v>0</v>
      </c>
      <c r="J20" s="308"/>
      <c r="K20" s="308"/>
      <c r="L20" s="308">
        <f>L15+L18+L19</f>
        <v>0</v>
      </c>
      <c r="M20" s="308"/>
      <c r="N20" s="308"/>
      <c r="O20" s="308"/>
      <c r="P20" s="308"/>
      <c r="Q20" s="308">
        <f>SUM(Q15,Q18:Q19)</f>
        <v>35896</v>
      </c>
      <c r="R20" s="307"/>
      <c r="S20" s="304" t="s">
        <v>67</v>
      </c>
    </row>
    <row r="21" spans="1:19" x14ac:dyDescent="0.2">
      <c r="A21" s="443" t="s">
        <v>249</v>
      </c>
      <c r="S21" s="304" t="s">
        <v>67</v>
      </c>
    </row>
    <row r="22" spans="1:19" ht="47.25" customHeight="1" x14ac:dyDescent="1">
      <c r="A22" s="305" t="s">
        <v>138</v>
      </c>
      <c r="D22" s="384"/>
      <c r="E22" s="384"/>
      <c r="F22" s="384"/>
      <c r="G22" s="384"/>
      <c r="S22" s="304" t="s">
        <v>67</v>
      </c>
    </row>
    <row r="23" spans="1:19" x14ac:dyDescent="0.2">
      <c r="A23" s="642" t="s">
        <v>247</v>
      </c>
      <c r="B23" s="643"/>
      <c r="C23" s="643"/>
      <c r="D23" s="643"/>
      <c r="E23" s="643"/>
      <c r="F23" s="643"/>
      <c r="G23" s="643"/>
      <c r="H23" s="643"/>
      <c r="I23" s="643"/>
      <c r="J23" s="643"/>
      <c r="K23" s="643"/>
      <c r="L23" s="643"/>
      <c r="M23" s="643"/>
      <c r="N23" s="643"/>
      <c r="O23" s="643"/>
      <c r="P23" s="643"/>
      <c r="Q23" s="643"/>
      <c r="R23" s="643"/>
      <c r="S23" s="304" t="s">
        <v>67</v>
      </c>
    </row>
    <row r="24" spans="1:19" x14ac:dyDescent="0.2">
      <c r="A24" s="642" t="s">
        <v>246</v>
      </c>
      <c r="B24" s="643"/>
      <c r="C24" s="643"/>
      <c r="D24" s="643"/>
      <c r="E24" s="643"/>
      <c r="F24" s="643"/>
      <c r="G24" s="643"/>
      <c r="H24" s="643"/>
      <c r="I24" s="643"/>
      <c r="J24" s="643"/>
      <c r="K24" s="643"/>
      <c r="L24" s="643"/>
      <c r="M24" s="643"/>
      <c r="N24" s="643"/>
      <c r="O24" s="306"/>
      <c r="P24" s="306"/>
      <c r="Q24" s="306"/>
      <c r="R24" s="306"/>
      <c r="S24" s="304" t="s">
        <v>67</v>
      </c>
    </row>
    <row r="25" spans="1:19" x14ac:dyDescent="0.2">
      <c r="A25" s="642" t="s">
        <v>46</v>
      </c>
      <c r="B25" s="643"/>
      <c r="C25" s="643"/>
      <c r="D25" s="643"/>
      <c r="E25" s="643"/>
      <c r="F25" s="643"/>
      <c r="G25" s="643"/>
      <c r="H25" s="643"/>
      <c r="I25" s="643"/>
      <c r="J25" s="643"/>
      <c r="K25" s="643"/>
      <c r="L25" s="643"/>
      <c r="M25" s="643"/>
      <c r="N25" s="643"/>
      <c r="O25" s="643"/>
      <c r="P25" s="643"/>
      <c r="Q25" s="643"/>
      <c r="R25" s="643"/>
      <c r="S25" s="304" t="s">
        <v>67</v>
      </c>
    </row>
    <row r="26" spans="1:19" x14ac:dyDescent="0.2">
      <c r="A26" s="306"/>
      <c r="B26" s="306"/>
      <c r="C26" s="306"/>
      <c r="D26" s="306"/>
      <c r="E26" s="438"/>
      <c r="F26" s="438"/>
      <c r="G26" s="438"/>
      <c r="H26" s="306"/>
      <c r="I26" s="306"/>
      <c r="J26" s="306"/>
      <c r="K26" s="306"/>
      <c r="L26" s="306"/>
      <c r="M26" s="306"/>
      <c r="N26" s="306"/>
      <c r="O26" s="306"/>
      <c r="P26" s="306"/>
      <c r="Q26" s="306"/>
      <c r="R26" s="306"/>
      <c r="S26" s="304" t="s">
        <v>67</v>
      </c>
    </row>
    <row r="27" spans="1:19" ht="15" x14ac:dyDescent="0.25">
      <c r="A27" s="305" t="s">
        <v>165</v>
      </c>
      <c r="S27" s="304" t="s">
        <v>67</v>
      </c>
    </row>
    <row r="28" spans="1:19" x14ac:dyDescent="0.2">
      <c r="A28" s="642" t="s">
        <v>302</v>
      </c>
      <c r="B28" s="643"/>
      <c r="C28" s="643"/>
      <c r="D28" s="643"/>
      <c r="E28" s="643"/>
      <c r="F28" s="643"/>
      <c r="G28" s="643"/>
      <c r="H28" s="643"/>
      <c r="I28" s="643"/>
      <c r="J28" s="643"/>
      <c r="K28" s="643"/>
      <c r="L28" s="643"/>
      <c r="M28" s="643"/>
      <c r="N28" s="643"/>
      <c r="O28" s="643"/>
      <c r="P28" s="643"/>
      <c r="Q28" s="643"/>
      <c r="R28" s="643"/>
      <c r="S28" s="304" t="s">
        <v>67</v>
      </c>
    </row>
    <row r="29" spans="1:19" x14ac:dyDescent="0.2">
      <c r="A29" s="641"/>
      <c r="B29" s="641"/>
      <c r="C29" s="641"/>
      <c r="D29" s="641"/>
      <c r="E29" s="641"/>
      <c r="F29" s="641"/>
      <c r="G29" s="641"/>
      <c r="H29" s="641"/>
      <c r="I29" s="641"/>
      <c r="J29" s="641"/>
      <c r="K29" s="641"/>
      <c r="L29" s="641"/>
      <c r="M29" s="641"/>
      <c r="N29" s="641"/>
      <c r="O29" s="641"/>
      <c r="P29" s="641"/>
      <c r="Q29" s="641"/>
      <c r="R29" s="641"/>
      <c r="S29" s="304" t="s">
        <v>67</v>
      </c>
    </row>
    <row r="30" spans="1:19" ht="15" x14ac:dyDescent="0.25">
      <c r="A30" s="305" t="s">
        <v>164</v>
      </c>
      <c r="S30" s="304" t="s">
        <v>67</v>
      </c>
    </row>
    <row r="31" spans="1:19" x14ac:dyDescent="0.2">
      <c r="A31" s="643" t="s">
        <v>174</v>
      </c>
      <c r="B31" s="643"/>
      <c r="C31" s="643"/>
      <c r="D31" s="643"/>
      <c r="E31" s="643"/>
      <c r="F31" s="643"/>
      <c r="G31" s="643"/>
      <c r="H31" s="643"/>
      <c r="I31" s="643"/>
      <c r="J31" s="643"/>
      <c r="K31" s="643"/>
      <c r="L31" s="643"/>
      <c r="M31" s="643"/>
      <c r="N31" s="643"/>
      <c r="O31" s="643"/>
      <c r="P31" s="643"/>
      <c r="Q31" s="643"/>
      <c r="R31" s="643"/>
      <c r="S31" s="288" t="s">
        <v>68</v>
      </c>
    </row>
    <row r="32" spans="1:19" x14ac:dyDescent="0.2">
      <c r="A32" s="641"/>
      <c r="B32" s="641"/>
      <c r="C32" s="641"/>
      <c r="D32" s="641"/>
      <c r="E32" s="641"/>
      <c r="F32" s="641"/>
      <c r="G32" s="641"/>
      <c r="H32" s="641"/>
      <c r="I32" s="641"/>
      <c r="J32" s="641"/>
      <c r="K32" s="641"/>
      <c r="L32" s="641"/>
      <c r="M32" s="641"/>
      <c r="N32" s="641"/>
      <c r="O32" s="641"/>
      <c r="P32" s="641"/>
      <c r="Q32" s="641"/>
      <c r="R32" s="641"/>
      <c r="S32" s="304"/>
    </row>
    <row r="33" spans="19:19" x14ac:dyDescent="0.2">
      <c r="S33" s="304"/>
    </row>
  </sheetData>
  <mergeCells count="17">
    <mergeCell ref="A7:A8"/>
    <mergeCell ref="B7:D7"/>
    <mergeCell ref="K7:M7"/>
    <mergeCell ref="P7:R7"/>
    <mergeCell ref="A1:R1"/>
    <mergeCell ref="A2:R2"/>
    <mergeCell ref="A3:R3"/>
    <mergeCell ref="A4:R4"/>
    <mergeCell ref="H7:J7"/>
    <mergeCell ref="E7:G7"/>
    <mergeCell ref="A32:R32"/>
    <mergeCell ref="A23:R23"/>
    <mergeCell ref="A25:R25"/>
    <mergeCell ref="A28:R28"/>
    <mergeCell ref="A29:R29"/>
    <mergeCell ref="A31:R31"/>
    <mergeCell ref="A24:N24"/>
  </mergeCells>
  <printOptions horizontalCentered="1"/>
  <pageMargins left="0.45" right="0.45" top="0.64" bottom="0.61" header="0.8" footer="0.3"/>
  <pageSetup scale="75" orientation="landscape" r:id="rId1"/>
  <headerFooter>
    <oddHeader>&amp;L&amp;"Arial,Bold"F. Crosswalk of 2013 Availability</oddHeader>
    <oddFooter>&amp;CExhibit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39"/>
  <sheetViews>
    <sheetView view="pageBreakPreview" zoomScale="80" zoomScaleNormal="100" zoomScaleSheetLayoutView="80" workbookViewId="0">
      <selection activeCell="K18" sqref="K18"/>
    </sheetView>
  </sheetViews>
  <sheetFormatPr defaultRowHeight="14.25" x14ac:dyDescent="0.2"/>
  <cols>
    <col min="1" max="1" width="34" style="245" customWidth="1"/>
    <col min="2" max="3" width="6.44140625" style="245" customWidth="1"/>
    <col min="4" max="4" width="9.88671875" style="245" customWidth="1"/>
    <col min="5" max="5" width="11.6640625" style="245" hidden="1" customWidth="1"/>
    <col min="6" max="7" width="6.44140625" style="245" customWidth="1"/>
    <col min="8" max="10" width="9.88671875" style="245" customWidth="1"/>
    <col min="11" max="12" width="6.44140625" style="245" customWidth="1"/>
    <col min="13" max="13" width="9.88671875" style="245" customWidth="1"/>
    <col min="14" max="14" width="10.88671875" style="246" bestFit="1" customWidth="1"/>
    <col min="15" max="15" width="3.5546875" style="245" customWidth="1"/>
    <col min="16" max="17" width="6.44140625" style="245" customWidth="1"/>
    <col min="18" max="18" width="9.88671875" style="245" customWidth="1"/>
    <col min="19" max="20" width="6.44140625" style="245" customWidth="1"/>
    <col min="21" max="21" width="9.88671875" style="245" customWidth="1"/>
    <col min="22" max="16384" width="8.88671875" style="245"/>
  </cols>
  <sheetData>
    <row r="1" spans="1:21" ht="18" x14ac:dyDescent="0.25">
      <c r="A1" s="652" t="s">
        <v>212</v>
      </c>
      <c r="B1" s="652"/>
      <c r="C1" s="652"/>
      <c r="D1" s="652"/>
      <c r="E1" s="652"/>
      <c r="F1" s="652"/>
      <c r="G1" s="652"/>
      <c r="H1" s="652"/>
      <c r="I1" s="652"/>
      <c r="J1" s="652"/>
      <c r="K1" s="652"/>
      <c r="L1" s="652"/>
      <c r="M1" s="652"/>
      <c r="N1" s="247" t="s">
        <v>67</v>
      </c>
      <c r="O1" s="286"/>
      <c r="P1" s="286"/>
      <c r="Q1" s="286"/>
      <c r="R1" s="286"/>
      <c r="S1" s="286"/>
      <c r="T1" s="286"/>
      <c r="U1" s="286"/>
    </row>
    <row r="2" spans="1:21" ht="15" x14ac:dyDescent="0.2">
      <c r="A2" s="653" t="s">
        <v>16</v>
      </c>
      <c r="B2" s="653"/>
      <c r="C2" s="653"/>
      <c r="D2" s="653"/>
      <c r="E2" s="653"/>
      <c r="F2" s="653"/>
      <c r="G2" s="653"/>
      <c r="H2" s="653"/>
      <c r="I2" s="653"/>
      <c r="J2" s="653"/>
      <c r="K2" s="653"/>
      <c r="L2" s="653"/>
      <c r="M2" s="653"/>
      <c r="N2" s="247" t="s">
        <v>67</v>
      </c>
      <c r="O2" s="285"/>
      <c r="P2" s="285"/>
      <c r="Q2" s="285"/>
      <c r="R2" s="285"/>
      <c r="S2" s="285"/>
      <c r="T2" s="285"/>
      <c r="U2" s="285"/>
    </row>
    <row r="3" spans="1:21" x14ac:dyDescent="0.2">
      <c r="A3" s="654" t="s">
        <v>17</v>
      </c>
      <c r="B3" s="654"/>
      <c r="C3" s="654"/>
      <c r="D3" s="654"/>
      <c r="E3" s="654"/>
      <c r="F3" s="654"/>
      <c r="G3" s="654"/>
      <c r="H3" s="654"/>
      <c r="I3" s="654"/>
      <c r="J3" s="654"/>
      <c r="K3" s="654"/>
      <c r="L3" s="654"/>
      <c r="M3" s="654"/>
      <c r="N3" s="247" t="s">
        <v>67</v>
      </c>
      <c r="O3" s="284"/>
      <c r="P3" s="284"/>
      <c r="Q3" s="284"/>
      <c r="R3" s="284"/>
      <c r="S3" s="284"/>
      <c r="T3" s="284"/>
      <c r="U3" s="284"/>
    </row>
    <row r="4" spans="1:21" x14ac:dyDescent="0.2">
      <c r="A4" s="655" t="s">
        <v>39</v>
      </c>
      <c r="B4" s="655"/>
      <c r="C4" s="655"/>
      <c r="D4" s="655"/>
      <c r="E4" s="655"/>
      <c r="F4" s="655"/>
      <c r="G4" s="655"/>
      <c r="H4" s="655"/>
      <c r="I4" s="655"/>
      <c r="J4" s="655"/>
      <c r="K4" s="655"/>
      <c r="L4" s="655"/>
      <c r="M4" s="655"/>
      <c r="N4" s="247" t="s">
        <v>67</v>
      </c>
      <c r="O4" s="282"/>
      <c r="P4" s="282"/>
      <c r="Q4" s="282"/>
      <c r="R4" s="282"/>
      <c r="S4" s="282"/>
      <c r="T4" s="282"/>
      <c r="U4" s="282"/>
    </row>
    <row r="5" spans="1:21" x14ac:dyDescent="0.2">
      <c r="A5" s="282"/>
      <c r="B5" s="282"/>
      <c r="C5" s="282"/>
      <c r="D5" s="282"/>
      <c r="E5" s="282"/>
      <c r="F5" s="282"/>
      <c r="G5" s="282"/>
      <c r="H5" s="282"/>
      <c r="I5" s="282"/>
      <c r="J5" s="282"/>
      <c r="K5" s="282"/>
      <c r="L5" s="282"/>
      <c r="M5" s="282"/>
      <c r="N5" s="247" t="s">
        <v>67</v>
      </c>
      <c r="O5" s="282"/>
      <c r="P5" s="282"/>
      <c r="Q5" s="282"/>
      <c r="R5" s="282"/>
      <c r="S5" s="282"/>
      <c r="T5" s="282"/>
      <c r="U5" s="282"/>
    </row>
    <row r="6" spans="1:21" ht="15" thickBot="1" x14ac:dyDescent="0.25">
      <c r="A6" s="283"/>
      <c r="B6" s="283"/>
      <c r="C6" s="283"/>
      <c r="D6" s="283"/>
      <c r="E6" s="283"/>
      <c r="F6" s="283"/>
      <c r="G6" s="283"/>
      <c r="H6" s="283"/>
      <c r="I6" s="283"/>
      <c r="J6" s="283"/>
      <c r="K6" s="283"/>
      <c r="L6" s="283"/>
      <c r="M6" s="283"/>
      <c r="N6" s="247" t="s">
        <v>67</v>
      </c>
      <c r="O6" s="282"/>
      <c r="P6" s="282"/>
      <c r="Q6" s="282"/>
      <c r="R6" s="282"/>
      <c r="S6" s="282"/>
      <c r="T6" s="282"/>
      <c r="U6" s="282"/>
    </row>
    <row r="7" spans="1:21" ht="33.75" customHeight="1" x14ac:dyDescent="0.2">
      <c r="A7" s="656" t="s">
        <v>117</v>
      </c>
      <c r="B7" s="658" t="s">
        <v>270</v>
      </c>
      <c r="C7" s="658"/>
      <c r="D7" s="658"/>
      <c r="E7" s="281" t="s">
        <v>169</v>
      </c>
      <c r="F7" s="659" t="s">
        <v>138</v>
      </c>
      <c r="G7" s="659"/>
      <c r="H7" s="659"/>
      <c r="I7" s="281" t="s">
        <v>168</v>
      </c>
      <c r="J7" s="281" t="s">
        <v>167</v>
      </c>
      <c r="K7" s="659" t="s">
        <v>213</v>
      </c>
      <c r="L7" s="659"/>
      <c r="M7" s="660"/>
      <c r="N7" s="304" t="s">
        <v>67</v>
      </c>
    </row>
    <row r="8" spans="1:21" ht="28.5" x14ac:dyDescent="0.2">
      <c r="A8" s="657"/>
      <c r="B8" s="280" t="s">
        <v>110</v>
      </c>
      <c r="C8" s="280" t="s">
        <v>119</v>
      </c>
      <c r="D8" s="280" t="s">
        <v>11</v>
      </c>
      <c r="E8" s="280" t="s">
        <v>11</v>
      </c>
      <c r="F8" s="280" t="s">
        <v>110</v>
      </c>
      <c r="G8" s="280" t="s">
        <v>119</v>
      </c>
      <c r="H8" s="280" t="s">
        <v>11</v>
      </c>
      <c r="I8" s="280" t="s">
        <v>11</v>
      </c>
      <c r="J8" s="280" t="s">
        <v>11</v>
      </c>
      <c r="K8" s="280" t="s">
        <v>110</v>
      </c>
      <c r="L8" s="280" t="s">
        <v>119</v>
      </c>
      <c r="M8" s="279" t="s">
        <v>11</v>
      </c>
      <c r="N8" s="247" t="s">
        <v>67</v>
      </c>
    </row>
    <row r="9" spans="1:21" x14ac:dyDescent="0.2">
      <c r="A9" s="278" t="s">
        <v>120</v>
      </c>
      <c r="B9" s="270">
        <v>15674</v>
      </c>
      <c r="C9" s="270">
        <v>12727</v>
      </c>
      <c r="D9" s="270">
        <v>2525039</v>
      </c>
      <c r="E9" s="270"/>
      <c r="F9" s="270">
        <v>0</v>
      </c>
      <c r="G9" s="270">
        <v>0</v>
      </c>
      <c r="H9" s="270">
        <v>0</v>
      </c>
      <c r="I9" s="270">
        <v>0</v>
      </c>
      <c r="J9" s="270">
        <v>0</v>
      </c>
      <c r="K9" s="270">
        <f t="shared" ref="K9:L12" si="0">B9+F9</f>
        <v>15674</v>
      </c>
      <c r="L9" s="270">
        <f t="shared" si="0"/>
        <v>12727</v>
      </c>
      <c r="M9" s="269">
        <f>D9+E9+H9+I9+J9</f>
        <v>2525039</v>
      </c>
      <c r="N9" s="247" t="s">
        <v>67</v>
      </c>
    </row>
    <row r="10" spans="1:21" x14ac:dyDescent="0.2">
      <c r="A10" s="262" t="s">
        <v>95</v>
      </c>
      <c r="B10" s="260">
        <v>25738</v>
      </c>
      <c r="C10" s="260">
        <v>23191</v>
      </c>
      <c r="D10" s="260">
        <v>2966364</v>
      </c>
      <c r="E10" s="260"/>
      <c r="F10" s="260">
        <v>0</v>
      </c>
      <c r="G10" s="260">
        <v>0</v>
      </c>
      <c r="H10" s="260">
        <v>0</v>
      </c>
      <c r="I10" s="260">
        <f>5000+2968</f>
        <v>7968</v>
      </c>
      <c r="J10" s="260">
        <v>0</v>
      </c>
      <c r="K10" s="260">
        <f t="shared" si="0"/>
        <v>25738</v>
      </c>
      <c r="L10" s="260">
        <f t="shared" si="0"/>
        <v>23191</v>
      </c>
      <c r="M10" s="259">
        <f>D10+E10+H10+I10+J10</f>
        <v>2974332</v>
      </c>
      <c r="N10" s="247" t="s">
        <v>67</v>
      </c>
    </row>
    <row r="11" spans="1:21" x14ac:dyDescent="0.2">
      <c r="A11" s="262" t="s">
        <v>64</v>
      </c>
      <c r="B11" s="260">
        <v>413</v>
      </c>
      <c r="C11" s="260">
        <v>247</v>
      </c>
      <c r="D11" s="260">
        <v>1074808</v>
      </c>
      <c r="E11" s="260"/>
      <c r="F11" s="260">
        <v>0</v>
      </c>
      <c r="G11" s="260">
        <v>0</v>
      </c>
      <c r="H11" s="260">
        <v>0</v>
      </c>
      <c r="I11" s="260">
        <v>0</v>
      </c>
      <c r="J11" s="260">
        <v>0</v>
      </c>
      <c r="K11" s="260">
        <f t="shared" si="0"/>
        <v>413</v>
      </c>
      <c r="L11" s="260">
        <f t="shared" si="0"/>
        <v>247</v>
      </c>
      <c r="M11" s="259">
        <f>D11+E11+H11+I11+J11</f>
        <v>1074808</v>
      </c>
      <c r="N11" s="247" t="s">
        <v>67</v>
      </c>
    </row>
    <row r="12" spans="1:21" x14ac:dyDescent="0.2">
      <c r="A12" s="277" t="s">
        <v>166</v>
      </c>
      <c r="B12" s="276">
        <v>1233</v>
      </c>
      <c r="C12" s="276">
        <v>1007</v>
      </c>
      <c r="D12" s="276">
        <v>202789</v>
      </c>
      <c r="E12" s="276"/>
      <c r="F12" s="276">
        <v>0</v>
      </c>
      <c r="G12" s="276">
        <v>0</v>
      </c>
      <c r="H12" s="276">
        <v>0</v>
      </c>
      <c r="I12" s="276">
        <v>0</v>
      </c>
      <c r="J12" s="276">
        <v>0</v>
      </c>
      <c r="K12" s="276">
        <f t="shared" si="0"/>
        <v>1233</v>
      </c>
      <c r="L12" s="276">
        <f t="shared" si="0"/>
        <v>1007</v>
      </c>
      <c r="M12" s="275">
        <f>D12+E12+H12+I12+J12</f>
        <v>202789</v>
      </c>
      <c r="N12" s="247" t="s">
        <v>67</v>
      </c>
    </row>
    <row r="13" spans="1:21" ht="15" x14ac:dyDescent="0.25">
      <c r="A13" s="274" t="s">
        <v>122</v>
      </c>
      <c r="B13" s="273">
        <f t="shared" ref="B13:M13" si="1">SUM(B9:B12)</f>
        <v>43058</v>
      </c>
      <c r="C13" s="273">
        <f t="shared" si="1"/>
        <v>37172</v>
      </c>
      <c r="D13" s="273">
        <f t="shared" si="1"/>
        <v>6769000</v>
      </c>
      <c r="E13" s="273">
        <f t="shared" si="1"/>
        <v>0</v>
      </c>
      <c r="F13" s="273">
        <f t="shared" si="1"/>
        <v>0</v>
      </c>
      <c r="G13" s="273">
        <f t="shared" si="1"/>
        <v>0</v>
      </c>
      <c r="H13" s="273">
        <f t="shared" si="1"/>
        <v>0</v>
      </c>
      <c r="I13" s="273">
        <f t="shared" si="1"/>
        <v>7968</v>
      </c>
      <c r="J13" s="273">
        <f t="shared" si="1"/>
        <v>0</v>
      </c>
      <c r="K13" s="273">
        <f t="shared" si="1"/>
        <v>43058</v>
      </c>
      <c r="L13" s="273">
        <f t="shared" si="1"/>
        <v>37172</v>
      </c>
      <c r="M13" s="272">
        <f t="shared" si="1"/>
        <v>6776968</v>
      </c>
      <c r="N13" s="247" t="s">
        <v>67</v>
      </c>
    </row>
    <row r="14" spans="1:21" x14ac:dyDescent="0.2">
      <c r="A14" s="271" t="s">
        <v>123</v>
      </c>
      <c r="B14" s="270"/>
      <c r="C14" s="270"/>
      <c r="D14" s="270">
        <v>0</v>
      </c>
      <c r="E14" s="270"/>
      <c r="F14" s="270"/>
      <c r="G14" s="270"/>
      <c r="H14" s="270"/>
      <c r="I14" s="270"/>
      <c r="J14" s="270"/>
      <c r="K14" s="270"/>
      <c r="L14" s="270"/>
      <c r="M14" s="269">
        <f>D14+E14+H14+I14+J14</f>
        <v>0</v>
      </c>
      <c r="N14" s="247" t="s">
        <v>67</v>
      </c>
    </row>
    <row r="15" spans="1:21" x14ac:dyDescent="0.2">
      <c r="A15" s="268" t="s">
        <v>124</v>
      </c>
      <c r="B15" s="267"/>
      <c r="C15" s="267"/>
      <c r="D15" s="267">
        <f>SUM(D13:D14)</f>
        <v>6769000</v>
      </c>
      <c r="E15" s="267"/>
      <c r="F15" s="267"/>
      <c r="G15" s="267"/>
      <c r="H15" s="267"/>
      <c r="I15" s="267"/>
      <c r="J15" s="267"/>
      <c r="K15" s="267"/>
      <c r="L15" s="267"/>
      <c r="M15" s="266">
        <f>SUM(M13:M14)</f>
        <v>6776968</v>
      </c>
      <c r="N15" s="247" t="s">
        <v>67</v>
      </c>
    </row>
    <row r="16" spans="1:21" x14ac:dyDescent="0.2">
      <c r="A16" s="265" t="s">
        <v>7</v>
      </c>
      <c r="B16" s="264"/>
      <c r="C16" s="264">
        <v>0</v>
      </c>
      <c r="D16" s="264"/>
      <c r="E16" s="264"/>
      <c r="F16" s="264"/>
      <c r="G16" s="264">
        <v>0</v>
      </c>
      <c r="H16" s="264"/>
      <c r="I16" s="264">
        <v>0</v>
      </c>
      <c r="J16" s="264"/>
      <c r="K16" s="264"/>
      <c r="L16" s="264">
        <f>C16+G16</f>
        <v>0</v>
      </c>
      <c r="M16" s="263"/>
      <c r="N16" s="247" t="s">
        <v>67</v>
      </c>
    </row>
    <row r="17" spans="1:14" x14ac:dyDescent="0.2">
      <c r="A17" s="262" t="s">
        <v>125</v>
      </c>
      <c r="B17" s="260"/>
      <c r="C17" s="260">
        <f>C13+C16</f>
        <v>37172</v>
      </c>
      <c r="D17" s="260"/>
      <c r="E17" s="260"/>
      <c r="F17" s="260"/>
      <c r="G17" s="260">
        <f>G13+G16</f>
        <v>0</v>
      </c>
      <c r="H17" s="260"/>
      <c r="I17" s="260">
        <f>I13+I16</f>
        <v>7968</v>
      </c>
      <c r="J17" s="260"/>
      <c r="K17" s="260"/>
      <c r="L17" s="260">
        <f>L13+L16</f>
        <v>37172</v>
      </c>
      <c r="M17" s="259"/>
      <c r="N17" s="247" t="s">
        <v>67</v>
      </c>
    </row>
    <row r="18" spans="1:14" x14ac:dyDescent="0.2">
      <c r="A18" s="262"/>
      <c r="B18" s="260"/>
      <c r="C18" s="260"/>
      <c r="D18" s="260"/>
      <c r="E18" s="260"/>
      <c r="F18" s="260"/>
      <c r="G18" s="260"/>
      <c r="H18" s="260"/>
      <c r="I18" s="260"/>
      <c r="J18" s="260"/>
      <c r="K18" s="260"/>
      <c r="L18" s="260"/>
      <c r="M18" s="259"/>
      <c r="N18" s="247" t="s">
        <v>67</v>
      </c>
    </row>
    <row r="19" spans="1:14" x14ac:dyDescent="0.2">
      <c r="A19" s="262" t="s">
        <v>126</v>
      </c>
      <c r="B19" s="260"/>
      <c r="C19" s="260"/>
      <c r="D19" s="260"/>
      <c r="E19" s="260"/>
      <c r="F19" s="260"/>
      <c r="G19" s="260"/>
      <c r="H19" s="260"/>
      <c r="I19" s="260"/>
      <c r="J19" s="260"/>
      <c r="K19" s="260"/>
      <c r="L19" s="260"/>
      <c r="M19" s="259"/>
      <c r="N19" s="247" t="s">
        <v>67</v>
      </c>
    </row>
    <row r="20" spans="1:14" x14ac:dyDescent="0.2">
      <c r="A20" s="261" t="s">
        <v>127</v>
      </c>
      <c r="B20" s="260"/>
      <c r="C20" s="260">
        <v>0</v>
      </c>
      <c r="D20" s="260"/>
      <c r="E20" s="260"/>
      <c r="F20" s="260"/>
      <c r="G20" s="260">
        <v>0</v>
      </c>
      <c r="H20" s="260"/>
      <c r="I20" s="260">
        <v>0</v>
      </c>
      <c r="J20" s="260"/>
      <c r="K20" s="260"/>
      <c r="L20" s="260">
        <f>C20+G20</f>
        <v>0</v>
      </c>
      <c r="M20" s="259"/>
      <c r="N20" s="247" t="s">
        <v>67</v>
      </c>
    </row>
    <row r="21" spans="1:14" x14ac:dyDescent="0.2">
      <c r="A21" s="258" t="s">
        <v>128</v>
      </c>
      <c r="B21" s="257"/>
      <c r="C21" s="257">
        <v>0</v>
      </c>
      <c r="D21" s="257"/>
      <c r="E21" s="257"/>
      <c r="F21" s="257"/>
      <c r="G21" s="257">
        <v>0</v>
      </c>
      <c r="H21" s="257"/>
      <c r="I21" s="257">
        <v>0</v>
      </c>
      <c r="J21" s="257"/>
      <c r="K21" s="257"/>
      <c r="L21" s="257">
        <f>C21+G21</f>
        <v>0</v>
      </c>
      <c r="M21" s="256"/>
      <c r="N21" s="247" t="s">
        <v>67</v>
      </c>
    </row>
    <row r="22" spans="1:14" ht="15" thickBot="1" x14ac:dyDescent="0.25">
      <c r="A22" s="255" t="s">
        <v>129</v>
      </c>
      <c r="B22" s="254"/>
      <c r="C22" s="254">
        <f>C17+C20+C21</f>
        <v>37172</v>
      </c>
      <c r="D22" s="254"/>
      <c r="E22" s="254"/>
      <c r="F22" s="254"/>
      <c r="G22" s="254">
        <f>G17+G20+G21</f>
        <v>0</v>
      </c>
      <c r="H22" s="254"/>
      <c r="I22" s="254">
        <f>I17+I20+I21</f>
        <v>7968</v>
      </c>
      <c r="J22" s="254"/>
      <c r="K22" s="254"/>
      <c r="L22" s="254">
        <f>SUM(L17,L20:L21)</f>
        <v>37172</v>
      </c>
      <c r="M22" s="253"/>
      <c r="N22" s="247" t="s">
        <v>67</v>
      </c>
    </row>
    <row r="23" spans="1:14" x14ac:dyDescent="0.2">
      <c r="H23" s="252"/>
      <c r="N23" s="247" t="s">
        <v>67</v>
      </c>
    </row>
    <row r="24" spans="1:14" ht="14.25" customHeight="1" x14ac:dyDescent="0.2">
      <c r="A24" s="251" t="s">
        <v>46</v>
      </c>
      <c r="B24" s="250"/>
      <c r="C24" s="250"/>
      <c r="D24" s="250"/>
      <c r="E24" s="250"/>
      <c r="F24" s="250"/>
      <c r="G24" s="250"/>
      <c r="H24" s="250"/>
      <c r="I24" s="250"/>
      <c r="J24" s="250"/>
      <c r="K24" s="249"/>
      <c r="L24" s="249"/>
      <c r="M24" s="249" t="s">
        <v>46</v>
      </c>
      <c r="N24" s="247" t="s">
        <v>67</v>
      </c>
    </row>
    <row r="25" spans="1:14" x14ac:dyDescent="0.2">
      <c r="A25" s="249"/>
      <c r="B25" s="249"/>
      <c r="C25" s="249"/>
      <c r="D25" s="249"/>
      <c r="E25" s="249"/>
      <c r="F25" s="249"/>
      <c r="G25" s="249"/>
      <c r="H25" s="249"/>
      <c r="I25" s="249"/>
      <c r="J25" s="249"/>
      <c r="K25" s="249"/>
      <c r="L25" s="249"/>
      <c r="M25" s="249"/>
      <c r="N25" s="247" t="s">
        <v>67</v>
      </c>
    </row>
    <row r="26" spans="1:14" x14ac:dyDescent="0.2">
      <c r="N26" s="247" t="s">
        <v>67</v>
      </c>
    </row>
    <row r="27" spans="1:14" ht="15" x14ac:dyDescent="0.25">
      <c r="A27" s="248" t="s">
        <v>138</v>
      </c>
      <c r="N27" s="247" t="s">
        <v>67</v>
      </c>
    </row>
    <row r="28" spans="1:14" ht="14.25" customHeight="1" x14ac:dyDescent="0.2">
      <c r="A28" s="661" t="s">
        <v>46</v>
      </c>
      <c r="B28" s="651"/>
      <c r="C28" s="651"/>
      <c r="D28" s="651"/>
      <c r="E28" s="651"/>
      <c r="F28" s="651"/>
      <c r="G28" s="651"/>
      <c r="H28" s="651"/>
      <c r="I28" s="651"/>
      <c r="J28" s="651"/>
      <c r="K28" s="651"/>
      <c r="L28" s="651"/>
      <c r="M28" s="651"/>
      <c r="N28" s="247" t="s">
        <v>67</v>
      </c>
    </row>
    <row r="29" spans="1:14" x14ac:dyDescent="0.2">
      <c r="A29" s="662"/>
      <c r="B29" s="662"/>
      <c r="C29" s="662"/>
      <c r="D29" s="662"/>
      <c r="E29" s="662"/>
      <c r="F29" s="662"/>
      <c r="G29" s="662"/>
      <c r="H29" s="662"/>
      <c r="I29" s="662"/>
      <c r="J29" s="662"/>
      <c r="K29" s="662"/>
      <c r="L29" s="662"/>
      <c r="M29" s="662"/>
      <c r="N29" s="247" t="s">
        <v>67</v>
      </c>
    </row>
    <row r="30" spans="1:14" ht="15" x14ac:dyDescent="0.25">
      <c r="A30" s="248" t="s">
        <v>165</v>
      </c>
      <c r="N30" s="247" t="s">
        <v>67</v>
      </c>
    </row>
    <row r="31" spans="1:14" x14ac:dyDescent="0.2">
      <c r="A31" s="661" t="s">
        <v>271</v>
      </c>
      <c r="B31" s="651"/>
      <c r="C31" s="651"/>
      <c r="D31" s="651"/>
      <c r="E31" s="651"/>
      <c r="F31" s="651"/>
      <c r="G31" s="651"/>
      <c r="H31" s="651"/>
      <c r="I31" s="651"/>
      <c r="J31" s="651"/>
      <c r="K31" s="651"/>
      <c r="L31" s="651"/>
      <c r="M31" s="651"/>
      <c r="N31" s="247" t="s">
        <v>67</v>
      </c>
    </row>
    <row r="32" spans="1:14" x14ac:dyDescent="0.2">
      <c r="A32" s="662"/>
      <c r="B32" s="662"/>
      <c r="C32" s="662"/>
      <c r="D32" s="662"/>
      <c r="E32" s="662"/>
      <c r="F32" s="662"/>
      <c r="G32" s="662"/>
      <c r="H32" s="662"/>
      <c r="I32" s="662"/>
      <c r="J32" s="662"/>
      <c r="K32" s="662"/>
      <c r="L32" s="662"/>
      <c r="M32" s="662"/>
      <c r="N32" s="247" t="s">
        <v>67</v>
      </c>
    </row>
    <row r="33" spans="1:14" ht="15" x14ac:dyDescent="0.25">
      <c r="A33" s="248" t="s">
        <v>164</v>
      </c>
      <c r="N33" s="247" t="s">
        <v>67</v>
      </c>
    </row>
    <row r="34" spans="1:14" x14ac:dyDescent="0.2">
      <c r="A34" s="651" t="s">
        <v>207</v>
      </c>
      <c r="B34" s="651"/>
      <c r="C34" s="651"/>
      <c r="D34" s="651"/>
      <c r="E34" s="651"/>
      <c r="F34" s="651"/>
      <c r="G34" s="651"/>
      <c r="H34" s="651"/>
      <c r="I34" s="651"/>
      <c r="J34" s="651"/>
      <c r="K34" s="651"/>
      <c r="L34" s="651"/>
      <c r="M34" s="651"/>
      <c r="N34" s="247" t="s">
        <v>67</v>
      </c>
    </row>
    <row r="35" spans="1:14" x14ac:dyDescent="0.2">
      <c r="N35" s="247" t="s">
        <v>68</v>
      </c>
    </row>
    <row r="36" spans="1:14" x14ac:dyDescent="0.2">
      <c r="N36" s="247"/>
    </row>
    <row r="39" spans="1:14" x14ac:dyDescent="0.2">
      <c r="A39" s="642" t="s">
        <v>46</v>
      </c>
      <c r="B39" s="643"/>
      <c r="C39" s="643"/>
      <c r="D39" s="643"/>
      <c r="E39" s="643"/>
      <c r="F39" s="643"/>
      <c r="G39" s="643"/>
      <c r="H39" s="643"/>
      <c r="I39" s="643"/>
      <c r="J39" s="643"/>
      <c r="K39" s="643"/>
    </row>
  </sheetData>
  <mergeCells count="14">
    <mergeCell ref="A39:K39"/>
    <mergeCell ref="A34:M34"/>
    <mergeCell ref="A1:M1"/>
    <mergeCell ref="A2:M2"/>
    <mergeCell ref="A3:M3"/>
    <mergeCell ref="A4:M4"/>
    <mergeCell ref="A7:A8"/>
    <mergeCell ref="B7:D7"/>
    <mergeCell ref="F7:H7"/>
    <mergeCell ref="K7:M7"/>
    <mergeCell ref="A28:M28"/>
    <mergeCell ref="A29:M29"/>
    <mergeCell ref="A31:M31"/>
    <mergeCell ref="A32:M32"/>
  </mergeCells>
  <printOptions horizontalCentered="1"/>
  <pageMargins left="0.7" right="0.7" top="0.66" bottom="0.66" header="0.3" footer="0.3"/>
  <pageSetup scale="80" orientation="landscape" r:id="rId1"/>
  <headerFooter>
    <oddHeader>&amp;L&amp;"Arial,Bold"G. Crosswalk of 2014 Availability</oddHeader>
    <oddFooter>&amp;CExhibit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zoomScale="80" zoomScaleNormal="100" zoomScaleSheetLayoutView="80" workbookViewId="0">
      <selection activeCell="A12" sqref="A12"/>
    </sheetView>
  </sheetViews>
  <sheetFormatPr defaultRowHeight="14.25" x14ac:dyDescent="0.2"/>
  <cols>
    <col min="1" max="1" width="37.33203125" style="287" customWidth="1"/>
    <col min="2" max="3" width="6.44140625" style="287" customWidth="1"/>
    <col min="4" max="4" width="9.88671875" style="287" customWidth="1"/>
    <col min="5" max="6" width="6.44140625" style="287" customWidth="1"/>
    <col min="7" max="7" width="9.88671875" style="287" customWidth="1"/>
    <col min="8" max="9" width="6.44140625" style="287" customWidth="1"/>
    <col min="10" max="10" width="9.88671875" style="287" customWidth="1"/>
    <col min="11" max="12" width="6.44140625" style="287" customWidth="1"/>
    <col min="13" max="13" width="9.88671875" style="287" customWidth="1"/>
    <col min="14" max="14" width="10.88671875" style="288" bestFit="1" customWidth="1"/>
    <col min="15" max="15" width="3.5546875" style="287" customWidth="1"/>
    <col min="16" max="17" width="6.44140625" style="287" customWidth="1"/>
    <col min="18" max="18" width="9.88671875" style="287" customWidth="1"/>
    <col min="19" max="20" width="6.44140625" style="287" customWidth="1"/>
    <col min="21" max="21" width="9.88671875" style="287" customWidth="1"/>
    <col min="22" max="16384" width="8.88671875" style="287"/>
  </cols>
  <sheetData>
    <row r="1" spans="1:21" ht="18" x14ac:dyDescent="0.25">
      <c r="A1" s="646" t="s">
        <v>84</v>
      </c>
      <c r="B1" s="646"/>
      <c r="C1" s="646"/>
      <c r="D1" s="646"/>
      <c r="E1" s="646"/>
      <c r="F1" s="646"/>
      <c r="G1" s="646"/>
      <c r="H1" s="646"/>
      <c r="I1" s="646"/>
      <c r="J1" s="646"/>
      <c r="K1" s="646"/>
      <c r="L1" s="646"/>
      <c r="M1" s="646"/>
      <c r="N1" s="304" t="s">
        <v>67</v>
      </c>
      <c r="O1" s="303"/>
      <c r="P1" s="303"/>
      <c r="Q1" s="303"/>
      <c r="R1" s="303"/>
      <c r="S1" s="303"/>
      <c r="T1" s="303"/>
      <c r="U1" s="303"/>
    </row>
    <row r="2" spans="1:21" ht="15" x14ac:dyDescent="0.2">
      <c r="A2" s="647" t="s">
        <v>16</v>
      </c>
      <c r="B2" s="647"/>
      <c r="C2" s="647"/>
      <c r="D2" s="647"/>
      <c r="E2" s="647"/>
      <c r="F2" s="647"/>
      <c r="G2" s="647"/>
      <c r="H2" s="647"/>
      <c r="I2" s="647"/>
      <c r="J2" s="647"/>
      <c r="K2" s="647"/>
      <c r="L2" s="647"/>
      <c r="M2" s="647"/>
      <c r="N2" s="304" t="s">
        <v>67</v>
      </c>
      <c r="O2" s="302"/>
      <c r="P2" s="302"/>
      <c r="Q2" s="302"/>
      <c r="R2" s="302"/>
      <c r="S2" s="302"/>
      <c r="T2" s="302"/>
      <c r="U2" s="302"/>
    </row>
    <row r="3" spans="1:21" x14ac:dyDescent="0.2">
      <c r="A3" s="648" t="s">
        <v>17</v>
      </c>
      <c r="B3" s="648"/>
      <c r="C3" s="648"/>
      <c r="D3" s="648"/>
      <c r="E3" s="648"/>
      <c r="F3" s="648"/>
      <c r="G3" s="648"/>
      <c r="H3" s="648"/>
      <c r="I3" s="648"/>
      <c r="J3" s="648"/>
      <c r="K3" s="648"/>
      <c r="L3" s="648"/>
      <c r="M3" s="648"/>
      <c r="N3" s="304" t="s">
        <v>67</v>
      </c>
      <c r="O3" s="301"/>
      <c r="P3" s="301"/>
      <c r="Q3" s="301"/>
      <c r="R3" s="301"/>
      <c r="S3" s="301"/>
      <c r="T3" s="301"/>
      <c r="U3" s="301"/>
    </row>
    <row r="4" spans="1:21" x14ac:dyDescent="0.2">
      <c r="A4" s="649" t="s">
        <v>39</v>
      </c>
      <c r="B4" s="649"/>
      <c r="C4" s="649"/>
      <c r="D4" s="649"/>
      <c r="E4" s="649"/>
      <c r="F4" s="649"/>
      <c r="G4" s="649"/>
      <c r="H4" s="649"/>
      <c r="I4" s="649"/>
      <c r="J4" s="649"/>
      <c r="K4" s="649"/>
      <c r="L4" s="649"/>
      <c r="M4" s="649"/>
      <c r="N4" s="304" t="s">
        <v>67</v>
      </c>
      <c r="O4" s="300"/>
      <c r="P4" s="300"/>
      <c r="Q4" s="300"/>
      <c r="R4" s="300"/>
      <c r="S4" s="300"/>
      <c r="T4" s="300"/>
      <c r="U4" s="300"/>
    </row>
    <row r="5" spans="1:21" x14ac:dyDescent="0.2">
      <c r="A5" s="649"/>
      <c r="B5" s="649"/>
      <c r="C5" s="649"/>
      <c r="D5" s="649"/>
      <c r="E5" s="649"/>
      <c r="F5" s="649"/>
      <c r="G5" s="649"/>
      <c r="H5" s="649"/>
      <c r="I5" s="649"/>
      <c r="J5" s="649"/>
      <c r="K5" s="649"/>
      <c r="L5" s="649"/>
      <c r="M5" s="649"/>
      <c r="N5" s="304" t="s">
        <v>67</v>
      </c>
      <c r="O5" s="300"/>
      <c r="P5" s="300"/>
      <c r="Q5" s="300"/>
      <c r="R5" s="300"/>
      <c r="S5" s="300"/>
      <c r="T5" s="300"/>
      <c r="U5" s="300"/>
    </row>
    <row r="6" spans="1:21" ht="15" thickBot="1" x14ac:dyDescent="0.25">
      <c r="A6" s="649"/>
      <c r="B6" s="649"/>
      <c r="C6" s="649"/>
      <c r="D6" s="649"/>
      <c r="E6" s="649"/>
      <c r="F6" s="649"/>
      <c r="G6" s="649"/>
      <c r="H6" s="649"/>
      <c r="I6" s="649"/>
      <c r="J6" s="649"/>
      <c r="K6" s="649"/>
      <c r="L6" s="649"/>
      <c r="M6" s="649"/>
      <c r="N6" s="304" t="s">
        <v>67</v>
      </c>
      <c r="O6" s="300"/>
      <c r="P6" s="300"/>
      <c r="Q6" s="300"/>
      <c r="R6" s="300"/>
      <c r="S6" s="300"/>
      <c r="T6" s="300"/>
      <c r="U6" s="300"/>
    </row>
    <row r="7" spans="1:21" ht="15" x14ac:dyDescent="0.2">
      <c r="A7" s="644" t="s">
        <v>179</v>
      </c>
      <c r="B7" s="602" t="s">
        <v>250</v>
      </c>
      <c r="C7" s="602"/>
      <c r="D7" s="602"/>
      <c r="E7" s="602" t="s">
        <v>214</v>
      </c>
      <c r="F7" s="602"/>
      <c r="G7" s="602"/>
      <c r="H7" s="602" t="s">
        <v>215</v>
      </c>
      <c r="I7" s="602"/>
      <c r="J7" s="602"/>
      <c r="K7" s="602" t="s">
        <v>85</v>
      </c>
      <c r="L7" s="602"/>
      <c r="M7" s="605"/>
      <c r="N7" s="304" t="s">
        <v>67</v>
      </c>
    </row>
    <row r="8" spans="1:21" ht="28.5" x14ac:dyDescent="0.2">
      <c r="A8" s="645"/>
      <c r="B8" s="295" t="s">
        <v>177</v>
      </c>
      <c r="C8" s="295" t="s">
        <v>176</v>
      </c>
      <c r="D8" s="295" t="s">
        <v>11</v>
      </c>
      <c r="E8" s="295" t="s">
        <v>177</v>
      </c>
      <c r="F8" s="295" t="s">
        <v>176</v>
      </c>
      <c r="G8" s="295" t="s">
        <v>11</v>
      </c>
      <c r="H8" s="295" t="s">
        <v>177</v>
      </c>
      <c r="I8" s="295" t="s">
        <v>176</v>
      </c>
      <c r="J8" s="295" t="s">
        <v>11</v>
      </c>
      <c r="K8" s="295" t="s">
        <v>177</v>
      </c>
      <c r="L8" s="295" t="s">
        <v>176</v>
      </c>
      <c r="M8" s="294" t="s">
        <v>11</v>
      </c>
      <c r="N8" s="304" t="s">
        <v>67</v>
      </c>
    </row>
    <row r="9" spans="1:21" x14ac:dyDescent="0.2">
      <c r="A9" s="299" t="s">
        <v>86</v>
      </c>
      <c r="B9" s="293">
        <v>0</v>
      </c>
      <c r="C9" s="293">
        <v>0</v>
      </c>
      <c r="D9" s="293">
        <f>18500-4689</f>
        <v>13811</v>
      </c>
      <c r="E9" s="293">
        <v>0</v>
      </c>
      <c r="F9" s="293">
        <v>0</v>
      </c>
      <c r="G9" s="293">
        <v>18500</v>
      </c>
      <c r="H9" s="293">
        <v>0</v>
      </c>
      <c r="I9" s="293">
        <v>0</v>
      </c>
      <c r="J9" s="293">
        <v>18500</v>
      </c>
      <c r="K9" s="293">
        <f t="shared" ref="K9:K19" si="0">H9-E9</f>
        <v>0</v>
      </c>
      <c r="L9" s="293">
        <f t="shared" ref="L9:L19" si="1">I9-F9</f>
        <v>0</v>
      </c>
      <c r="M9" s="292">
        <f t="shared" ref="M9:M19" si="2">J9-G9</f>
        <v>0</v>
      </c>
      <c r="N9" s="304" t="s">
        <v>67</v>
      </c>
    </row>
    <row r="10" spans="1:21" x14ac:dyDescent="0.2">
      <c r="A10" s="291" t="s">
        <v>87</v>
      </c>
      <c r="B10" s="290">
        <v>0</v>
      </c>
      <c r="C10" s="290">
        <v>0</v>
      </c>
      <c r="D10" s="290">
        <v>3700</v>
      </c>
      <c r="E10" s="290">
        <v>0</v>
      </c>
      <c r="F10" s="290">
        <v>0</v>
      </c>
      <c r="G10" s="290">
        <v>3700</v>
      </c>
      <c r="H10" s="290">
        <v>0</v>
      </c>
      <c r="I10" s="290">
        <v>0</v>
      </c>
      <c r="J10" s="290">
        <v>3700</v>
      </c>
      <c r="K10" s="290">
        <f t="shared" si="0"/>
        <v>0</v>
      </c>
      <c r="L10" s="290">
        <f t="shared" si="1"/>
        <v>0</v>
      </c>
      <c r="M10" s="289">
        <f t="shared" si="2"/>
        <v>0</v>
      </c>
      <c r="N10" s="304" t="s">
        <v>67</v>
      </c>
    </row>
    <row r="11" spans="1:21" x14ac:dyDescent="0.2">
      <c r="A11" s="291" t="s">
        <v>22</v>
      </c>
      <c r="B11" s="290">
        <v>0</v>
      </c>
      <c r="C11" s="290">
        <v>0</v>
      </c>
      <c r="D11" s="290">
        <v>1400</v>
      </c>
      <c r="E11" s="290">
        <v>0</v>
      </c>
      <c r="F11" s="290">
        <v>0</v>
      </c>
      <c r="G11" s="290">
        <v>1400</v>
      </c>
      <c r="H11" s="290">
        <v>0</v>
      </c>
      <c r="I11" s="290">
        <v>0</v>
      </c>
      <c r="J11" s="290">
        <v>1400</v>
      </c>
      <c r="K11" s="290">
        <f t="shared" si="0"/>
        <v>0</v>
      </c>
      <c r="L11" s="290">
        <f t="shared" si="1"/>
        <v>0</v>
      </c>
      <c r="M11" s="289">
        <f t="shared" si="2"/>
        <v>0</v>
      </c>
      <c r="N11" s="304" t="s">
        <v>67</v>
      </c>
    </row>
    <row r="12" spans="1:21" x14ac:dyDescent="0.2">
      <c r="A12" s="291" t="s">
        <v>88</v>
      </c>
      <c r="B12" s="290">
        <v>0</v>
      </c>
      <c r="C12" s="290">
        <v>0</v>
      </c>
      <c r="D12" s="290">
        <v>500</v>
      </c>
      <c r="E12" s="290">
        <v>0</v>
      </c>
      <c r="F12" s="290">
        <v>0</v>
      </c>
      <c r="G12" s="290">
        <v>500</v>
      </c>
      <c r="H12" s="290">
        <v>0</v>
      </c>
      <c r="I12" s="290">
        <v>0</v>
      </c>
      <c r="J12" s="290">
        <v>500</v>
      </c>
      <c r="K12" s="290">
        <f t="shared" si="0"/>
        <v>0</v>
      </c>
      <c r="L12" s="290">
        <f t="shared" si="1"/>
        <v>0</v>
      </c>
      <c r="M12" s="289">
        <f t="shared" si="2"/>
        <v>0</v>
      </c>
      <c r="N12" s="304" t="s">
        <v>67</v>
      </c>
    </row>
    <row r="13" spans="1:21" x14ac:dyDescent="0.2">
      <c r="A13" s="291" t="s">
        <v>89</v>
      </c>
      <c r="B13" s="290">
        <v>0</v>
      </c>
      <c r="C13" s="290">
        <v>0</v>
      </c>
      <c r="D13" s="290">
        <v>600</v>
      </c>
      <c r="E13" s="290">
        <v>0</v>
      </c>
      <c r="F13" s="290">
        <v>0</v>
      </c>
      <c r="G13" s="290">
        <v>600</v>
      </c>
      <c r="H13" s="290">
        <v>0</v>
      </c>
      <c r="I13" s="290">
        <v>0</v>
      </c>
      <c r="J13" s="290">
        <v>600</v>
      </c>
      <c r="K13" s="290">
        <f t="shared" si="0"/>
        <v>0</v>
      </c>
      <c r="L13" s="290">
        <f t="shared" si="1"/>
        <v>0</v>
      </c>
      <c r="M13" s="289">
        <f t="shared" si="2"/>
        <v>0</v>
      </c>
      <c r="N13" s="304" t="s">
        <v>67</v>
      </c>
    </row>
    <row r="14" spans="1:21" x14ac:dyDescent="0.2">
      <c r="A14" s="291" t="s">
        <v>90</v>
      </c>
      <c r="B14" s="290">
        <v>0</v>
      </c>
      <c r="C14" s="290">
        <v>0</v>
      </c>
      <c r="D14" s="290">
        <v>18100</v>
      </c>
      <c r="E14" s="290">
        <v>0</v>
      </c>
      <c r="F14" s="290">
        <v>0</v>
      </c>
      <c r="G14" s="290">
        <v>18100</v>
      </c>
      <c r="H14" s="290">
        <v>0</v>
      </c>
      <c r="I14" s="290">
        <v>0</v>
      </c>
      <c r="J14" s="290">
        <v>18100</v>
      </c>
      <c r="K14" s="290">
        <f t="shared" si="0"/>
        <v>0</v>
      </c>
      <c r="L14" s="290">
        <f t="shared" si="1"/>
        <v>0</v>
      </c>
      <c r="M14" s="289">
        <f t="shared" si="2"/>
        <v>0</v>
      </c>
      <c r="N14" s="304" t="s">
        <v>67</v>
      </c>
    </row>
    <row r="15" spans="1:21" x14ac:dyDescent="0.2">
      <c r="A15" s="291" t="s">
        <v>91</v>
      </c>
      <c r="B15" s="290">
        <v>0</v>
      </c>
      <c r="C15" s="290">
        <v>0</v>
      </c>
      <c r="D15" s="290">
        <v>3300</v>
      </c>
      <c r="E15" s="290">
        <v>0</v>
      </c>
      <c r="F15" s="290">
        <v>0</v>
      </c>
      <c r="G15" s="290">
        <v>0</v>
      </c>
      <c r="H15" s="290">
        <v>0</v>
      </c>
      <c r="I15" s="290">
        <v>0</v>
      </c>
      <c r="J15" s="290">
        <v>0</v>
      </c>
      <c r="K15" s="290">
        <f t="shared" si="0"/>
        <v>0</v>
      </c>
      <c r="L15" s="290">
        <f t="shared" si="1"/>
        <v>0</v>
      </c>
      <c r="M15" s="289">
        <f t="shared" si="2"/>
        <v>0</v>
      </c>
      <c r="N15" s="304" t="s">
        <v>67</v>
      </c>
    </row>
    <row r="16" spans="1:21" x14ac:dyDescent="0.2">
      <c r="A16" s="291" t="s">
        <v>92</v>
      </c>
      <c r="B16" s="290">
        <v>0</v>
      </c>
      <c r="C16" s="290">
        <v>0</v>
      </c>
      <c r="D16" s="290">
        <v>2000</v>
      </c>
      <c r="E16" s="290">
        <v>0</v>
      </c>
      <c r="F16" s="290">
        <v>0</v>
      </c>
      <c r="G16" s="290">
        <v>2000</v>
      </c>
      <c r="H16" s="290">
        <v>0</v>
      </c>
      <c r="I16" s="290">
        <v>0</v>
      </c>
      <c r="J16" s="290">
        <v>2000</v>
      </c>
      <c r="K16" s="290">
        <f t="shared" si="0"/>
        <v>0</v>
      </c>
      <c r="L16" s="290">
        <f t="shared" si="1"/>
        <v>0</v>
      </c>
      <c r="M16" s="289">
        <f t="shared" si="2"/>
        <v>0</v>
      </c>
      <c r="N16" s="304" t="s">
        <v>67</v>
      </c>
    </row>
    <row r="17" spans="1:14" x14ac:dyDescent="0.2">
      <c r="A17" s="291" t="s">
        <v>93</v>
      </c>
      <c r="B17" s="290">
        <v>0</v>
      </c>
      <c r="C17" s="290">
        <v>0</v>
      </c>
      <c r="D17" s="290">
        <v>500</v>
      </c>
      <c r="E17" s="290">
        <v>0</v>
      </c>
      <c r="F17" s="290">
        <v>0</v>
      </c>
      <c r="G17" s="290">
        <v>500</v>
      </c>
      <c r="H17" s="290">
        <v>0</v>
      </c>
      <c r="I17" s="290">
        <v>0</v>
      </c>
      <c r="J17" s="290">
        <v>500</v>
      </c>
      <c r="K17" s="290">
        <f t="shared" si="0"/>
        <v>0</v>
      </c>
      <c r="L17" s="290">
        <f t="shared" si="1"/>
        <v>0</v>
      </c>
      <c r="M17" s="289">
        <f t="shared" si="2"/>
        <v>0</v>
      </c>
      <c r="N17" s="304" t="s">
        <v>67</v>
      </c>
    </row>
    <row r="18" spans="1:14" x14ac:dyDescent="0.2">
      <c r="A18" s="291" t="s">
        <v>178</v>
      </c>
      <c r="B18" s="290">
        <v>0</v>
      </c>
      <c r="C18" s="290">
        <v>0</v>
      </c>
      <c r="D18" s="290">
        <v>4500</v>
      </c>
      <c r="E18" s="290">
        <v>0</v>
      </c>
      <c r="F18" s="290">
        <v>0</v>
      </c>
      <c r="G18" s="290">
        <v>4500</v>
      </c>
      <c r="H18" s="290">
        <v>0</v>
      </c>
      <c r="I18" s="290">
        <v>0</v>
      </c>
      <c r="J18" s="290">
        <v>4500</v>
      </c>
      <c r="K18" s="290">
        <f t="shared" si="0"/>
        <v>0</v>
      </c>
      <c r="L18" s="290">
        <f t="shared" si="1"/>
        <v>0</v>
      </c>
      <c r="M18" s="289">
        <f t="shared" si="2"/>
        <v>0</v>
      </c>
      <c r="N18" s="304" t="s">
        <v>67</v>
      </c>
    </row>
    <row r="19" spans="1:14" x14ac:dyDescent="0.2">
      <c r="A19" s="291" t="s">
        <v>94</v>
      </c>
      <c r="B19" s="290">
        <v>0</v>
      </c>
      <c r="C19" s="290">
        <v>0</v>
      </c>
      <c r="D19" s="290">
        <v>200</v>
      </c>
      <c r="E19" s="290">
        <v>0</v>
      </c>
      <c r="F19" s="290">
        <v>0</v>
      </c>
      <c r="G19" s="290">
        <v>200</v>
      </c>
      <c r="H19" s="290">
        <v>0</v>
      </c>
      <c r="I19" s="290">
        <v>0</v>
      </c>
      <c r="J19" s="290">
        <v>200</v>
      </c>
      <c r="K19" s="290">
        <f t="shared" si="0"/>
        <v>0</v>
      </c>
      <c r="L19" s="290">
        <f t="shared" si="1"/>
        <v>0</v>
      </c>
      <c r="M19" s="289">
        <f t="shared" si="2"/>
        <v>0</v>
      </c>
      <c r="N19" s="304" t="s">
        <v>67</v>
      </c>
    </row>
    <row r="20" spans="1:14" ht="15.75" thickBot="1" x14ac:dyDescent="0.3">
      <c r="A20" s="510" t="s">
        <v>175</v>
      </c>
      <c r="B20" s="512">
        <f t="shared" ref="B20:M20" si="3">SUM(B9:B19)</f>
        <v>0</v>
      </c>
      <c r="C20" s="513">
        <f t="shared" si="3"/>
        <v>0</v>
      </c>
      <c r="D20" s="513">
        <f t="shared" si="3"/>
        <v>48611</v>
      </c>
      <c r="E20" s="512">
        <f t="shared" si="3"/>
        <v>0</v>
      </c>
      <c r="F20" s="513">
        <f t="shared" si="3"/>
        <v>0</v>
      </c>
      <c r="G20" s="513">
        <f t="shared" si="3"/>
        <v>50000</v>
      </c>
      <c r="H20" s="513">
        <f t="shared" si="3"/>
        <v>0</v>
      </c>
      <c r="I20" s="512">
        <f t="shared" si="3"/>
        <v>0</v>
      </c>
      <c r="J20" s="512">
        <f t="shared" si="3"/>
        <v>50000</v>
      </c>
      <c r="K20" s="512">
        <f t="shared" si="3"/>
        <v>0</v>
      </c>
      <c r="L20" s="513">
        <f t="shared" si="3"/>
        <v>0</v>
      </c>
      <c r="M20" s="514">
        <f t="shared" si="3"/>
        <v>0</v>
      </c>
      <c r="N20" s="304" t="s">
        <v>67</v>
      </c>
    </row>
    <row r="21" spans="1:14" ht="15" thickBot="1" x14ac:dyDescent="0.25">
      <c r="A21" s="511"/>
      <c r="B21" s="511"/>
      <c r="E21" s="511"/>
      <c r="I21" s="511"/>
      <c r="J21" s="511"/>
      <c r="K21" s="511"/>
      <c r="N21" s="304" t="s">
        <v>67</v>
      </c>
    </row>
    <row r="22" spans="1:14" ht="18" customHeight="1" x14ac:dyDescent="0.2">
      <c r="A22" s="644" t="s">
        <v>136</v>
      </c>
      <c r="B22" s="602" t="str">
        <f>+B7</f>
        <v>2013 Actual</v>
      </c>
      <c r="C22" s="602"/>
      <c r="D22" s="602"/>
      <c r="E22" s="602" t="str">
        <f>+E7</f>
        <v>2014 Planned</v>
      </c>
      <c r="F22" s="602"/>
      <c r="G22" s="602"/>
      <c r="H22" s="602" t="str">
        <f>+H7</f>
        <v>2015 Request</v>
      </c>
      <c r="I22" s="602"/>
      <c r="J22" s="602"/>
      <c r="K22" s="602" t="s">
        <v>85</v>
      </c>
      <c r="L22" s="602"/>
      <c r="M22" s="605"/>
      <c r="N22" s="304" t="s">
        <v>67</v>
      </c>
    </row>
    <row r="23" spans="1:14" ht="28.5" x14ac:dyDescent="0.2">
      <c r="A23" s="645"/>
      <c r="B23" s="295" t="s">
        <v>177</v>
      </c>
      <c r="C23" s="295" t="s">
        <v>176</v>
      </c>
      <c r="D23" s="295" t="s">
        <v>11</v>
      </c>
      <c r="E23" s="295" t="s">
        <v>177</v>
      </c>
      <c r="F23" s="295" t="s">
        <v>176</v>
      </c>
      <c r="G23" s="295" t="s">
        <v>11</v>
      </c>
      <c r="H23" s="295" t="s">
        <v>177</v>
      </c>
      <c r="I23" s="295" t="s">
        <v>176</v>
      </c>
      <c r="J23" s="295" t="s">
        <v>11</v>
      </c>
      <c r="K23" s="295" t="s">
        <v>177</v>
      </c>
      <c r="L23" s="295" t="s">
        <v>176</v>
      </c>
      <c r="M23" s="294" t="s">
        <v>11</v>
      </c>
      <c r="N23" s="304" t="s">
        <v>67</v>
      </c>
    </row>
    <row r="24" spans="1:14" x14ac:dyDescent="0.2">
      <c r="A24" s="299" t="s">
        <v>121</v>
      </c>
      <c r="B24" s="293">
        <v>0</v>
      </c>
      <c r="C24" s="293">
        <v>0</v>
      </c>
      <c r="D24" s="293">
        <v>48611</v>
      </c>
      <c r="E24" s="293">
        <v>0</v>
      </c>
      <c r="F24" s="293">
        <v>0</v>
      </c>
      <c r="G24" s="293">
        <v>50000</v>
      </c>
      <c r="H24" s="293">
        <v>0</v>
      </c>
      <c r="I24" s="293">
        <v>0</v>
      </c>
      <c r="J24" s="293">
        <v>50000</v>
      </c>
      <c r="K24" s="293">
        <f>H24-E24</f>
        <v>0</v>
      </c>
      <c r="L24" s="293">
        <f>I24-F24</f>
        <v>0</v>
      </c>
      <c r="M24" s="292">
        <f>J24-G24</f>
        <v>0</v>
      </c>
      <c r="N24" s="304" t="s">
        <v>67</v>
      </c>
    </row>
    <row r="25" spans="1:14" x14ac:dyDescent="0.2">
      <c r="A25" s="298" t="s">
        <v>46</v>
      </c>
      <c r="B25" s="297" t="s">
        <v>46</v>
      </c>
      <c r="C25" s="297" t="s">
        <v>46</v>
      </c>
      <c r="D25" s="297" t="s">
        <v>41</v>
      </c>
      <c r="E25" s="297" t="s">
        <v>46</v>
      </c>
      <c r="F25" s="297" t="s">
        <v>46</v>
      </c>
      <c r="G25" s="297" t="s">
        <v>46</v>
      </c>
      <c r="H25" s="297"/>
      <c r="I25" s="297" t="s">
        <v>46</v>
      </c>
      <c r="J25" s="297" t="s">
        <v>46</v>
      </c>
      <c r="K25" s="297" t="s">
        <v>46</v>
      </c>
      <c r="L25" s="297" t="s">
        <v>46</v>
      </c>
      <c r="M25" s="296" t="s">
        <v>46</v>
      </c>
      <c r="N25" s="304" t="s">
        <v>67</v>
      </c>
    </row>
    <row r="26" spans="1:14" ht="15.75" thickBot="1" x14ac:dyDescent="0.3">
      <c r="A26" s="515" t="s">
        <v>175</v>
      </c>
      <c r="B26" s="512">
        <f t="shared" ref="B26:M26" si="4">SUM(B24:B25)</f>
        <v>0</v>
      </c>
      <c r="C26" s="512">
        <f t="shared" si="4"/>
        <v>0</v>
      </c>
      <c r="D26" s="512">
        <f t="shared" si="4"/>
        <v>48611</v>
      </c>
      <c r="E26" s="513">
        <f t="shared" si="4"/>
        <v>0</v>
      </c>
      <c r="F26" s="513">
        <f t="shared" si="4"/>
        <v>0</v>
      </c>
      <c r="G26" s="512">
        <f t="shared" si="4"/>
        <v>50000</v>
      </c>
      <c r="H26" s="513">
        <f t="shared" si="4"/>
        <v>0</v>
      </c>
      <c r="I26" s="513">
        <f t="shared" si="4"/>
        <v>0</v>
      </c>
      <c r="J26" s="513">
        <f t="shared" si="4"/>
        <v>50000</v>
      </c>
      <c r="K26" s="513">
        <f t="shared" si="4"/>
        <v>0</v>
      </c>
      <c r="L26" s="513">
        <f t="shared" si="4"/>
        <v>0</v>
      </c>
      <c r="M26" s="514">
        <f t="shared" si="4"/>
        <v>0</v>
      </c>
      <c r="N26" s="304" t="s">
        <v>67</v>
      </c>
    </row>
    <row r="27" spans="1:14" x14ac:dyDescent="0.2">
      <c r="B27" s="516"/>
      <c r="C27" s="516"/>
      <c r="D27" s="516"/>
      <c r="G27" s="516"/>
      <c r="N27" s="304" t="s">
        <v>68</v>
      </c>
    </row>
    <row r="28" spans="1:14" x14ac:dyDescent="0.2">
      <c r="N28" s="304"/>
    </row>
  </sheetData>
  <mergeCells count="16">
    <mergeCell ref="A6:M6"/>
    <mergeCell ref="A1:M1"/>
    <mergeCell ref="A2:M2"/>
    <mergeCell ref="A3:M3"/>
    <mergeCell ref="A4:M4"/>
    <mergeCell ref="A5:M5"/>
    <mergeCell ref="A22:A23"/>
    <mergeCell ref="B22:D22"/>
    <mergeCell ref="E22:G22"/>
    <mergeCell ref="H22:J22"/>
    <mergeCell ref="K22:M22"/>
    <mergeCell ref="A7:A8"/>
    <mergeCell ref="B7:D7"/>
    <mergeCell ref="E7:G7"/>
    <mergeCell ref="H7:J7"/>
    <mergeCell ref="K7:M7"/>
  </mergeCells>
  <printOptions horizontalCentered="1"/>
  <pageMargins left="0.7" right="0.7" top="0.75" bottom="0.75" header="0.8"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A. Org. Chart</vt:lpstr>
      <vt:lpstr>B. Summ of Req.</vt:lpstr>
      <vt:lpstr>B. Summ of Req. by DU</vt:lpstr>
      <vt:lpstr>C. Program Changes by DU</vt:lpstr>
      <vt:lpstr>D. Strategic Goals &amp; Objectives</vt:lpstr>
      <vt:lpstr>E. ATB Justification</vt:lpstr>
      <vt:lpstr>F. 2013 Crosswalk </vt:lpstr>
      <vt:lpstr>G. 2014 Crosswalk </vt:lpstr>
      <vt:lpstr>H. Reimbursable Resources</vt:lpstr>
      <vt:lpstr>I. Permanent Positions</vt:lpstr>
      <vt:lpstr>J. Financial Analysis</vt:lpstr>
      <vt:lpstr>K. Summary by Object Class</vt:lpstr>
      <vt:lpstr>L. Studies, Reports &amp; Eval.</vt:lpstr>
      <vt:lpstr>M. Summary by Appropriation</vt:lpstr>
      <vt:lpstr>N. Summary of Change</vt:lpstr>
      <vt:lpstr>O.Historical Obligations </vt:lpstr>
      <vt:lpstr>P. PCAP</vt:lpstr>
      <vt:lpstr>'A. Org. Chart'!Print_Area</vt:lpstr>
      <vt:lpstr>'B. Summ of Req.'!Print_Area</vt:lpstr>
      <vt:lpstr>'B. Summ of Req. by DU'!Print_Area</vt:lpstr>
      <vt:lpstr>'C. Program Changes by DU'!Print_Area</vt:lpstr>
      <vt:lpstr>'D. Strategic Goals &amp; Objectives'!Print_Area</vt:lpstr>
      <vt:lpstr>'E. ATB Justification'!Print_Area</vt:lpstr>
      <vt:lpstr>'F. 2013 Crosswalk '!Print_Area</vt:lpstr>
      <vt:lpstr>'G. 2014 Crosswalk '!Print_Area</vt:lpstr>
      <vt:lpstr>'H. Reimbursable Resources'!Print_Area</vt:lpstr>
      <vt:lpstr>'I. Permanent Positions'!Print_Area</vt:lpstr>
      <vt:lpstr>'J. Financial Analysis'!Print_Area</vt:lpstr>
      <vt:lpstr>'K. Summary by Object Class'!Print_Area</vt:lpstr>
      <vt:lpstr>'L. Studies, Reports &amp; Eval.'!Print_Area</vt:lpstr>
      <vt:lpstr>'M. Summary by Appropriation'!Print_Area</vt:lpstr>
      <vt:lpstr>'N. Summary of Change'!Print_Area</vt:lpstr>
      <vt:lpstr>'O.Historical Obligations '!Print_Area</vt:lpstr>
      <vt:lpstr>'P. PCAP'!Print_Area</vt:lpstr>
      <vt:lpstr>'E. ATB Justification'!Print_Titles</vt:lpstr>
      <vt:lpstr>'J. Financial Analysis'!Print_Titles</vt:lpstr>
      <vt:lpstr>'K. Summary by Object Class'!Print_Titles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2014-03-07T17:30:08Z</cp:lastPrinted>
  <dcterms:created xsi:type="dcterms:W3CDTF">2006-12-18T16:48:27Z</dcterms:created>
  <dcterms:modified xsi:type="dcterms:W3CDTF">2014-03-11T16:14:09Z</dcterms:modified>
</cp:coreProperties>
</file>