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80" yWindow="840" windowWidth="19440" windowHeight="10725" tabRatio="806" firstSheet="3" activeTab="9"/>
  </bookViews>
  <sheets>
    <sheet name="A. Organization Chart" sheetId="23" r:id="rId1"/>
    <sheet name="B. Summ of Req." sheetId="20" r:id="rId2"/>
    <sheet name="B. Summ of Req. by DU" sheetId="4" r:id="rId3"/>
    <sheet name="C. Program Changes by DU" sheetId="5" r:id="rId4"/>
    <sheet name="D. Strategic Goals &amp; Objectives" sheetId="24" r:id="rId5"/>
    <sheet name="E. ATB Justification" sheetId="25" r:id="rId6"/>
    <sheet name="F. 2013 Crosswalk" sheetId="26" r:id="rId7"/>
    <sheet name="G. 2014 Crosswalk" sheetId="27" r:id="rId8"/>
    <sheet name="H. Reimbursable Resources" sheetId="30" r:id="rId9"/>
    <sheet name="I. Permanent Positions" sheetId="40" r:id="rId10"/>
    <sheet name="J. Financial Analysis" sheetId="32" r:id="rId11"/>
    <sheet name="K. Summary by OC " sheetId="28" r:id="rId12"/>
    <sheet name="L. Studies" sheetId="29" r:id="rId13"/>
    <sheet name="B. Summ of Req.(CNST)" sheetId="34" r:id="rId14"/>
    <sheet name="B. Summ of Req. by DU (CNST)" sheetId="35" r:id="rId15"/>
    <sheet name="D. Strat Goals &amp; Object (CNST)" sheetId="36" r:id="rId16"/>
    <sheet name="F. 2013 Crosswalk (CNST)" sheetId="37" r:id="rId17"/>
    <sheet name="G. 2014 Crosswalk (CNST)" sheetId="38" r:id="rId18"/>
    <sheet name="K. Summary by OC (CNST)" sheetId="39" r:id="rId19"/>
  </sheets>
  <definedNames>
    <definedName name="_11POS_BY_CAT" localSheetId="0">#REF!</definedName>
    <definedName name="_11POS_BY_CAT" localSheetId="14">#REF!</definedName>
    <definedName name="_11POS_BY_CAT" localSheetId="13">#REF!</definedName>
    <definedName name="_11POS_BY_CAT" localSheetId="15">#REF!</definedName>
    <definedName name="_11POS_BY_CAT" localSheetId="4">#REF!</definedName>
    <definedName name="_11POS_BY_CAT" localSheetId="5">#REF!</definedName>
    <definedName name="_11POS_BY_CAT" localSheetId="6">#REF!</definedName>
    <definedName name="_11POS_BY_CAT" localSheetId="16">#REF!</definedName>
    <definedName name="_11POS_BY_CAT" localSheetId="7">#REF!</definedName>
    <definedName name="_11POS_BY_CAT" localSheetId="17">#REF!</definedName>
    <definedName name="_11POS_BY_CAT" localSheetId="10">#REF!</definedName>
    <definedName name="_11POS_BY_CAT" localSheetId="11">#REF!</definedName>
    <definedName name="_11POS_BY_CAT" localSheetId="18">#REF!</definedName>
    <definedName name="_11POS_BY_CAT" localSheetId="12">#REF!</definedName>
    <definedName name="_11POS_BY_CAT">#REF!</definedName>
    <definedName name="_1ATTORNEY_SUPP" localSheetId="15">#REF!</definedName>
    <definedName name="_1ATTORNEY_SUPP" localSheetId="4">#REF!</definedName>
    <definedName name="_1ATTORNEY_SUPP" localSheetId="10">#REF!</definedName>
    <definedName name="_1ATTORNEY_SUPP" localSheetId="11">#REF!</definedName>
    <definedName name="_1ATTORNEY_SUPP" localSheetId="12">#REF!</definedName>
    <definedName name="_1ATTORNEY_SUPP">#REF!</definedName>
    <definedName name="_2ATTORNEY_SUPP" localSheetId="0">#REF!</definedName>
    <definedName name="_2ATTORNEY_SUPP" localSheetId="15">#REF!</definedName>
    <definedName name="_2ATTORNEY_SUPP" localSheetId="4">#REF!</definedName>
    <definedName name="_2ATTORNEY_SUPP" localSheetId="10">#REF!</definedName>
    <definedName name="_2ATTORNEY_SUPP" localSheetId="11">#REF!</definedName>
    <definedName name="_2ATTORNEY_SUPP" localSheetId="12">#REF!</definedName>
    <definedName name="_2ATTORNEY_SUPP">#REF!</definedName>
    <definedName name="_2GA_ROLLUP" localSheetId="11">#REF!</definedName>
    <definedName name="_2GA_ROLLUP" localSheetId="12">#REF!</definedName>
    <definedName name="_2GA_ROLLUP">#REF!</definedName>
    <definedName name="_3POS_BY_CAT" localSheetId="11">#REF!</definedName>
    <definedName name="_3POS_BY_CAT" localSheetId="12">#REF!</definedName>
    <definedName name="_3POS_BY_CAT">#REF!</definedName>
    <definedName name="_6GA_ROLLUP" localSheetId="11">#REF!</definedName>
    <definedName name="_6GA_ROLLUP" localSheetId="12">#REF!</definedName>
    <definedName name="_6GA_ROLLUP">#REF!</definedName>
    <definedName name="_7GA_ROLLUP" localSheetId="0">#REF!</definedName>
    <definedName name="_7GA_ROLLUP" localSheetId="11">#REF!</definedName>
    <definedName name="_7GA_ROLLUP" localSheetId="12">#REF!</definedName>
    <definedName name="_7GA_ROLLUP">#REF!</definedName>
    <definedName name="_9POS_BY_CAT" localSheetId="11">#REF!</definedName>
    <definedName name="_9POS_BY_CAT" localSheetId="12">#REF!</definedName>
    <definedName name="_9POS_BY_CAT">#REF!</definedName>
    <definedName name="DL" localSheetId="0">#REF!</definedName>
    <definedName name="DL" localSheetId="11">#REF!</definedName>
    <definedName name="DL" localSheetId="12">#REF!</definedName>
    <definedName name="DL">#REF!</definedName>
    <definedName name="EXECSUPP" localSheetId="0">#REF!</definedName>
    <definedName name="EXECSUPP" localSheetId="11">#REF!</definedName>
    <definedName name="EXECSUPP" localSheetId="12">#REF!</definedName>
    <definedName name="EXECSUPP">#REF!</definedName>
    <definedName name="FY0711.1" localSheetId="0">#REF!</definedName>
    <definedName name="FY0711.1" localSheetId="11">#REF!</definedName>
    <definedName name="FY0711.1" localSheetId="12">#REF!</definedName>
    <definedName name="FY0711.1">#REF!</definedName>
    <definedName name="FY0711.5" localSheetId="0">#REF!</definedName>
    <definedName name="FY0711.5" localSheetId="11">#REF!</definedName>
    <definedName name="FY0711.5" localSheetId="12">#REF!</definedName>
    <definedName name="FY0711.5">#REF!</definedName>
    <definedName name="FY0712.1" localSheetId="0">#REF!</definedName>
    <definedName name="FY0712.1" localSheetId="11">#REF!</definedName>
    <definedName name="FY0712.1" localSheetId="12">#REF!</definedName>
    <definedName name="FY0712.1">#REF!</definedName>
    <definedName name="FY0721.0" localSheetId="0">#REF!</definedName>
    <definedName name="FY0721.0" localSheetId="11">#REF!</definedName>
    <definedName name="FY0721.0" localSheetId="12">#REF!</definedName>
    <definedName name="FY0721.0">#REF!</definedName>
    <definedName name="FY0722.0" localSheetId="0">#REF!</definedName>
    <definedName name="FY0722.0" localSheetId="11">#REF!</definedName>
    <definedName name="FY0722.0" localSheetId="12">#REF!</definedName>
    <definedName name="FY0722.0">#REF!</definedName>
    <definedName name="FY0723.1" localSheetId="0">#REF!</definedName>
    <definedName name="FY0723.1" localSheetId="11">#REF!</definedName>
    <definedName name="FY0723.1" localSheetId="12">#REF!</definedName>
    <definedName name="FY0723.1">#REF!</definedName>
    <definedName name="FY0723.2" localSheetId="0">#REF!</definedName>
    <definedName name="FY0723.2" localSheetId="11">#REF!</definedName>
    <definedName name="FY0723.2" localSheetId="12">#REF!</definedName>
    <definedName name="FY0723.2">#REF!</definedName>
    <definedName name="FY0723.3" localSheetId="0">#REF!</definedName>
    <definedName name="FY0723.3" localSheetId="11">#REF!</definedName>
    <definedName name="FY0723.3" localSheetId="12">#REF!</definedName>
    <definedName name="FY0723.3">#REF!</definedName>
    <definedName name="FY0724.0" localSheetId="0">#REF!</definedName>
    <definedName name="FY0724.0" localSheetId="11">#REF!</definedName>
    <definedName name="FY0724.0" localSheetId="12">#REF!</definedName>
    <definedName name="FY0724.0">#REF!</definedName>
    <definedName name="FY0725.2" localSheetId="0">#REF!</definedName>
    <definedName name="FY0725.2" localSheetId="11">#REF!</definedName>
    <definedName name="FY0725.2" localSheetId="12">#REF!</definedName>
    <definedName name="FY0725.2">#REF!</definedName>
    <definedName name="FY0725.3" localSheetId="0">#REF!</definedName>
    <definedName name="FY0725.3" localSheetId="11">#REF!</definedName>
    <definedName name="FY0725.3" localSheetId="12">#REF!</definedName>
    <definedName name="FY0725.3">#REF!</definedName>
    <definedName name="FY0725.6" localSheetId="0">#REF!</definedName>
    <definedName name="FY0725.6" localSheetId="11">#REF!</definedName>
    <definedName name="FY0725.6" localSheetId="12">#REF!</definedName>
    <definedName name="FY0725.6">#REF!</definedName>
    <definedName name="FY0726.0" localSheetId="0">#REF!</definedName>
    <definedName name="FY0726.0" localSheetId="11">#REF!</definedName>
    <definedName name="FY0726.0" localSheetId="12">#REF!</definedName>
    <definedName name="FY0726.0">#REF!</definedName>
    <definedName name="FY0731.0" localSheetId="0">#REF!</definedName>
    <definedName name="FY0731.0" localSheetId="11">#REF!</definedName>
    <definedName name="FY0731.0" localSheetId="12">#REF!</definedName>
    <definedName name="FY0731.0">#REF!</definedName>
    <definedName name="FY0732.0" localSheetId="0">#REF!</definedName>
    <definedName name="FY0732.0" localSheetId="11">#REF!</definedName>
    <definedName name="FY0732.0" localSheetId="12">#REF!</definedName>
    <definedName name="FY0732.0">#REF!</definedName>
    <definedName name="FY07Ling" localSheetId="0">#REF!</definedName>
    <definedName name="FY07Ling" localSheetId="11">#REF!</definedName>
    <definedName name="FY07Ling" localSheetId="12">#REF!</definedName>
    <definedName name="FY07Ling">#REF!</definedName>
    <definedName name="FY07Mult" localSheetId="0">#REF!</definedName>
    <definedName name="FY07Mult" localSheetId="11">#REF!</definedName>
    <definedName name="FY07Mult" localSheetId="12">#REF!</definedName>
    <definedName name="FY07Mult">#REF!</definedName>
    <definedName name="FY07PEPI" localSheetId="0">#REF!</definedName>
    <definedName name="FY07PEPI" localSheetId="11">#REF!</definedName>
    <definedName name="FY07PEPI" localSheetId="12">#REF!</definedName>
    <definedName name="FY07PEPI">#REF!</definedName>
    <definedName name="FY07Tot" localSheetId="0">#REF!</definedName>
    <definedName name="FY07Tot" localSheetId="11">#REF!</definedName>
    <definedName name="FY07Tot" localSheetId="12">#REF!</definedName>
    <definedName name="FY07Tot">#REF!</definedName>
    <definedName name="FY07Train" localSheetId="0">#REF!</definedName>
    <definedName name="FY07Train" localSheetId="11">#REF!</definedName>
    <definedName name="FY07Train" localSheetId="12">#REF!</definedName>
    <definedName name="FY07Train">#REF!</definedName>
    <definedName name="FY0811.1" localSheetId="0">#REF!</definedName>
    <definedName name="FY0811.1" localSheetId="11">#REF!</definedName>
    <definedName name="FY0811.1" localSheetId="12">#REF!</definedName>
    <definedName name="FY0811.1">#REF!</definedName>
    <definedName name="FY0811.5" localSheetId="0">#REF!</definedName>
    <definedName name="FY0811.5" localSheetId="11">#REF!</definedName>
    <definedName name="FY0811.5" localSheetId="12">#REF!</definedName>
    <definedName name="FY0811.5">#REF!</definedName>
    <definedName name="FY0812.1" localSheetId="0">#REF!</definedName>
    <definedName name="FY0812.1" localSheetId="11">#REF!</definedName>
    <definedName name="FY0812.1" localSheetId="12">#REF!</definedName>
    <definedName name="FY0812.1">#REF!</definedName>
    <definedName name="FY0821.0" localSheetId="0">#REF!</definedName>
    <definedName name="FY0821.0" localSheetId="11">#REF!</definedName>
    <definedName name="FY0821.0" localSheetId="12">#REF!</definedName>
    <definedName name="FY0821.0">#REF!</definedName>
    <definedName name="FY0822.0" localSheetId="0">#REF!</definedName>
    <definedName name="FY0822.0" localSheetId="11">#REF!</definedName>
    <definedName name="FY0822.0" localSheetId="12">#REF!</definedName>
    <definedName name="FY0822.0">#REF!</definedName>
    <definedName name="FY0823.1" localSheetId="0">#REF!</definedName>
    <definedName name="FY0823.1" localSheetId="11">#REF!</definedName>
    <definedName name="FY0823.1" localSheetId="12">#REF!</definedName>
    <definedName name="FY0823.1">#REF!</definedName>
    <definedName name="FY0823.2" localSheetId="0">#REF!</definedName>
    <definedName name="FY0823.2" localSheetId="11">#REF!</definedName>
    <definedName name="FY0823.2" localSheetId="12">#REF!</definedName>
    <definedName name="FY0823.2">#REF!</definedName>
    <definedName name="FY0823.3" localSheetId="0">#REF!</definedName>
    <definedName name="FY0823.3" localSheetId="11">#REF!</definedName>
    <definedName name="FY0823.3" localSheetId="12">#REF!</definedName>
    <definedName name="FY0823.3">#REF!</definedName>
    <definedName name="FY0824.0" localSheetId="0">#REF!</definedName>
    <definedName name="FY0824.0" localSheetId="11">#REF!</definedName>
    <definedName name="FY0824.0" localSheetId="12">#REF!</definedName>
    <definedName name="FY0824.0">#REF!</definedName>
    <definedName name="FY0825.2" localSheetId="0">#REF!</definedName>
    <definedName name="FY0825.2" localSheetId="11">#REF!</definedName>
    <definedName name="FY0825.2" localSheetId="12">#REF!</definedName>
    <definedName name="FY0825.2">#REF!</definedName>
    <definedName name="FY0825.3" localSheetId="0">#REF!</definedName>
    <definedName name="FY0825.3" localSheetId="11">#REF!</definedName>
    <definedName name="FY0825.3" localSheetId="12">#REF!</definedName>
    <definedName name="FY0825.3">#REF!</definedName>
    <definedName name="FY0825.6" localSheetId="0">#REF!</definedName>
    <definedName name="FY0825.6" localSheetId="11">#REF!</definedName>
    <definedName name="FY0825.6" localSheetId="12">#REF!</definedName>
    <definedName name="FY0825.6">#REF!</definedName>
    <definedName name="FY0826.0" localSheetId="0">#REF!</definedName>
    <definedName name="FY0826.0" localSheetId="11">#REF!</definedName>
    <definedName name="FY0826.0" localSheetId="12">#REF!</definedName>
    <definedName name="FY0826.0">#REF!</definedName>
    <definedName name="FY0831.0" localSheetId="0">#REF!</definedName>
    <definedName name="FY0831.0" localSheetId="11">#REF!</definedName>
    <definedName name="FY0831.0" localSheetId="12">#REF!</definedName>
    <definedName name="FY0831.0">#REF!</definedName>
    <definedName name="FY0832.0" localSheetId="0">#REF!</definedName>
    <definedName name="FY0832.0" localSheetId="11">#REF!</definedName>
    <definedName name="FY0832.0" localSheetId="12">#REF!</definedName>
    <definedName name="FY0832.0">#REF!</definedName>
    <definedName name="FY08Ling" localSheetId="0">#REF!</definedName>
    <definedName name="FY08Ling" localSheetId="11">#REF!</definedName>
    <definedName name="FY08Ling" localSheetId="12">#REF!</definedName>
    <definedName name="FY08Ling">#REF!</definedName>
    <definedName name="FY08Mult" localSheetId="0">#REF!</definedName>
    <definedName name="FY08Mult" localSheetId="11">#REF!</definedName>
    <definedName name="FY08Mult" localSheetId="12">#REF!</definedName>
    <definedName name="FY08Mult">#REF!</definedName>
    <definedName name="FY08PEPI" localSheetId="0">#REF!</definedName>
    <definedName name="FY08PEPI" localSheetId="11">#REF!</definedName>
    <definedName name="FY08PEPI" localSheetId="12">#REF!</definedName>
    <definedName name="FY08PEPI">#REF!</definedName>
    <definedName name="FY08Tot" localSheetId="0">#REF!</definedName>
    <definedName name="FY08Tot" localSheetId="11">#REF!</definedName>
    <definedName name="FY08Tot" localSheetId="12">#REF!</definedName>
    <definedName name="FY08Tot">#REF!</definedName>
    <definedName name="FY08Train" localSheetId="0">#REF!</definedName>
    <definedName name="FY08Train" localSheetId="11">#REF!</definedName>
    <definedName name="FY08Train" localSheetId="12">#REF!</definedName>
    <definedName name="FY08Train">#REF!</definedName>
    <definedName name="FY0911.1" localSheetId="0">#REF!</definedName>
    <definedName name="FY0911.1" localSheetId="11">#REF!</definedName>
    <definedName name="FY0911.1" localSheetId="12">#REF!</definedName>
    <definedName name="FY0911.1">#REF!</definedName>
    <definedName name="FY0911.5" localSheetId="0">#REF!</definedName>
    <definedName name="FY0911.5" localSheetId="11">#REF!</definedName>
    <definedName name="FY0911.5" localSheetId="12">#REF!</definedName>
    <definedName name="FY0911.5">#REF!</definedName>
    <definedName name="FY0912.1" localSheetId="0">#REF!</definedName>
    <definedName name="FY0912.1" localSheetId="11">#REF!</definedName>
    <definedName name="FY0912.1" localSheetId="12">#REF!</definedName>
    <definedName name="FY0912.1">#REF!</definedName>
    <definedName name="FY0921.0" localSheetId="0">#REF!</definedName>
    <definedName name="FY0921.0" localSheetId="11">#REF!</definedName>
    <definedName name="FY0921.0" localSheetId="12">#REF!</definedName>
    <definedName name="FY0921.0">#REF!</definedName>
    <definedName name="FY0922.0" localSheetId="0">#REF!</definedName>
    <definedName name="FY0922.0" localSheetId="11">#REF!</definedName>
    <definedName name="FY0922.0" localSheetId="12">#REF!</definedName>
    <definedName name="FY0922.0">#REF!</definedName>
    <definedName name="FY0923.1" localSheetId="0">#REF!</definedName>
    <definedName name="FY0923.1" localSheetId="11">#REF!</definedName>
    <definedName name="FY0923.1" localSheetId="12">#REF!</definedName>
    <definedName name="FY0923.1">#REF!</definedName>
    <definedName name="FY0923.2" localSheetId="0">#REF!</definedName>
    <definedName name="FY0923.2" localSheetId="11">#REF!</definedName>
    <definedName name="FY0923.2" localSheetId="12">#REF!</definedName>
    <definedName name="FY0923.2">#REF!</definedName>
    <definedName name="FY0923.3" localSheetId="0">#REF!</definedName>
    <definedName name="FY0923.3" localSheetId="11">#REF!</definedName>
    <definedName name="FY0923.3" localSheetId="12">#REF!</definedName>
    <definedName name="FY0923.3">#REF!</definedName>
    <definedName name="FY0924.0" localSheetId="0">#REF!</definedName>
    <definedName name="FY0924.0" localSheetId="11">#REF!</definedName>
    <definedName name="FY0924.0" localSheetId="12">#REF!</definedName>
    <definedName name="FY0924.0">#REF!</definedName>
    <definedName name="FY0925.2" localSheetId="0">#REF!</definedName>
    <definedName name="FY0925.2" localSheetId="11">#REF!</definedName>
    <definedName name="FY0925.2" localSheetId="12">#REF!</definedName>
    <definedName name="FY0925.2">#REF!</definedName>
    <definedName name="FY0925.3" localSheetId="0">#REF!</definedName>
    <definedName name="FY0925.3" localSheetId="11">#REF!</definedName>
    <definedName name="FY0925.3" localSheetId="12">#REF!</definedName>
    <definedName name="FY0925.3">#REF!</definedName>
    <definedName name="FY0925.6" localSheetId="0">#REF!</definedName>
    <definedName name="FY0925.6" localSheetId="11">#REF!</definedName>
    <definedName name="FY0925.6" localSheetId="12">#REF!</definedName>
    <definedName name="FY0925.6">#REF!</definedName>
    <definedName name="FY0926.0" localSheetId="0">#REF!</definedName>
    <definedName name="FY0926.0" localSheetId="11">#REF!</definedName>
    <definedName name="FY0926.0" localSheetId="12">#REF!</definedName>
    <definedName name="FY0926.0">#REF!</definedName>
    <definedName name="FY0931.0" localSheetId="0">#REF!</definedName>
    <definedName name="FY0931.0" localSheetId="11">#REF!</definedName>
    <definedName name="FY0931.0" localSheetId="12">#REF!</definedName>
    <definedName name="FY0931.0">#REF!</definedName>
    <definedName name="FY0932.0" localSheetId="0">#REF!</definedName>
    <definedName name="FY0932.0" localSheetId="11">#REF!</definedName>
    <definedName name="FY0932.0" localSheetId="12">#REF!</definedName>
    <definedName name="FY0932.0">#REF!</definedName>
    <definedName name="FY09Ling" localSheetId="0">#REF!</definedName>
    <definedName name="FY09Ling" localSheetId="11">#REF!</definedName>
    <definedName name="FY09Ling" localSheetId="12">#REF!</definedName>
    <definedName name="FY09Ling">#REF!</definedName>
    <definedName name="FY09Mult" localSheetId="0">#REF!</definedName>
    <definedName name="FY09Mult" localSheetId="11">#REF!</definedName>
    <definedName name="FY09Mult" localSheetId="12">#REF!</definedName>
    <definedName name="FY09Mult">#REF!</definedName>
    <definedName name="FY09PEPI" localSheetId="0">#REF!</definedName>
    <definedName name="FY09PEPI" localSheetId="11">#REF!</definedName>
    <definedName name="FY09PEPI" localSheetId="12">#REF!</definedName>
    <definedName name="FY09PEPI">#REF!</definedName>
    <definedName name="FY09Tot" localSheetId="0">#REF!</definedName>
    <definedName name="FY09Tot" localSheetId="11">#REF!</definedName>
    <definedName name="FY09Tot" localSheetId="12">#REF!</definedName>
    <definedName name="FY09Tot">#REF!</definedName>
    <definedName name="FY09Train" localSheetId="0">#REF!</definedName>
    <definedName name="FY09Train" localSheetId="11">#REF!</definedName>
    <definedName name="FY09Train" localSheetId="12">#REF!</definedName>
    <definedName name="FY09Train">#REF!</definedName>
    <definedName name="INTEL" localSheetId="0">#REF!</definedName>
    <definedName name="INTEL" localSheetId="11">#REF!</definedName>
    <definedName name="INTEL" localSheetId="12">#REF!</definedName>
    <definedName name="INTEL">#REF!</definedName>
    <definedName name="JMD" localSheetId="0">#REF!</definedName>
    <definedName name="JMD" localSheetId="11">#REF!</definedName>
    <definedName name="JMD" localSheetId="12">#REF!</definedName>
    <definedName name="JMD">#REF!</definedName>
    <definedName name="PART" localSheetId="0">#REF!</definedName>
    <definedName name="PART" localSheetId="11">#REF!</definedName>
    <definedName name="PART" localSheetId="12">#REF!</definedName>
    <definedName name="PART">#REF!</definedName>
    <definedName name="_xlnm.Print_Area" localSheetId="0">'A. Organization Chart'!$A$1:$M$32</definedName>
    <definedName name="_xlnm.Print_Area" localSheetId="1">'B. Summ of Req.'!$A$1:$D$44</definedName>
    <definedName name="_xlnm.Print_Area" localSheetId="2">'B. Summ of Req. by DU'!$A$1:$M$39</definedName>
    <definedName name="_xlnm.Print_Area" localSheetId="14">'B. Summ of Req. by DU (CNST)'!$A$1:$M$33</definedName>
    <definedName name="_xlnm.Print_Area" localSheetId="13">'B. Summ of Req.(CNST)'!$A$1:$D$36</definedName>
    <definedName name="_xlnm.Print_Area" localSheetId="3">'C. Program Changes by DU'!$A$1:$M$36</definedName>
    <definedName name="_xlnm.Print_Area" localSheetId="15">'D. Strat Goals &amp; Object (CNST)'!$A$1:$N$24</definedName>
    <definedName name="_xlnm.Print_Area" localSheetId="4">'D. Strategic Goals &amp; Objectives'!$A$1:$N$26</definedName>
    <definedName name="_xlnm.Print_Area" localSheetId="5">'E. ATB Justification'!$A$1:$G$68</definedName>
    <definedName name="_xlnm.Print_Area" localSheetId="6">'F. 2013 Crosswalk'!$A$1:$U$43</definedName>
    <definedName name="_xlnm.Print_Area" localSheetId="16">'F. 2013 Crosswalk (CNST)'!$A$1:$U$20</definedName>
    <definedName name="_xlnm.Print_Area" localSheetId="7">'G. 2014 Crosswalk'!$A$1:$L$37</definedName>
    <definedName name="_xlnm.Print_Area" localSheetId="17">'G. 2014 Crosswalk (CNST)'!$A$1:$L$19</definedName>
    <definedName name="_xlnm.Print_Area" localSheetId="8">'H. Reimbursable Resources'!$A$1:$M$59</definedName>
    <definedName name="_xlnm.Print_Area" localSheetId="9">'I. Permanent Positions'!$A$1:$J$44</definedName>
    <definedName name="_xlnm.Print_Area" localSheetId="10">'J. Financial Analysis'!$A$1:$O$59</definedName>
    <definedName name="_xlnm.Print_Area" localSheetId="11">'K. Summary by OC '!$A$1:$I$51</definedName>
    <definedName name="_xlnm.Print_Area" localSheetId="18">'K. Summary by OC (CNST)'!$A$1:$I$36</definedName>
    <definedName name="_xlnm.Print_Area" localSheetId="12">'L. Studies'!$A$1:$J$45</definedName>
    <definedName name="_xlnm.Print_Area">#REF!</definedName>
    <definedName name="_xlnm.Print_Titles" localSheetId="15">'D. Strat Goals &amp; Object (CNST)'!$1:$8</definedName>
    <definedName name="_xlnm.Print_Titles" localSheetId="4">'D. Strategic Goals &amp; Objectives'!$1:$8</definedName>
    <definedName name="_xlnm.Print_Titles" localSheetId="5">'E. ATB Justification'!$1:$6</definedName>
    <definedName name="_xlnm.Print_Titles" localSheetId="10">'J. Financial Analysis'!$1:$4</definedName>
    <definedName name="REIMPRO" localSheetId="0">#REF!</definedName>
    <definedName name="REIMPRO" localSheetId="14">#REF!</definedName>
    <definedName name="REIMPRO" localSheetId="13">#REF!</definedName>
    <definedName name="REIMPRO" localSheetId="15">#REF!</definedName>
    <definedName name="REIMPRO" localSheetId="4">#REF!</definedName>
    <definedName name="REIMPRO" localSheetId="6">#REF!</definedName>
    <definedName name="REIMPRO" localSheetId="16">#REF!</definedName>
    <definedName name="REIMPRO" localSheetId="7">#REF!</definedName>
    <definedName name="REIMPRO" localSheetId="17">#REF!</definedName>
    <definedName name="REIMPRO" localSheetId="8">#REF!</definedName>
    <definedName name="REIMPRO" localSheetId="9">#REF!</definedName>
    <definedName name="REIMPRO" localSheetId="10">#REF!</definedName>
    <definedName name="REIMPRO" localSheetId="11">#REF!</definedName>
    <definedName name="REIMPRO" localSheetId="18">#REF!</definedName>
    <definedName name="REIMPRO" localSheetId="12">#REF!</definedName>
    <definedName name="REIMPRO">#REF!</definedName>
    <definedName name="REIMSOR" localSheetId="0">#REF!</definedName>
    <definedName name="REIMSOR" localSheetId="15">#REF!</definedName>
    <definedName name="REIMSOR" localSheetId="4">#REF!</definedName>
    <definedName name="REIMSOR" localSheetId="8">#REF!</definedName>
    <definedName name="REIMSOR" localSheetId="9">#REF!</definedName>
    <definedName name="REIMSOR" localSheetId="10">#REF!</definedName>
    <definedName name="REIMSOR" localSheetId="11">#REF!</definedName>
    <definedName name="REIMSOR" localSheetId="12">#REF!</definedName>
    <definedName name="REIMSOR">#REF!</definedName>
    <definedName name="Test" localSheetId="4">#REF!</definedName>
    <definedName name="Test" localSheetId="10">#REF!</definedName>
    <definedName name="Test" localSheetId="11">#REF!</definedName>
    <definedName name="Test" localSheetId="12">#REF!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 name="Z_813CAA79_4F95_4F45_9A26_39BE18E37FFC_.wvu.PrintArea" localSheetId="12" hidden="1">'L. Studies'!$A$1:$G$3</definedName>
  </definedNames>
  <calcPr calcId="145621"/>
</workbook>
</file>

<file path=xl/calcChain.xml><?xml version="1.0" encoding="utf-8"?>
<calcChain xmlns="http://schemas.openxmlformats.org/spreadsheetml/2006/main">
  <c r="H42" i="40" l="1"/>
  <c r="G42" i="40"/>
  <c r="F42" i="40"/>
  <c r="E42" i="40"/>
  <c r="D42" i="40"/>
  <c r="C42" i="40"/>
  <c r="B42" i="40"/>
  <c r="J41" i="40"/>
  <c r="I41" i="40"/>
  <c r="J40" i="40"/>
  <c r="I40" i="40"/>
  <c r="J39" i="40"/>
  <c r="J42" i="40" s="1"/>
  <c r="I39" i="40"/>
  <c r="I42" i="40" s="1"/>
  <c r="H38" i="40"/>
  <c r="G38" i="40"/>
  <c r="F38" i="40"/>
  <c r="E38" i="40"/>
  <c r="D38" i="40"/>
  <c r="C38" i="40"/>
  <c r="B38" i="40"/>
  <c r="J37" i="40"/>
  <c r="I37" i="40"/>
  <c r="J36" i="40"/>
  <c r="I36" i="40"/>
  <c r="J35" i="40"/>
  <c r="I35" i="40"/>
  <c r="J34" i="40"/>
  <c r="I34" i="40"/>
  <c r="J33" i="40"/>
  <c r="I33" i="40"/>
  <c r="J32" i="40"/>
  <c r="I32" i="40"/>
  <c r="J31" i="40"/>
  <c r="I31" i="40"/>
  <c r="J30" i="40"/>
  <c r="I30" i="40"/>
  <c r="J29" i="40"/>
  <c r="I29" i="40"/>
  <c r="J28" i="40"/>
  <c r="I28" i="40"/>
  <c r="J27" i="40"/>
  <c r="I27" i="40"/>
  <c r="J26" i="40"/>
  <c r="I26" i="40"/>
  <c r="J25" i="40"/>
  <c r="I25" i="40"/>
  <c r="J24" i="40"/>
  <c r="I24" i="40"/>
  <c r="J23" i="40"/>
  <c r="I23" i="40"/>
  <c r="J22" i="40"/>
  <c r="I22" i="40"/>
  <c r="J21" i="40"/>
  <c r="I21" i="40"/>
  <c r="J20" i="40"/>
  <c r="I20" i="40"/>
  <c r="J19" i="40"/>
  <c r="I19" i="40"/>
  <c r="J18" i="40"/>
  <c r="I18" i="40"/>
  <c r="J17" i="40"/>
  <c r="I17" i="40"/>
  <c r="J16" i="40"/>
  <c r="I16" i="40"/>
  <c r="J15" i="40"/>
  <c r="I15" i="40"/>
  <c r="J14" i="40"/>
  <c r="I14" i="40"/>
  <c r="J13" i="40"/>
  <c r="I13" i="40"/>
  <c r="J12" i="40"/>
  <c r="I12" i="40"/>
  <c r="J11" i="40"/>
  <c r="I11" i="40"/>
  <c r="J10" i="40"/>
  <c r="I10" i="40"/>
  <c r="J9" i="40"/>
  <c r="J38" i="40" s="1"/>
  <c r="I9" i="40"/>
  <c r="I38" i="40" l="1"/>
  <c r="M57" i="30"/>
  <c r="L57" i="30"/>
  <c r="K57" i="30"/>
  <c r="C59" i="30" l="1"/>
  <c r="J59" i="30"/>
  <c r="M58" i="30"/>
  <c r="I59" i="30"/>
  <c r="L58" i="30"/>
  <c r="H59" i="30"/>
  <c r="K58" i="30"/>
  <c r="G59" i="30"/>
  <c r="F59" i="30"/>
  <c r="E59" i="30"/>
  <c r="D59" i="30"/>
  <c r="B59" i="30"/>
  <c r="C43" i="28" l="1"/>
  <c r="I36" i="39" l="1"/>
  <c r="I35" i="39"/>
  <c r="H33" i="39"/>
  <c r="H31" i="39"/>
  <c r="F31" i="39"/>
  <c r="D31" i="39"/>
  <c r="B31" i="39"/>
  <c r="I30" i="39"/>
  <c r="I29" i="39"/>
  <c r="I28" i="39"/>
  <c r="I27" i="39"/>
  <c r="I26" i="39"/>
  <c r="E24" i="39"/>
  <c r="I24" i="39" s="1"/>
  <c r="E23" i="39"/>
  <c r="I23" i="39" s="1"/>
  <c r="I22" i="39"/>
  <c r="E21" i="39"/>
  <c r="I21" i="39" s="1"/>
  <c r="E20" i="39"/>
  <c r="I20" i="39" s="1"/>
  <c r="E19" i="39"/>
  <c r="I19" i="39" s="1"/>
  <c r="E18" i="39"/>
  <c r="I18" i="39" s="1"/>
  <c r="I17" i="39"/>
  <c r="I16" i="39"/>
  <c r="I13" i="39"/>
  <c r="H13" i="39"/>
  <c r="I12" i="39"/>
  <c r="H12" i="39"/>
  <c r="I11" i="39"/>
  <c r="H11" i="39"/>
  <c r="G10" i="39"/>
  <c r="G14" i="39" s="1"/>
  <c r="G25" i="39" s="1"/>
  <c r="G31" i="39" s="1"/>
  <c r="F10" i="39"/>
  <c r="F14" i="39" s="1"/>
  <c r="E10" i="39"/>
  <c r="E14" i="39" s="1"/>
  <c r="D10" i="39"/>
  <c r="D14" i="39" s="1"/>
  <c r="C10" i="39"/>
  <c r="C14" i="39" s="1"/>
  <c r="C25" i="39" s="1"/>
  <c r="C31" i="39" s="1"/>
  <c r="B10" i="39"/>
  <c r="B14" i="39" s="1"/>
  <c r="I9" i="39"/>
  <c r="H9" i="39"/>
  <c r="I8" i="39"/>
  <c r="H8" i="39"/>
  <c r="L11" i="38"/>
  <c r="H10" i="38"/>
  <c r="H12" i="38" s="1"/>
  <c r="G10" i="38"/>
  <c r="G12" i="38" s="1"/>
  <c r="F10" i="38"/>
  <c r="E10" i="38"/>
  <c r="D10" i="38"/>
  <c r="D12" i="38" s="1"/>
  <c r="C10" i="38"/>
  <c r="B10" i="38"/>
  <c r="K9" i="38"/>
  <c r="K10" i="38" s="1"/>
  <c r="J9" i="38"/>
  <c r="J10" i="38" s="1"/>
  <c r="I9" i="38"/>
  <c r="I10" i="38" s="1"/>
  <c r="I12" i="38" s="1"/>
  <c r="Q10" i="37"/>
  <c r="P10" i="37"/>
  <c r="O10" i="37"/>
  <c r="N10" i="37"/>
  <c r="M10" i="37"/>
  <c r="L10" i="37"/>
  <c r="K10" i="37"/>
  <c r="J10" i="37"/>
  <c r="I10" i="37"/>
  <c r="H10" i="37"/>
  <c r="G10" i="37"/>
  <c r="F10" i="37"/>
  <c r="E10" i="37"/>
  <c r="D10" i="37"/>
  <c r="C10" i="37"/>
  <c r="B10" i="37"/>
  <c r="T9" i="37"/>
  <c r="T10" i="37" s="1"/>
  <c r="S9" i="37"/>
  <c r="S10" i="37" s="1"/>
  <c r="R9" i="37"/>
  <c r="R10" i="37" s="1"/>
  <c r="K21" i="36"/>
  <c r="J21" i="36"/>
  <c r="I21" i="36"/>
  <c r="G21" i="36"/>
  <c r="E21" i="36"/>
  <c r="D21" i="36"/>
  <c r="C21" i="36"/>
  <c r="M20" i="36"/>
  <c r="M21" i="36" s="1"/>
  <c r="K18" i="36"/>
  <c r="J18" i="36"/>
  <c r="I18" i="36"/>
  <c r="G18" i="36"/>
  <c r="E18" i="36"/>
  <c r="D18" i="36"/>
  <c r="C18" i="36"/>
  <c r="M17" i="36"/>
  <c r="M16" i="36"/>
  <c r="M15" i="36"/>
  <c r="M14" i="36"/>
  <c r="K12" i="36"/>
  <c r="J12" i="36"/>
  <c r="I12" i="36"/>
  <c r="G12" i="36"/>
  <c r="F12" i="36"/>
  <c r="E12" i="36"/>
  <c r="D12" i="36"/>
  <c r="C12" i="36"/>
  <c r="M11" i="36"/>
  <c r="M10" i="36"/>
  <c r="I30" i="35"/>
  <c r="I29" i="35"/>
  <c r="C28" i="35"/>
  <c r="C33" i="35" s="1"/>
  <c r="G24" i="35"/>
  <c r="G26" i="35" s="1"/>
  <c r="F24" i="35"/>
  <c r="F28" i="35" s="1"/>
  <c r="F33" i="35" s="1"/>
  <c r="E24" i="35"/>
  <c r="D24" i="35"/>
  <c r="D26" i="35" s="1"/>
  <c r="C24" i="35"/>
  <c r="B24" i="35"/>
  <c r="A23" i="35"/>
  <c r="L18" i="35"/>
  <c r="I32" i="35" s="1"/>
  <c r="L17" i="35"/>
  <c r="I31" i="35" s="1"/>
  <c r="L13" i="35"/>
  <c r="I27" i="35" s="1"/>
  <c r="M11" i="35"/>
  <c r="J25" i="35" s="1"/>
  <c r="J10" i="35"/>
  <c r="J12" i="35" s="1"/>
  <c r="I10" i="35"/>
  <c r="I14" i="35" s="1"/>
  <c r="I19" i="35" s="1"/>
  <c r="H10" i="35"/>
  <c r="G10" i="35"/>
  <c r="G12" i="35" s="1"/>
  <c r="F10" i="35"/>
  <c r="F14" i="35" s="1"/>
  <c r="E10" i="35"/>
  <c r="D10" i="35"/>
  <c r="D12" i="35" s="1"/>
  <c r="C10" i="35"/>
  <c r="C14" i="35" s="1"/>
  <c r="C19" i="35" s="1"/>
  <c r="B10" i="35"/>
  <c r="M9" i="35"/>
  <c r="J23" i="35" s="1"/>
  <c r="J24" i="35" s="1"/>
  <c r="L9" i="35"/>
  <c r="I23" i="35" s="1"/>
  <c r="I24" i="35" s="1"/>
  <c r="K9" i="35"/>
  <c r="H23" i="35" s="1"/>
  <c r="H24" i="35" s="1"/>
  <c r="B30" i="34"/>
  <c r="D29" i="34"/>
  <c r="D30" i="34" s="1"/>
  <c r="C29" i="34"/>
  <c r="C30" i="34" s="1"/>
  <c r="B29" i="34"/>
  <c r="D23" i="34"/>
  <c r="D24" i="34" s="1"/>
  <c r="C23" i="34"/>
  <c r="B23" i="34"/>
  <c r="B24" i="34" s="1"/>
  <c r="C20" i="34"/>
  <c r="B20" i="34"/>
  <c r="D17" i="34"/>
  <c r="D25" i="34" s="1"/>
  <c r="D13" i="34"/>
  <c r="C13" i="34"/>
  <c r="C17" i="34" s="1"/>
  <c r="B13" i="34"/>
  <c r="B17" i="34" s="1"/>
  <c r="C24" i="34" l="1"/>
  <c r="M12" i="36"/>
  <c r="E22" i="36"/>
  <c r="G22" i="36"/>
  <c r="D31" i="34"/>
  <c r="M18" i="36"/>
  <c r="M22" i="36" s="1"/>
  <c r="C22" i="36"/>
  <c r="I22" i="36"/>
  <c r="C25" i="34"/>
  <c r="K22" i="36"/>
  <c r="B25" i="34"/>
  <c r="B31" i="34" s="1"/>
  <c r="B34" i="34" s="1"/>
  <c r="D22" i="36"/>
  <c r="L17" i="36" s="1"/>
  <c r="J22" i="36"/>
  <c r="E25" i="39"/>
  <c r="E31" i="39" s="1"/>
  <c r="L12" i="38"/>
  <c r="H10" i="39"/>
  <c r="H14" i="39" s="1"/>
  <c r="I10" i="39"/>
  <c r="I14" i="39" s="1"/>
  <c r="I25" i="39" s="1"/>
  <c r="I31" i="39" s="1"/>
  <c r="L10" i="38"/>
  <c r="L9" i="38"/>
  <c r="U9" i="37"/>
  <c r="U10" i="37" s="1"/>
  <c r="H20" i="36"/>
  <c r="H16" i="36"/>
  <c r="L15" i="36"/>
  <c r="L11" i="36"/>
  <c r="L10" i="36"/>
  <c r="H17" i="36"/>
  <c r="L16" i="36"/>
  <c r="L14" i="36"/>
  <c r="F14" i="36"/>
  <c r="F19" i="35"/>
  <c r="L19" i="35" s="1"/>
  <c r="I33" i="35" s="1"/>
  <c r="L14" i="35"/>
  <c r="I28" i="35" s="1"/>
  <c r="M12" i="35"/>
  <c r="J26" i="35" s="1"/>
  <c r="L10" i="35"/>
  <c r="K10" i="35"/>
  <c r="M10" i="35"/>
  <c r="C31" i="34"/>
  <c r="D33" i="34"/>
  <c r="D34" i="34"/>
  <c r="B33" i="34" l="1"/>
  <c r="N17" i="36"/>
  <c r="H10" i="36"/>
  <c r="H12" i="36" s="1"/>
  <c r="H15" i="36"/>
  <c r="N15" i="36" s="1"/>
  <c r="F20" i="36"/>
  <c r="F21" i="36" s="1"/>
  <c r="H14" i="36"/>
  <c r="F17" i="36"/>
  <c r="L18" i="36"/>
  <c r="N16" i="36"/>
  <c r="H11" i="36"/>
  <c r="N11" i="36" s="1"/>
  <c r="F16" i="36"/>
  <c r="L20" i="36"/>
  <c r="L21" i="36" s="1"/>
  <c r="F15" i="36"/>
  <c r="N10" i="36"/>
  <c r="H18" i="36"/>
  <c r="N14" i="36"/>
  <c r="N18" i="36" s="1"/>
  <c r="H21" i="36"/>
  <c r="L12" i="36"/>
  <c r="C34" i="34"/>
  <c r="C33" i="34"/>
  <c r="L22" i="36" l="1"/>
  <c r="F18" i="36"/>
  <c r="F22" i="36" s="1"/>
  <c r="N20" i="36"/>
  <c r="N21" i="36" s="1"/>
  <c r="N12" i="36"/>
  <c r="H22" i="36"/>
  <c r="N22" i="36" l="1"/>
  <c r="M58" i="32"/>
  <c r="G58" i="32"/>
  <c r="G57" i="32"/>
  <c r="K56" i="32"/>
  <c r="G56" i="32"/>
  <c r="E56" i="32"/>
  <c r="K55" i="32"/>
  <c r="G55" i="32"/>
  <c r="E55" i="32"/>
  <c r="G54" i="32"/>
  <c r="G53" i="32"/>
  <c r="K52" i="32"/>
  <c r="E52" i="32"/>
  <c r="K51" i="32"/>
  <c r="G51" i="32"/>
  <c r="E51" i="32"/>
  <c r="K50" i="32"/>
  <c r="G50" i="32"/>
  <c r="E50" i="32"/>
  <c r="K49" i="32"/>
  <c r="E49" i="32"/>
  <c r="K48" i="32"/>
  <c r="G48" i="32"/>
  <c r="E48" i="32"/>
  <c r="K47" i="32"/>
  <c r="G47" i="32"/>
  <c r="E47" i="32"/>
  <c r="K46" i="32"/>
  <c r="G46" i="32"/>
  <c r="E46" i="32"/>
  <c r="K45" i="32"/>
  <c r="E45" i="32"/>
  <c r="K43" i="32"/>
  <c r="E43" i="32"/>
  <c r="M41" i="32"/>
  <c r="M44" i="32" s="1"/>
  <c r="L41" i="32"/>
  <c r="J41" i="32"/>
  <c r="I41" i="32"/>
  <c r="H41" i="32"/>
  <c r="G41" i="32"/>
  <c r="G44" i="32" s="1"/>
  <c r="F41" i="32"/>
  <c r="F42" i="32" s="1"/>
  <c r="C41" i="32"/>
  <c r="B41" i="32"/>
  <c r="B42" i="32" s="1"/>
  <c r="K40" i="32"/>
  <c r="E40" i="32"/>
  <c r="D40" i="32"/>
  <c r="K39" i="32"/>
  <c r="E39" i="32"/>
  <c r="D39" i="32"/>
  <c r="K38" i="32"/>
  <c r="E38" i="32"/>
  <c r="K37" i="32"/>
  <c r="E37" i="32"/>
  <c r="M30" i="32"/>
  <c r="G30" i="32"/>
  <c r="M29" i="32"/>
  <c r="G29" i="32"/>
  <c r="M28" i="32"/>
  <c r="K28" i="32"/>
  <c r="G28" i="32"/>
  <c r="E28" i="32"/>
  <c r="M27" i="32"/>
  <c r="K27" i="32"/>
  <c r="G27" i="32"/>
  <c r="E27" i="32"/>
  <c r="M26" i="32"/>
  <c r="G26" i="32"/>
  <c r="M25" i="32"/>
  <c r="G25" i="32"/>
  <c r="K24" i="32"/>
  <c r="E24" i="32"/>
  <c r="M23" i="32"/>
  <c r="K23" i="32"/>
  <c r="G23" i="32"/>
  <c r="E23" i="32"/>
  <c r="M22" i="32"/>
  <c r="K22" i="32"/>
  <c r="G22" i="32"/>
  <c r="E22" i="32"/>
  <c r="K21" i="32"/>
  <c r="E21" i="32"/>
  <c r="M20" i="32"/>
  <c r="K20" i="32"/>
  <c r="G20" i="32"/>
  <c r="E20" i="32"/>
  <c r="M19" i="32"/>
  <c r="K19" i="32"/>
  <c r="G19" i="32"/>
  <c r="E19" i="32"/>
  <c r="M18" i="32"/>
  <c r="K18" i="32"/>
  <c r="G18" i="32"/>
  <c r="E18" i="32"/>
  <c r="K17" i="32"/>
  <c r="E17" i="32"/>
  <c r="K15" i="32"/>
  <c r="E15" i="32"/>
  <c r="M13" i="32"/>
  <c r="M16" i="32" s="1"/>
  <c r="M31" i="32" s="1"/>
  <c r="L13" i="32"/>
  <c r="I13" i="32"/>
  <c r="I14" i="32" s="1"/>
  <c r="H13" i="32"/>
  <c r="G13" i="32"/>
  <c r="G16" i="32" s="1"/>
  <c r="F13" i="32"/>
  <c r="C13" i="32"/>
  <c r="B13" i="32"/>
  <c r="K12" i="32"/>
  <c r="J12" i="32"/>
  <c r="E12" i="32"/>
  <c r="D12" i="32"/>
  <c r="K11" i="32"/>
  <c r="J11" i="32"/>
  <c r="E11" i="32"/>
  <c r="D11" i="32"/>
  <c r="D13" i="32" s="1"/>
  <c r="K10" i="32"/>
  <c r="J10" i="32"/>
  <c r="N38" i="32" s="1"/>
  <c r="E10" i="32"/>
  <c r="K9" i="32"/>
  <c r="J9" i="32"/>
  <c r="N37" i="32" s="1"/>
  <c r="E9" i="32"/>
  <c r="I36" i="5"/>
  <c r="E36" i="5"/>
  <c r="I20" i="5"/>
  <c r="E20" i="5"/>
  <c r="I12" i="5"/>
  <c r="E12" i="5"/>
  <c r="I28" i="5"/>
  <c r="E28" i="5"/>
  <c r="O38" i="32" l="1"/>
  <c r="O39" i="32"/>
  <c r="O40" i="32"/>
  <c r="G31" i="32"/>
  <c r="K41" i="32"/>
  <c r="K42" i="32" s="1"/>
  <c r="K44" i="32" s="1"/>
  <c r="K59" i="32" s="1"/>
  <c r="G59" i="32"/>
  <c r="O37" i="32"/>
  <c r="N40" i="32"/>
  <c r="O43" i="32"/>
  <c r="O45" i="32"/>
  <c r="O46" i="32"/>
  <c r="O47" i="32"/>
  <c r="O48" i="32"/>
  <c r="O49" i="32"/>
  <c r="O50" i="32"/>
  <c r="O51" i="32"/>
  <c r="O52" i="32"/>
  <c r="O53" i="32"/>
  <c r="O54" i="32"/>
  <c r="O55" i="32"/>
  <c r="E41" i="32"/>
  <c r="E42" i="32" s="1"/>
  <c r="E44" i="32" s="1"/>
  <c r="E59" i="32" s="1"/>
  <c r="M59" i="32"/>
  <c r="O57" i="32"/>
  <c r="O58" i="32"/>
  <c r="O56" i="32"/>
  <c r="D41" i="32"/>
  <c r="D42" i="32" s="1"/>
  <c r="D44" i="32" s="1"/>
  <c r="D59" i="32" s="1"/>
  <c r="H14" i="32"/>
  <c r="H16" i="32" s="1"/>
  <c r="H31" i="32" s="1"/>
  <c r="K13" i="32"/>
  <c r="K14" i="32" s="1"/>
  <c r="K16" i="32" s="1"/>
  <c r="K31" i="32" s="1"/>
  <c r="L14" i="32"/>
  <c r="L16" i="32" s="1"/>
  <c r="L31" i="32" s="1"/>
  <c r="D14" i="32"/>
  <c r="D16" i="32" s="1"/>
  <c r="D31" i="32" s="1"/>
  <c r="E13" i="32"/>
  <c r="C14" i="32"/>
  <c r="I16" i="32"/>
  <c r="I31" i="32" s="1"/>
  <c r="N39" i="32"/>
  <c r="C42" i="32"/>
  <c r="C44" i="32" s="1"/>
  <c r="C59" i="32" s="1"/>
  <c r="H42" i="32"/>
  <c r="H44" i="32" s="1"/>
  <c r="H59" i="32" s="1"/>
  <c r="J42" i="32"/>
  <c r="J44" i="32" s="1"/>
  <c r="J59" i="32" s="1"/>
  <c r="L42" i="32"/>
  <c r="L44" i="32" s="1"/>
  <c r="L59" i="32" s="1"/>
  <c r="B44" i="32"/>
  <c r="B59" i="32" s="1"/>
  <c r="F44" i="32"/>
  <c r="F59" i="32" s="1"/>
  <c r="J13" i="32"/>
  <c r="B14" i="32"/>
  <c r="B16" i="32" s="1"/>
  <c r="F14" i="32"/>
  <c r="F16" i="32" s="1"/>
  <c r="F31" i="32" s="1"/>
  <c r="I42" i="32"/>
  <c r="I44" i="32" s="1"/>
  <c r="I59" i="32" s="1"/>
  <c r="J14" i="32" l="1"/>
  <c r="J16" i="32" s="1"/>
  <c r="B31" i="32"/>
  <c r="E14" i="32"/>
  <c r="E16" i="32" s="1"/>
  <c r="E31" i="32" s="1"/>
  <c r="C16" i="32"/>
  <c r="O41" i="32"/>
  <c r="N41" i="32"/>
  <c r="N42" i="32" l="1"/>
  <c r="J31" i="32"/>
  <c r="N44" i="32"/>
  <c r="N59" i="32" s="1"/>
  <c r="O44" i="32"/>
  <c r="O59" i="32" s="1"/>
  <c r="C31" i="32"/>
  <c r="O42" i="32"/>
  <c r="J67" i="30" l="1"/>
  <c r="I67" i="30"/>
  <c r="H67" i="30"/>
  <c r="G67" i="30"/>
  <c r="F67" i="30"/>
  <c r="E67" i="30"/>
  <c r="D67" i="30"/>
  <c r="C67" i="30"/>
  <c r="B67" i="30"/>
  <c r="M66" i="30"/>
  <c r="L66" i="30"/>
  <c r="K66" i="30"/>
  <c r="M65" i="30"/>
  <c r="L65" i="30"/>
  <c r="K65" i="30"/>
  <c r="M64" i="30"/>
  <c r="L64" i="30"/>
  <c r="K64" i="30"/>
  <c r="M63" i="30"/>
  <c r="L63" i="30"/>
  <c r="K63" i="30"/>
  <c r="M56" i="30"/>
  <c r="L56" i="30"/>
  <c r="K56" i="30"/>
  <c r="M55" i="30"/>
  <c r="L55" i="30"/>
  <c r="K55" i="30"/>
  <c r="M54" i="30"/>
  <c r="L54" i="30"/>
  <c r="K54" i="30"/>
  <c r="M53" i="30"/>
  <c r="L53" i="30"/>
  <c r="K53" i="30"/>
  <c r="M52" i="30"/>
  <c r="L52" i="30"/>
  <c r="K52" i="30"/>
  <c r="M51" i="30"/>
  <c r="L51" i="30"/>
  <c r="K51" i="30"/>
  <c r="M50" i="30"/>
  <c r="L50" i="30"/>
  <c r="K50" i="30"/>
  <c r="M48" i="30"/>
  <c r="L48" i="30"/>
  <c r="K48" i="30"/>
  <c r="M46" i="30"/>
  <c r="L46" i="30"/>
  <c r="K46" i="30"/>
  <c r="M45" i="30"/>
  <c r="L45" i="30"/>
  <c r="K45" i="30"/>
  <c r="M44" i="30"/>
  <c r="L44" i="30"/>
  <c r="K44" i="30"/>
  <c r="M43" i="30"/>
  <c r="L43" i="30"/>
  <c r="K43" i="30"/>
  <c r="M42" i="30"/>
  <c r="L42" i="30"/>
  <c r="K42" i="30"/>
  <c r="M41" i="30"/>
  <c r="L41" i="30"/>
  <c r="K41" i="30"/>
  <c r="M40" i="30"/>
  <c r="L40" i="30"/>
  <c r="K40" i="30"/>
  <c r="M39" i="30"/>
  <c r="L39" i="30"/>
  <c r="K39" i="30"/>
  <c r="M38" i="30"/>
  <c r="L38" i="30"/>
  <c r="K38" i="30"/>
  <c r="M37" i="30"/>
  <c r="L37" i="30"/>
  <c r="K37" i="30"/>
  <c r="M36" i="30"/>
  <c r="L36" i="30"/>
  <c r="K36" i="30"/>
  <c r="M34" i="30"/>
  <c r="L34" i="30"/>
  <c r="K34" i="30"/>
  <c r="M33" i="30"/>
  <c r="L33" i="30"/>
  <c r="K33" i="30"/>
  <c r="M32" i="30"/>
  <c r="L32" i="30"/>
  <c r="K32" i="30"/>
  <c r="M31" i="30"/>
  <c r="L31" i="30"/>
  <c r="K31" i="30"/>
  <c r="M30" i="30"/>
  <c r="L30" i="30"/>
  <c r="K30" i="30"/>
  <c r="M29" i="30"/>
  <c r="L29" i="30"/>
  <c r="K29" i="30"/>
  <c r="M28" i="30"/>
  <c r="L28" i="30"/>
  <c r="K28" i="30"/>
  <c r="M27" i="30"/>
  <c r="L27" i="30"/>
  <c r="K27" i="30"/>
  <c r="M26" i="30"/>
  <c r="L26" i="30"/>
  <c r="K26" i="30"/>
  <c r="M25" i="30"/>
  <c r="L25" i="30"/>
  <c r="K25" i="30"/>
  <c r="M24" i="30"/>
  <c r="L24" i="30"/>
  <c r="K24" i="30"/>
  <c r="M23" i="30"/>
  <c r="L23" i="30"/>
  <c r="K23" i="30"/>
  <c r="M22" i="30"/>
  <c r="L22" i="30"/>
  <c r="K22" i="30"/>
  <c r="M21" i="30"/>
  <c r="L21" i="30"/>
  <c r="K21" i="30"/>
  <c r="M20" i="30"/>
  <c r="L20" i="30"/>
  <c r="K20" i="30"/>
  <c r="M19" i="30"/>
  <c r="L19" i="30"/>
  <c r="K19" i="30"/>
  <c r="M18" i="30"/>
  <c r="L18" i="30"/>
  <c r="K18" i="30"/>
  <c r="M17" i="30"/>
  <c r="L17" i="30"/>
  <c r="K17" i="30"/>
  <c r="M16" i="30"/>
  <c r="L16" i="30"/>
  <c r="K16" i="30"/>
  <c r="M15" i="30"/>
  <c r="L15" i="30"/>
  <c r="K15" i="30"/>
  <c r="M14" i="30"/>
  <c r="L14" i="30"/>
  <c r="K14" i="30"/>
  <c r="M13" i="30"/>
  <c r="L13" i="30"/>
  <c r="K13" i="30"/>
  <c r="M12" i="30"/>
  <c r="L12" i="30"/>
  <c r="K12" i="30"/>
  <c r="M11" i="30"/>
  <c r="L11" i="30"/>
  <c r="K11" i="30"/>
  <c r="M10" i="30"/>
  <c r="L10" i="30"/>
  <c r="K10" i="30"/>
  <c r="K9" i="4"/>
  <c r="K10" i="4"/>
  <c r="H10" i="4" s="1"/>
  <c r="K11" i="4"/>
  <c r="K12" i="4"/>
  <c r="H12" i="4" s="1"/>
  <c r="H11" i="4"/>
  <c r="H9" i="4"/>
  <c r="L10" i="4"/>
  <c r="I10" i="4" s="1"/>
  <c r="L11" i="4"/>
  <c r="I11" i="4" s="1"/>
  <c r="L12" i="4"/>
  <c r="I12" i="4" s="1"/>
  <c r="L9" i="4"/>
  <c r="I9" i="4" s="1"/>
  <c r="J10" i="4"/>
  <c r="J11" i="4"/>
  <c r="J12" i="4"/>
  <c r="J9" i="4"/>
  <c r="D16" i="25"/>
  <c r="C25" i="25"/>
  <c r="C34" i="25" s="1"/>
  <c r="C17" i="25"/>
  <c r="C16" i="25"/>
  <c r="M59" i="30" l="1"/>
  <c r="K59" i="30"/>
  <c r="K67" i="30"/>
  <c r="L59" i="30"/>
  <c r="M67" i="30"/>
  <c r="L67" i="30"/>
  <c r="F38" i="28"/>
  <c r="F44" i="28" s="1"/>
  <c r="D38" i="28"/>
  <c r="B38" i="28"/>
  <c r="B44" i="28" s="1"/>
  <c r="I32" i="28"/>
  <c r="I34" i="28"/>
  <c r="I28" i="28"/>
  <c r="I26" i="28"/>
  <c r="I24" i="28"/>
  <c r="I22" i="28"/>
  <c r="I20" i="28"/>
  <c r="H8" i="28"/>
  <c r="I8" i="28"/>
  <c r="H9" i="28"/>
  <c r="I9" i="28"/>
  <c r="B10" i="28"/>
  <c r="D10" i="28"/>
  <c r="F10" i="28"/>
  <c r="H10" i="28" s="1"/>
  <c r="H14" i="28" s="1"/>
  <c r="H38" i="28" s="1"/>
  <c r="H44" i="28" s="1"/>
  <c r="I10" i="28"/>
  <c r="H11" i="28"/>
  <c r="I11" i="28"/>
  <c r="H12" i="28"/>
  <c r="I12" i="28"/>
  <c r="H13" i="28"/>
  <c r="I13" i="28"/>
  <c r="C14" i="28"/>
  <c r="C38" i="28" s="1"/>
  <c r="C44" i="28" s="1"/>
  <c r="E14" i="28"/>
  <c r="G14" i="28"/>
  <c r="I16" i="28"/>
  <c r="I17" i="28"/>
  <c r="I19" i="28"/>
  <c r="I21" i="28"/>
  <c r="I23" i="28"/>
  <c r="I25" i="28"/>
  <c r="I27" i="28"/>
  <c r="I29" i="28"/>
  <c r="I30" i="28"/>
  <c r="I31" i="28"/>
  <c r="I33" i="28"/>
  <c r="I35" i="28"/>
  <c r="I36" i="28"/>
  <c r="I37" i="28"/>
  <c r="G38" i="28"/>
  <c r="G44" i="28" s="1"/>
  <c r="I39" i="28"/>
  <c r="I40" i="28"/>
  <c r="I41" i="28"/>
  <c r="I42" i="28"/>
  <c r="I43" i="28"/>
  <c r="D44" i="28"/>
  <c r="H46" i="28"/>
  <c r="I48" i="28"/>
  <c r="I49" i="28"/>
  <c r="I14" i="28" l="1"/>
  <c r="E38" i="28"/>
  <c r="E44" i="28" s="1"/>
  <c r="I18" i="28"/>
  <c r="I38" i="28" s="1"/>
  <c r="I44" i="28" s="1"/>
  <c r="L9" i="27"/>
  <c r="L10" i="27"/>
  <c r="L12" i="27"/>
  <c r="K21" i="27"/>
  <c r="K20" i="27"/>
  <c r="K16" i="27"/>
  <c r="L14" i="27"/>
  <c r="F13" i="27"/>
  <c r="F17" i="27" s="1"/>
  <c r="F22" i="27" s="1"/>
  <c r="E13" i="27"/>
  <c r="D13" i="27"/>
  <c r="D15" i="27" s="1"/>
  <c r="L15" i="27" s="1"/>
  <c r="C13" i="27"/>
  <c r="C17" i="27" s="1"/>
  <c r="C22" i="27" s="1"/>
  <c r="B13" i="27"/>
  <c r="K12" i="27"/>
  <c r="J12" i="27"/>
  <c r="L11" i="27"/>
  <c r="K11" i="27"/>
  <c r="J11" i="27"/>
  <c r="K10" i="27"/>
  <c r="J10" i="27"/>
  <c r="K9" i="27"/>
  <c r="J9" i="27"/>
  <c r="I13" i="27"/>
  <c r="D12" i="26"/>
  <c r="D11" i="26"/>
  <c r="D10" i="26"/>
  <c r="D9" i="26"/>
  <c r="U9" i="26" s="1"/>
  <c r="T9" i="26"/>
  <c r="S9" i="26"/>
  <c r="K13" i="27" l="1"/>
  <c r="K17" i="27" s="1"/>
  <c r="K22" i="27" s="1"/>
  <c r="H13" i="27"/>
  <c r="H22" i="27" s="1"/>
  <c r="J13" i="27"/>
  <c r="G13" i="27"/>
  <c r="L13" i="27" l="1"/>
  <c r="T19" i="26"/>
  <c r="T18" i="26"/>
  <c r="T14" i="26"/>
  <c r="O13" i="26"/>
  <c r="O15" i="26" s="1"/>
  <c r="O20" i="26" s="1"/>
  <c r="N13" i="26"/>
  <c r="M13" i="26"/>
  <c r="L13" i="26"/>
  <c r="L15" i="26" s="1"/>
  <c r="L20" i="26" s="1"/>
  <c r="K13" i="26"/>
  <c r="I13" i="26"/>
  <c r="I15" i="26" s="1"/>
  <c r="I20" i="26" s="1"/>
  <c r="H13" i="26"/>
  <c r="G13" i="26"/>
  <c r="F13" i="26"/>
  <c r="F15" i="26" s="1"/>
  <c r="F20" i="26" s="1"/>
  <c r="E13" i="26"/>
  <c r="D13" i="26"/>
  <c r="C13" i="26"/>
  <c r="C15" i="26" s="1"/>
  <c r="C20" i="26" s="1"/>
  <c r="B13" i="26"/>
  <c r="U12" i="26"/>
  <c r="T12" i="26"/>
  <c r="S12" i="26"/>
  <c r="U11" i="26"/>
  <c r="T11" i="26"/>
  <c r="S11" i="26"/>
  <c r="U10" i="26"/>
  <c r="T10" i="26"/>
  <c r="S10" i="26"/>
  <c r="R13" i="26"/>
  <c r="Q13" i="26"/>
  <c r="P13" i="26"/>
  <c r="J13" i="26"/>
  <c r="T13" i="26" l="1"/>
  <c r="T15" i="26" s="1"/>
  <c r="T20" i="26" s="1"/>
  <c r="S13" i="26"/>
  <c r="U13" i="26"/>
  <c r="D25" i="25" l="1"/>
  <c r="G68" i="25" l="1"/>
  <c r="F68" i="25"/>
  <c r="E68" i="25"/>
  <c r="F63" i="25"/>
  <c r="E63" i="25"/>
  <c r="G60" i="25"/>
  <c r="F60" i="25"/>
  <c r="E60" i="25"/>
  <c r="G56" i="25"/>
  <c r="F56" i="25"/>
  <c r="E56" i="25"/>
  <c r="G49" i="25"/>
  <c r="F49" i="25"/>
  <c r="E49" i="25"/>
  <c r="G45" i="25"/>
  <c r="F45" i="25"/>
  <c r="E45" i="25"/>
  <c r="F40" i="25"/>
  <c r="E40" i="25"/>
  <c r="D34" i="25"/>
  <c r="D18" i="25"/>
  <c r="D20" i="25" s="1"/>
  <c r="C18" i="25"/>
  <c r="C20" i="25" s="1"/>
  <c r="C35" i="25" s="1"/>
  <c r="F64" i="25" l="1"/>
  <c r="E64" i="25"/>
  <c r="D35" i="25"/>
  <c r="G63" i="25" l="1"/>
  <c r="G40" i="25"/>
  <c r="G64" i="25" l="1"/>
  <c r="K23" i="24"/>
  <c r="D23" i="24"/>
  <c r="C23" i="24"/>
  <c r="K20" i="24"/>
  <c r="D20" i="24"/>
  <c r="C20" i="24"/>
  <c r="N17" i="24"/>
  <c r="M17" i="24"/>
  <c r="K13" i="24"/>
  <c r="D13" i="24"/>
  <c r="C13" i="24"/>
  <c r="N11" i="24"/>
  <c r="M11" i="24"/>
  <c r="D24" i="24" l="1"/>
  <c r="H22" i="24" s="1"/>
  <c r="C24" i="24"/>
  <c r="E19" i="24" s="1"/>
  <c r="K24" i="24"/>
  <c r="I19" i="24"/>
  <c r="J22" i="24"/>
  <c r="J23" i="24" s="1"/>
  <c r="F22" i="24"/>
  <c r="F23" i="24" s="1"/>
  <c r="J18" i="24"/>
  <c r="F18" i="24"/>
  <c r="J15" i="24"/>
  <c r="F15" i="24"/>
  <c r="J10" i="24"/>
  <c r="F10" i="24"/>
  <c r="J19" i="24"/>
  <c r="F19" i="24"/>
  <c r="J16" i="24"/>
  <c r="F16" i="24"/>
  <c r="J12" i="24"/>
  <c r="F12" i="24"/>
  <c r="I15" i="24" l="1"/>
  <c r="E22" i="24"/>
  <c r="E23" i="24" s="1"/>
  <c r="E15" i="24"/>
  <c r="E10" i="24"/>
  <c r="I10" i="24"/>
  <c r="M10" i="24" s="1"/>
  <c r="E18" i="24"/>
  <c r="I18" i="24"/>
  <c r="M18" i="24" s="1"/>
  <c r="I22" i="24"/>
  <c r="I23" i="24" s="1"/>
  <c r="E12" i="24"/>
  <c r="I12" i="24"/>
  <c r="E16" i="24"/>
  <c r="E20" i="24" s="1"/>
  <c r="I16" i="24"/>
  <c r="M19" i="24"/>
  <c r="L10" i="24"/>
  <c r="H12" i="24"/>
  <c r="L15" i="24"/>
  <c r="H16" i="24"/>
  <c r="L18" i="24"/>
  <c r="H19" i="24"/>
  <c r="N19" i="24" s="1"/>
  <c r="L22" i="24"/>
  <c r="L23" i="24" s="1"/>
  <c r="H10" i="24"/>
  <c r="L12" i="24"/>
  <c r="H15" i="24"/>
  <c r="H20" i="24" s="1"/>
  <c r="L16" i="24"/>
  <c r="H18" i="24"/>
  <c r="L19" i="24"/>
  <c r="M16" i="24"/>
  <c r="H23" i="24"/>
  <c r="M15" i="24"/>
  <c r="G20" i="24"/>
  <c r="G23" i="24"/>
  <c r="M22" i="24"/>
  <c r="M23" i="24" s="1"/>
  <c r="N12" i="24"/>
  <c r="N18" i="24"/>
  <c r="G13" i="24"/>
  <c r="F13" i="24"/>
  <c r="J13" i="24"/>
  <c r="F20" i="24"/>
  <c r="F24" i="24" s="1"/>
  <c r="J20" i="24"/>
  <c r="J24" i="24" s="1"/>
  <c r="D17" i="20"/>
  <c r="C17" i="20"/>
  <c r="B17" i="20"/>
  <c r="H13" i="24" l="1"/>
  <c r="N16" i="24"/>
  <c r="I20" i="24"/>
  <c r="I24" i="24" s="1"/>
  <c r="H24" i="24"/>
  <c r="I13" i="24"/>
  <c r="M12" i="24"/>
  <c r="M13" i="24" s="1"/>
  <c r="M20" i="24"/>
  <c r="E13" i="24"/>
  <c r="E24" i="24"/>
  <c r="L20" i="24"/>
  <c r="L13" i="24"/>
  <c r="L24" i="24" s="1"/>
  <c r="N22" i="24"/>
  <c r="N23" i="24" s="1"/>
  <c r="N15" i="24"/>
  <c r="N20" i="24" s="1"/>
  <c r="N10" i="24"/>
  <c r="N13" i="24" s="1"/>
  <c r="G24" i="24"/>
  <c r="D13" i="20"/>
  <c r="N24" i="24" l="1"/>
  <c r="M24" i="24"/>
  <c r="C13" i="20"/>
  <c r="B13" i="20"/>
  <c r="D37" i="20" l="1"/>
  <c r="C37" i="20"/>
  <c r="B37" i="20"/>
  <c r="D34" i="20"/>
  <c r="C34" i="20"/>
  <c r="B34" i="20"/>
  <c r="D27" i="20"/>
  <c r="D28" i="20" s="1"/>
  <c r="C27" i="20"/>
  <c r="C28" i="20" s="1"/>
  <c r="B27" i="20"/>
  <c r="B28" i="20" l="1"/>
  <c r="B29" i="20" s="1"/>
  <c r="D38" i="20"/>
  <c r="B38" i="20"/>
  <c r="C29" i="20"/>
  <c r="D29" i="20"/>
  <c r="C38" i="20"/>
  <c r="B39" i="20" l="1"/>
  <c r="B42" i="20" s="1"/>
  <c r="D39" i="20"/>
  <c r="D42" i="20" s="1"/>
  <c r="C39" i="20"/>
  <c r="C42" i="20" s="1"/>
  <c r="B41" i="20" l="1"/>
  <c r="D41" i="20"/>
  <c r="C41" i="20"/>
  <c r="A29" i="4" l="1"/>
  <c r="A28" i="4"/>
  <c r="A27" i="4"/>
  <c r="A26" i="4"/>
  <c r="J16" i="5" l="1"/>
  <c r="B13" i="4"/>
  <c r="M14" i="4" l="1"/>
  <c r="J31" i="4" s="1"/>
  <c r="L32" i="5" l="1"/>
  <c r="M35" i="5"/>
  <c r="L35" i="5"/>
  <c r="K35" i="5"/>
  <c r="J35" i="5"/>
  <c r="M34" i="5"/>
  <c r="L34" i="5"/>
  <c r="K34" i="5"/>
  <c r="J34" i="5"/>
  <c r="M33" i="5"/>
  <c r="L33" i="5"/>
  <c r="K33" i="5"/>
  <c r="J33" i="5"/>
  <c r="M32" i="5"/>
  <c r="M36" i="5" s="1"/>
  <c r="K32" i="5"/>
  <c r="J32" i="5"/>
  <c r="M19" i="5"/>
  <c r="L19" i="5"/>
  <c r="K19" i="5"/>
  <c r="J19" i="5"/>
  <c r="M18" i="5"/>
  <c r="L18" i="5"/>
  <c r="K18" i="5"/>
  <c r="J18" i="5"/>
  <c r="M17" i="5"/>
  <c r="L17" i="5"/>
  <c r="K17" i="5"/>
  <c r="J17" i="5"/>
  <c r="L16" i="5"/>
  <c r="K16" i="5"/>
  <c r="M16" i="5"/>
  <c r="G36" i="5"/>
  <c r="C36" i="5"/>
  <c r="G28" i="5"/>
  <c r="C28" i="5"/>
  <c r="G20" i="5"/>
  <c r="C20" i="5"/>
  <c r="G12" i="5"/>
  <c r="C12" i="5"/>
  <c r="J20" i="5"/>
  <c r="L20" i="5" l="1"/>
  <c r="J36" i="5"/>
  <c r="M20" i="5"/>
  <c r="K20" i="5"/>
  <c r="K36" i="5"/>
  <c r="L36" i="5"/>
  <c r="H36" i="5" l="1"/>
  <c r="F36" i="5"/>
  <c r="D36" i="5"/>
  <c r="B36" i="5"/>
  <c r="H28" i="5"/>
  <c r="F28" i="5"/>
  <c r="D28" i="5"/>
  <c r="B28" i="5"/>
  <c r="H20" i="5"/>
  <c r="F20" i="5"/>
  <c r="D20" i="5"/>
  <c r="B20" i="5"/>
  <c r="H12" i="5"/>
  <c r="F12" i="5"/>
  <c r="D12" i="5"/>
  <c r="B12" i="5"/>
  <c r="L21" i="4"/>
  <c r="I38" i="4" s="1"/>
  <c r="L20" i="4"/>
  <c r="I37" i="4" s="1"/>
  <c r="I36" i="4"/>
  <c r="I35" i="4"/>
  <c r="L16" i="4"/>
  <c r="I33" i="4" s="1"/>
  <c r="G30" i="4"/>
  <c r="G32" i="4" s="1"/>
  <c r="F30" i="4"/>
  <c r="F34" i="4" s="1"/>
  <c r="F39" i="4" s="1"/>
  <c r="E30" i="4"/>
  <c r="D30" i="4"/>
  <c r="D32" i="4" s="1"/>
  <c r="C30" i="4"/>
  <c r="C34" i="4" s="1"/>
  <c r="C39" i="4" s="1"/>
  <c r="B30" i="4"/>
  <c r="J13" i="4"/>
  <c r="J15" i="4" s="1"/>
  <c r="I13" i="4"/>
  <c r="I17" i="4" s="1"/>
  <c r="I22" i="4" s="1"/>
  <c r="H13" i="4"/>
  <c r="G13" i="4"/>
  <c r="G15" i="4" s="1"/>
  <c r="F13" i="4"/>
  <c r="F17" i="4" s="1"/>
  <c r="E13" i="4"/>
  <c r="D13" i="4"/>
  <c r="D15" i="4" s="1"/>
  <c r="C13" i="4"/>
  <c r="C17" i="4" s="1"/>
  <c r="C22" i="4" s="1"/>
  <c r="J29" i="4"/>
  <c r="J28" i="4"/>
  <c r="J27" i="4"/>
  <c r="J26" i="4"/>
  <c r="M15" i="4" l="1"/>
  <c r="J32" i="4" s="1"/>
  <c r="K13" i="4"/>
  <c r="L13" i="4"/>
  <c r="M13" i="4"/>
  <c r="J30" i="4"/>
  <c r="F22" i="4"/>
  <c r="L22" i="4" s="1"/>
  <c r="I39" i="4" s="1"/>
  <c r="L17" i="4"/>
  <c r="I34" i="4" s="1"/>
  <c r="I30" i="4"/>
  <c r="H30" i="4"/>
</calcChain>
</file>

<file path=xl/sharedStrings.xml><?xml version="1.0" encoding="utf-8"?>
<sst xmlns="http://schemas.openxmlformats.org/spreadsheetml/2006/main" count="1792" uniqueCount="464">
  <si>
    <t>Summary of Requirements</t>
  </si>
  <si>
    <t>Salaries and Expenses</t>
  </si>
  <si>
    <t>(Dollars in Thousands)</t>
  </si>
  <si>
    <t>Direct Pos.</t>
  </si>
  <si>
    <t>Amount</t>
  </si>
  <si>
    <t>Pay and Benefits</t>
  </si>
  <si>
    <t>Domestic Rent and Facilities</t>
  </si>
  <si>
    <t>Other Adjustments</t>
  </si>
  <si>
    <t>Foreign Expenses</t>
  </si>
  <si>
    <t>Prison and Detention</t>
  </si>
  <si>
    <t>Program Changes</t>
  </si>
  <si>
    <t>Increase 3</t>
  </si>
  <si>
    <t>Subtotal, Increases</t>
  </si>
  <si>
    <t>Offset 2</t>
  </si>
  <si>
    <t>Offset 3</t>
  </si>
  <si>
    <t>Subtotal, Offsets</t>
  </si>
  <si>
    <t>Total Program Changes</t>
  </si>
  <si>
    <t>end of line</t>
  </si>
  <si>
    <t>end of sheet</t>
  </si>
  <si>
    <t>Balance Rescission - negative amount</t>
  </si>
  <si>
    <t>Formula = Prior Year Budget + Rescission</t>
  </si>
  <si>
    <t>Formula =Current Year Budget + Rescission</t>
  </si>
  <si>
    <t>Formula = Transfers + Pay &amp; Benefits + Domestic Rent &amp; Facilities + Other Adjustments + Foreign Expenses + Prison &amp; Detention + Non-Recurral Non-Personnel.</t>
  </si>
  <si>
    <t>Formula = Subtotal Increases + Subtotal Offsets</t>
  </si>
  <si>
    <t>Formula = Current Services + Program Changes</t>
  </si>
  <si>
    <t>General Instructions</t>
  </si>
  <si>
    <t>Decision Unit 1</t>
  </si>
  <si>
    <t>Decision Unit 2</t>
  </si>
  <si>
    <t>Decision Unit 3</t>
  </si>
  <si>
    <t>Decision Unit 4</t>
  </si>
  <si>
    <t>Total</t>
  </si>
  <si>
    <t>Reimbursable FTE</t>
  </si>
  <si>
    <t>Other FTE:</t>
  </si>
  <si>
    <t>LEAP</t>
  </si>
  <si>
    <t>Overtime</t>
  </si>
  <si>
    <t>Direct FTE</t>
  </si>
  <si>
    <r>
      <t xml:space="preserve">List all DU assigned to your organization.  </t>
    </r>
    <r>
      <rPr>
        <b/>
        <sz val="11"/>
        <color theme="1"/>
        <rFont val="Arial"/>
        <family val="2"/>
      </rPr>
      <t>DU should be consistent with exhibits C, F, G and J.</t>
    </r>
  </si>
  <si>
    <t>Check List</t>
  </si>
  <si>
    <t>Are the number of Reimb. FTE, LEAP FTE and OVT FTE correct?</t>
  </si>
  <si>
    <t>Program Increases</t>
  </si>
  <si>
    <t>Increase 4</t>
  </si>
  <si>
    <t>Total Increases</t>
  </si>
  <si>
    <t>Total Offsets</t>
  </si>
  <si>
    <t>Program Offsets</t>
  </si>
  <si>
    <t>Offset 4</t>
  </si>
  <si>
    <t>Total Program Increases</t>
  </si>
  <si>
    <t>Total Program Offsets</t>
  </si>
  <si>
    <t>Positions, Agents/Attorneys must agree with exhibits I, J, and K.</t>
  </si>
  <si>
    <t>Identify the DU under which the discussion of the program change is located within the budget submission in column B.</t>
  </si>
  <si>
    <t>Resources by Department of Justice Strategic Goal/Objective</t>
  </si>
  <si>
    <t>Strategic Goal and Strategic Objective</t>
  </si>
  <si>
    <t>Direct Amount</t>
  </si>
  <si>
    <t>Direct/
Reimb FTE</t>
  </si>
  <si>
    <t>Goal 1</t>
  </si>
  <si>
    <t>Prosecute those involved in terrorist acts.</t>
  </si>
  <si>
    <t xml:space="preserve">Prevent Terrorism and Promote the Nation's Security Consistent with the Rule of Law
</t>
  </si>
  <si>
    <t>Goal 2</t>
  </si>
  <si>
    <t>Prevent Crime, Protect the Rights of the American People, and enforce Federal Law</t>
  </si>
  <si>
    <t>Subtotal, Goal 2</t>
  </si>
  <si>
    <t>Subtotal, Goal 1</t>
  </si>
  <si>
    <t>Goal 3</t>
  </si>
  <si>
    <t>Ensure and Support the Fair, Impartial, Efficient, and Transparent Administration of Justice at the Federal, State, Local, Tribal and International Levels.</t>
  </si>
  <si>
    <t>Subtotal, Goal 3</t>
  </si>
  <si>
    <t>TOTAL</t>
  </si>
  <si>
    <t>Use FTE % to spread overhead by DOJ Strategic Goal/objective.  If FTE % is not used, describe overhead allocation method.</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</si>
  <si>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</si>
  <si>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</si>
  <si>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</si>
  <si>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</si>
  <si>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</si>
  <si>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</si>
  <si>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</si>
  <si>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</si>
  <si>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</si>
  <si>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</si>
  <si>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</si>
  <si>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</si>
  <si>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25.6 Medical Care</t>
  </si>
  <si>
    <t>Supplies and Materials</t>
  </si>
  <si>
    <t>Equipment</t>
  </si>
  <si>
    <t>Total Non-Personnel Cost</t>
  </si>
  <si>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($_____for pay and $_____for benefits, totaling $______.)</t>
    </r>
  </si>
  <si>
    <t xml:space="preserve"> </t>
  </si>
  <si>
    <t>Subtotal, Pay and Benefits</t>
  </si>
  <si>
    <t>Subtotal, Domestic Rent and Facilities</t>
  </si>
  <si>
    <t>Subtotal, Other Adjustments</t>
  </si>
  <si>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$_______reflects the increase in cost to support existing staffing levels.</t>
    </r>
  </si>
  <si>
    <t>Subtotal, Foreign Expenses</t>
  </si>
  <si>
    <t>Subtotal, Prison and Detention</t>
  </si>
  <si>
    <t>Subtotal, Non-Recur Non-Personnel</t>
  </si>
  <si>
    <t>CHECK LIST</t>
  </si>
  <si>
    <t>Do these totals agree with Pay and Benefits line in exhibit B?</t>
  </si>
  <si>
    <t>Do these totals agree with Domestic Rent and Facilities line in exhibit B?</t>
  </si>
  <si>
    <t>Do these totals agree with Prison and Detention line in exhibit B?</t>
  </si>
  <si>
    <t>Do these totals agree with Non-Recur Non-Personnel line in exhibit B?</t>
  </si>
  <si>
    <t>Do these totals agree with Total Technical Adjustments and Adjustments to Base in exhibit B?</t>
  </si>
  <si>
    <t>Reprogramming/Transfers</t>
  </si>
  <si>
    <t xml:space="preserve">Carryover </t>
  </si>
  <si>
    <r>
      <rPr>
        <sz val="11"/>
        <color theme="1"/>
        <rFont val="Arial"/>
        <family val="2"/>
      </rPr>
      <t>Reprogramming/Transfers</t>
    </r>
    <r>
      <rPr>
        <b/>
        <sz val="11"/>
        <color theme="1"/>
        <rFont val="Arial"/>
        <family val="2"/>
      </rPr>
      <t xml:space="preserve"> </t>
    </r>
    <r>
      <rPr>
        <sz val="11"/>
        <color theme="1"/>
        <rFont val="Arial"/>
        <family val="2"/>
      </rPr>
      <t xml:space="preserve">should reflect </t>
    </r>
    <r>
      <rPr>
        <b/>
        <sz val="11"/>
        <color theme="1"/>
        <rFont val="Arial"/>
        <family val="2"/>
      </rPr>
      <t xml:space="preserve">approved reprogramming </t>
    </r>
    <r>
      <rPr>
        <sz val="11"/>
        <color theme="1"/>
        <rFont val="Arial"/>
        <family val="2"/>
      </rPr>
      <t xml:space="preserve">and </t>
    </r>
    <r>
      <rPr>
        <b/>
        <sz val="11"/>
        <color theme="1"/>
        <rFont val="Arial"/>
        <family val="2"/>
      </rPr>
      <t xml:space="preserve">all SF-1151 Transfers </t>
    </r>
    <r>
      <rPr>
        <sz val="11"/>
        <color theme="1"/>
        <rFont val="Arial"/>
        <family val="2"/>
      </rPr>
      <t>(DHS, HIDTA, Treasury, etc.</t>
    </r>
  </si>
  <si>
    <t>Direct Amounts only from the latest approved SF-132 for the following items:</t>
  </si>
  <si>
    <t>Line 1000 for Unobligated Balances Carried Forward</t>
  </si>
  <si>
    <t>Lines 1021, 1041 for Recoveries</t>
  </si>
  <si>
    <t>Lines 1700, 1701, 1740 for Direct Cash Refunds</t>
  </si>
  <si>
    <t>Please provide explanatory narrative, in footnote format, for any Rescissions, Reprogrammings, Transfers, Recoveries and Unobligated Balances.</t>
  </si>
  <si>
    <t>Crosswalk of 2013 Availability</t>
  </si>
  <si>
    <t>Summary of Reimbursable Resources</t>
  </si>
  <si>
    <t>Increase/Decrease</t>
  </si>
  <si>
    <t>Agency 4</t>
  </si>
  <si>
    <t>Sources of collections may be other agencies or other appropriations within the Department of Justice.</t>
  </si>
  <si>
    <t>Resources derived from the Assets Forfeiture Fund and the Organized Crime Drug Enforcement appropriations should be displayed separately for each organization gaining such resources.</t>
  </si>
  <si>
    <t>Reimb. Pos.</t>
  </si>
  <si>
    <t>Reimb. FTE</t>
  </si>
  <si>
    <t>Total Reimb. FTE must agree with Reimb. FTE in exhibit B by DU.</t>
  </si>
  <si>
    <t>Detail of Permanent Positions by Category</t>
  </si>
  <si>
    <t>ATBs</t>
  </si>
  <si>
    <t>Category</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</si>
  <si>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</si>
  <si>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</si>
  <si>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</si>
  <si>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</si>
  <si>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</si>
  <si>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</si>
  <si>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</si>
  <si>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</si>
  <si>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</si>
  <si>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</si>
  <si>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</si>
  <si>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</si>
  <si>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</si>
  <si>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</si>
  <si>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</si>
  <si>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</si>
  <si>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</si>
  <si>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</si>
  <si>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</si>
  <si>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</si>
  <si>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</si>
  <si>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</si>
  <si>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</si>
  <si>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</si>
  <si>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</si>
  <si>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</si>
  <si>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</si>
  <si>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</si>
  <si>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</si>
  <si>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</si>
  <si>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</si>
  <si>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</si>
  <si>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</si>
  <si>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</si>
  <si>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</si>
  <si>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</si>
  <si>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</si>
  <si>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</si>
  <si>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</si>
  <si>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</si>
  <si>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</si>
  <si>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</si>
  <si>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</si>
  <si>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</si>
  <si>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</si>
  <si>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</si>
  <si>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</si>
  <si>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GS-15</t>
  </si>
  <si>
    <t>GS-13</t>
  </si>
  <si>
    <t>GS-11</t>
  </si>
  <si>
    <t>GS-10</t>
  </si>
  <si>
    <t>Total Positions and Annual Amount</t>
  </si>
  <si>
    <t>Lapse (-)</t>
  </si>
  <si>
    <t>Total FTEs and Personnel Compensation</t>
  </si>
  <si>
    <t>Program Offsets must agree with Exhibit B by DU and exhibit J.</t>
  </si>
  <si>
    <t>Base Adjustments</t>
  </si>
  <si>
    <t>Total Base Adjustments</t>
  </si>
  <si>
    <t>Total Technical and Base Adjustments</t>
  </si>
  <si>
    <t>Actual FTE</t>
  </si>
  <si>
    <t>Estim. FTE</t>
  </si>
  <si>
    <t>Balance Rescission</t>
  </si>
  <si>
    <t>Total Direct</t>
  </si>
  <si>
    <t>Total Direct and Reimb. FTE</t>
  </si>
  <si>
    <t>Grand Total, FTE</t>
  </si>
  <si>
    <t>Program Activity</t>
  </si>
  <si>
    <t>Direct Positions, FTE and Amount in this exhibit should agree with the corresponding information in exhibit B - Part I</t>
  </si>
  <si>
    <t>Program Increases must agree with Exhibit B by DU and exhibit J.</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</si>
  <si>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</si>
  <si>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</si>
  <si>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</si>
  <si>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</si>
  <si>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</si>
  <si>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</si>
  <si>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t>Do these totals agree with Other Adjustments line in Exhibit B?</t>
  </si>
  <si>
    <t>Do these totals agree with Foreign Expenses line in exhibit B?</t>
  </si>
  <si>
    <t>Total New Position Costs Subject to Annualization</t>
  </si>
  <si>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$_______reflects the change in cost to support existing staffing levels.</t>
    </r>
  </si>
  <si>
    <t>Recoveries/Refunds</t>
  </si>
  <si>
    <t>Obligations by Program Activity</t>
  </si>
  <si>
    <r>
      <rPr>
        <u/>
        <sz val="9"/>
        <color theme="1"/>
        <rFont val="Arial"/>
        <family val="2"/>
      </rPr>
      <t>Employee Compensation Fund:</t>
    </r>
    <r>
      <rPr>
        <sz val="9"/>
        <color theme="1"/>
        <rFont val="Arial"/>
        <family val="2"/>
      </rPr>
      <t xml:space="preserve">
The $________request reflects anticipated changes in payments to the Department of Labor for injury benefits under the Federal Employee Compensation Act.</t>
    </r>
  </si>
  <si>
    <t>Total Program Change Requests</t>
  </si>
  <si>
    <t>11.5 Other Personnel Compensation</t>
  </si>
  <si>
    <t>22.0 Transportation of Things</t>
  </si>
  <si>
    <t>Subtract - Unobligated Balance, Start-of-Year</t>
  </si>
  <si>
    <t>Do NOT change font, font size and other display settings.</t>
  </si>
  <si>
    <r>
      <t xml:space="preserve">Insert/delete rows as needed. </t>
    </r>
    <r>
      <rPr>
        <b/>
        <sz val="11"/>
        <color theme="0"/>
        <rFont val="Arial"/>
        <family val="2"/>
      </rPr>
      <t xml:space="preserve"> Make sure total formula includes applicable rows in calculation.</t>
    </r>
  </si>
  <si>
    <r>
      <t xml:space="preserve">Display  </t>
    </r>
    <r>
      <rPr>
        <b/>
        <sz val="11"/>
        <rFont val="Arial"/>
        <family val="2"/>
      </rPr>
      <t>Prior Year</t>
    </r>
    <r>
      <rPr>
        <sz val="11"/>
        <rFont val="Arial"/>
        <family val="2"/>
      </rPr>
      <t xml:space="preserve"> Budget, direct only</t>
    </r>
  </si>
  <si>
    <r>
      <t xml:space="preserve">Display </t>
    </r>
    <r>
      <rPr>
        <b/>
        <sz val="11"/>
        <rFont val="Arial"/>
        <family val="2"/>
      </rPr>
      <t>Current Year</t>
    </r>
    <r>
      <rPr>
        <sz val="11"/>
        <rFont val="Arial"/>
        <family val="2"/>
      </rPr>
      <t xml:space="preserve"> Budget, direct only</t>
    </r>
  </si>
  <si>
    <r>
      <t>Program Changes</t>
    </r>
    <r>
      <rPr>
        <b/>
        <sz val="11"/>
        <rFont val="Arial"/>
        <family val="2"/>
      </rPr>
      <t xml:space="preserve"> must agree with exhibits B by DU, C, D, I and J.</t>
    </r>
  </si>
  <si>
    <t>Must agree with Total Pay &amp; Benefits section in exhibit E.</t>
  </si>
  <si>
    <t>Must agree with Total Domestic Rent &amp; Facilities in exhibit E.</t>
  </si>
  <si>
    <t>Must agree with  Total Other Adjustments in exhibit E.</t>
  </si>
  <si>
    <t>Must agree with Total Foreign Expenses in exhibit E.</t>
  </si>
  <si>
    <t>Must agree with Total Prison &amp; Detention in exhibit E.</t>
  </si>
  <si>
    <t>Formula = Total Request + Rescission</t>
  </si>
  <si>
    <r>
      <t xml:space="preserve">This is a snapshot of Total Budget Request.  </t>
    </r>
    <r>
      <rPr>
        <b/>
        <sz val="11"/>
        <rFont val="Arial"/>
        <family val="2"/>
      </rPr>
      <t>All exhibits should tie to related numbers in exhibit B.</t>
    </r>
  </si>
  <si>
    <t xml:space="preserve">This is a snapshot of Total Budget Request by DU. </t>
  </si>
  <si>
    <r>
      <t xml:space="preserve">Please modify the number of columns depending on number of DU.  </t>
    </r>
    <r>
      <rPr>
        <b/>
        <sz val="11"/>
        <color theme="0"/>
        <rFont val="Arial"/>
        <family val="2"/>
      </rPr>
      <t>Please make sure that the display is legible.</t>
    </r>
  </si>
  <si>
    <t>ATB name should be underlined.  Ctrl+Enter to go to the next line in the same cell to enter the ATB justification.</t>
  </si>
  <si>
    <t>Do these totals agree with Reimb FTE line in exhibit B by DU?</t>
  </si>
  <si>
    <r>
      <rPr>
        <sz val="11"/>
        <color theme="1"/>
        <rFont val="Arial"/>
        <family val="2"/>
      </rPr>
      <t>Reprogramming/Transfers</t>
    </r>
    <r>
      <rPr>
        <b/>
        <sz val="11"/>
        <color theme="1"/>
        <rFont val="Arial"/>
        <family val="2"/>
      </rPr>
      <t xml:space="preserve"> </t>
    </r>
    <r>
      <rPr>
        <sz val="11"/>
        <color theme="1"/>
        <rFont val="Arial"/>
        <family val="2"/>
      </rPr>
      <t xml:space="preserve">should reflect </t>
    </r>
    <r>
      <rPr>
        <b/>
        <sz val="11"/>
        <color theme="1"/>
        <rFont val="Arial"/>
        <family val="2"/>
      </rPr>
      <t xml:space="preserve">approved reprogramming </t>
    </r>
    <r>
      <rPr>
        <sz val="11"/>
        <color theme="1"/>
        <rFont val="Arial"/>
        <family val="2"/>
      </rPr>
      <t xml:space="preserve">and </t>
    </r>
    <r>
      <rPr>
        <b/>
        <sz val="11"/>
        <color theme="1"/>
        <rFont val="Arial"/>
        <family val="2"/>
      </rPr>
      <t xml:space="preserve">all SF-1151 Transfers </t>
    </r>
    <r>
      <rPr>
        <sz val="11"/>
        <color theme="1"/>
        <rFont val="Arial"/>
        <family val="2"/>
      </rPr>
      <t>(DHS, HIDTA, Treasury, etc.)</t>
    </r>
  </si>
  <si>
    <t>Budgetary Resources</t>
  </si>
  <si>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$_______is required for this account.</t>
    </r>
  </si>
  <si>
    <t>Total of all Strategic Goal/Objective must agree with exhibit B.</t>
  </si>
  <si>
    <t>Include all appropriations and spread out by Strategic Objective.</t>
  </si>
  <si>
    <t>Insert Direct Positions and Amount columns for each additional increase for each DU.</t>
  </si>
  <si>
    <t>Direct Positions and Amount of each program must agree with exhibits B and C.</t>
  </si>
  <si>
    <t>Lapse represents 50% of total positions and annual rate.  If lapse &lt;&gt; 50%, provide lapse rate justification.</t>
  </si>
  <si>
    <t>Personnel benefits must agree with benefit % used in modular costs.</t>
  </si>
  <si>
    <t>Est. FTE</t>
  </si>
  <si>
    <t>Total Direct with Rescission</t>
  </si>
  <si>
    <t>Add - Unobligated End-of-Year, Expiring</t>
  </si>
  <si>
    <t>Carryover:</t>
  </si>
  <si>
    <t>Recoveries/Refunds:</t>
  </si>
  <si>
    <t>Non-Personnel Related Decreases</t>
  </si>
  <si>
    <t>Insert/delete rows as needed.  Make sure total formula includes applicable rows in calculation.</t>
  </si>
  <si>
    <t>Remove all items that are not applicable.  If exhibit B exceeds 50 rows, insert Page Break between sections.  Do NOT break in the middle.</t>
  </si>
  <si>
    <t>Numbers of last rows in list, before subtotals, need to be underlined.</t>
  </si>
  <si>
    <t>Formula = Technical Adjustments + Base Adjustments</t>
  </si>
  <si>
    <t>Formula = Current Year + Technical Adjustments + Base Adjustments</t>
  </si>
  <si>
    <t>Do PRIOR YEAR Direct Positions, Estimated FTE and Amount agree with exhibit B - Part I?</t>
  </si>
  <si>
    <t>Do CURRENT YEAR Direct Positions, Estimated FTE and Amount agree with exhibit B - Part I?</t>
  </si>
  <si>
    <t>Do BUDGET YEAR ATB and Technical Adjustments Direct Positions, Estimated FTE and Amount agree with exhibit B - Part I?</t>
  </si>
  <si>
    <t>Do BUDGET YEAR Current Services Direct Positions, Estimated FTE and Amount agree with exhibit B - Part I?</t>
  </si>
  <si>
    <t>Do BUDGET YEAR Program Increases Direct Positions, Estimated FTE and Amount agree with exhibit B - Part I?</t>
  </si>
  <si>
    <t>Do BUDGET YEAR Program Offsets Direct Positions, Estimated FTE and Amount agree with exhibit B - Part I?</t>
  </si>
  <si>
    <t>Do BUDGET YEAR Total Request Direct Positions, Estimated FTE and Amount agree with exhibit B - Part I?</t>
  </si>
  <si>
    <t>Two versions of exhibit C,  with different numbers of DU's, have been created as examples for components.</t>
  </si>
  <si>
    <t>This section displays reimbursable by Decision Unit.  Total obligations shown in this section should agree with total Collections above.</t>
  </si>
  <si>
    <t>Collections by Source</t>
  </si>
  <si>
    <t>Subtract - Transfers/Reprogramming</t>
  </si>
  <si>
    <t>Subtract - Recoveries/Refunds</t>
  </si>
  <si>
    <t>Direct Amounts only from the latest approved SF-133 for the following items:</t>
  </si>
  <si>
    <t>Lines 1021 for Recoveries</t>
  </si>
  <si>
    <t>Lines 1700 &amp; 1701 for Direct Cash Refunds</t>
  </si>
  <si>
    <t>Total Availability should equal line 1910 of SF-133 (Budgetary Resources) less any reimbursements.</t>
  </si>
  <si>
    <t>2013 Enacted</t>
  </si>
  <si>
    <t xml:space="preserve">  2013 Rescissions (1.877% &amp; 0.2%)</t>
  </si>
  <si>
    <t>FY 2015 Request</t>
  </si>
  <si>
    <t>Total 2013 Enacted (with Rescissions and Sequester)</t>
  </si>
  <si>
    <t>2015 Current Services</t>
  </si>
  <si>
    <t>2015 Total Request</t>
  </si>
  <si>
    <t>2015 Total Request (with Balance Rescission)</t>
  </si>
  <si>
    <t>2013 Enacted with Rescissions and Sequester</t>
  </si>
  <si>
    <t>2015 Technical and Base Adjustments</t>
  </si>
  <si>
    <t>2015 Increases</t>
  </si>
  <si>
    <t>2015 Offsets</t>
  </si>
  <si>
    <t>2015 Request</t>
  </si>
  <si>
    <t>FY 2015 Program Changes by Decision Unit</t>
  </si>
  <si>
    <t>Annualization Required for 2015</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</si>
  <si>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</si>
  <si>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</si>
  <si>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</si>
  <si>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</si>
  <si>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</si>
  <si>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t>2014 Planned</t>
  </si>
  <si>
    <t>Status of Congressionally Requested Studies, Reports, and Evaluations</t>
  </si>
  <si>
    <t>Formula = Total Request - Prior Year</t>
  </si>
  <si>
    <t xml:space="preserve">List and justify each item separately.  Explanation should specifically explains reason and arithmetic calculations for Prison and Detention amounts </t>
  </si>
  <si>
    <r>
      <t xml:space="preserve">2013 Appropriation Enacted w/o Balance Rescission </t>
    </r>
    <r>
      <rPr>
        <b/>
        <vertAlign val="superscript"/>
        <sz val="11"/>
        <color theme="1"/>
        <rFont val="Arial"/>
        <family val="2"/>
      </rPr>
      <t>1</t>
    </r>
  </si>
  <si>
    <t>Footnotes:</t>
  </si>
  <si>
    <t>2013 Hurricane Sandy Supplemental</t>
  </si>
  <si>
    <t>This line is not included in the FY 2013 total enacted.  This line is for informational purposes only and does not add into the base for 2013</t>
  </si>
  <si>
    <t>Prevent, disrupt, and defeat terrorist operations before they occur by integrating intelligence and law enforcement efforts to achieve a coordinated response to terrorist threats</t>
  </si>
  <si>
    <t>Investigate and prosecute espionage activity against the United States, strengthen partnerships with potential targets of intelligence intrusions, and proactively prevent insider threats</t>
  </si>
  <si>
    <t>Combat the threat, incidence, and prevalence of violent crime by leveraging strategic partnerships to investigate, arrest, and prosecute violent offenders and illegal firearms traffickers</t>
  </si>
  <si>
    <t xml:space="preserve">Prevent and intervene in crimes against vulnerable populations and uphold the rights of, and improve services to America’s crime victims </t>
  </si>
  <si>
    <t>Disrupt and dismantle major drug trafficking organizations to combat the threat, trafficking, and use of illegal drugs and the diversion of licit drugs</t>
  </si>
  <si>
    <t>Investigate and prosecute corruption, economic crimes, and transnational organized crime</t>
  </si>
  <si>
    <t xml:space="preserve">Promote and protect American civil rights by preventing and prosecuting discriminatory practices </t>
  </si>
  <si>
    <t>Promote and strengthen relationships and strategies for the administration of justice with law enforcement agencies, organizations, prosecutors, and defenders, through innovative leadership and programs</t>
  </si>
  <si>
    <t>Supplementals</t>
  </si>
  <si>
    <t>1) The 2013 Enacted appropriation includes the 2 across-the-board rescissions of 1.877% and 0.2%</t>
  </si>
  <si>
    <t xml:space="preserve">  2013 Sequester</t>
  </si>
  <si>
    <t>2013 Balance Rescission</t>
  </si>
  <si>
    <t>2014 Balance Rescission</t>
  </si>
  <si>
    <t>2015 Balance Rescission</t>
  </si>
  <si>
    <t>Direct Positions</t>
  </si>
  <si>
    <t>FTE</t>
  </si>
  <si>
    <t>2013 Enacted with Rescissions &amp; Sequestration</t>
  </si>
  <si>
    <t>For column B, use the page number where the Program increase is described in Attachment B (Narrative portion of Congressional Justification)</t>
  </si>
  <si>
    <t>2014 Enacted</t>
  </si>
  <si>
    <t>Total 2014 Enacted (with Balance Rescission)</t>
  </si>
  <si>
    <t>FY 2014 Enacted</t>
  </si>
  <si>
    <t>A: Organizational Chart</t>
  </si>
  <si>
    <t>2012 template</t>
  </si>
  <si>
    <t>FY 2011 CJ Submission</t>
  </si>
  <si>
    <t>2014 - 2015 Total Change</t>
  </si>
  <si>
    <t>TEDAC O&amp; M</t>
  </si>
  <si>
    <t>Federal Bureau of Investigation</t>
  </si>
  <si>
    <t>Intelligence</t>
  </si>
  <si>
    <t>CEFC</t>
  </si>
  <si>
    <t>CT/CI</t>
  </si>
  <si>
    <t>CJS</t>
  </si>
  <si>
    <t>MLATs</t>
  </si>
  <si>
    <t>Miscellaneous Offset</t>
  </si>
  <si>
    <t>Non-Recurral of FY 2014 Non-Personnel Increases</t>
  </si>
  <si>
    <t xml:space="preserve">Increases: </t>
  </si>
  <si>
    <t>Terrorist Explosive Device Analytical Center (TEDAC) O&amp;M</t>
  </si>
  <si>
    <t>Mutual Legal Assistance Treaty Reform</t>
  </si>
  <si>
    <t>Offsets:</t>
  </si>
  <si>
    <r>
      <t xml:space="preserve">2015 Pay Raise:
</t>
    </r>
    <r>
      <rPr>
        <sz val="9"/>
        <color theme="1"/>
        <rFont val="Arial"/>
        <family val="2"/>
      </rPr>
      <t>This request provides for a proposed 1 percent pay raise to be effective in January of 2015.  The amount requested, $35,214,000, represents the pay amounts for 3/4 of the fiscal year plus appropriate benefits ($26,780,000 for pay and $8,434,000 for benefits.)</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</si>
  <si>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$66,159,000, represents the funds needed to cover this increase. </t>
    </r>
  </si>
  <si>
    <r>
      <t>Health Insurance:</t>
    </r>
    <r>
      <rPr>
        <sz val="9"/>
        <color theme="1"/>
        <rFont val="Arial"/>
        <family val="2"/>
      </rPr>
      <t xml:space="preserve">
Effective January 2015, the component's contribution to Federal employees' health insurance increases by 3.787 percent.  Applied against the 2014 estimate of $265,182,000 the additional amount required is $10,043,000.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</si>
  <si>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$7,957,000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</si>
  <si>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$14,127,000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</si>
  <si>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$1,123,000 is required to meet these commitments.</t>
    </r>
  </si>
  <si>
    <r>
      <t xml:space="preserve">Land Mobile Radio O&amp;M: </t>
    </r>
    <r>
      <rPr>
        <sz val="9"/>
        <color theme="1"/>
        <rFont val="Arial"/>
        <family val="2"/>
      </rPr>
      <t xml:space="preserve">
O&amp;M funding to address additional costs not covered within the base funding as the FBI assumes a managerial role for the Departnment's Shared LMR (SLMR) systems according to the plan to transfer the Law Enforcement Wireless Communication (LEWC) program from the Department of Justice (DOJ), Wireless Management Office (WMO) to the FBI.</t>
    </r>
  </si>
  <si>
    <t>2014 New Positions</t>
  </si>
  <si>
    <r>
      <t>Annualization of New Positions Approved in 2014</t>
    </r>
    <r>
      <rPr>
        <sz val="9"/>
        <color theme="1"/>
        <rFont val="Arial"/>
        <family val="2"/>
      </rPr>
      <t xml:space="preserve">:
</t>
    </r>
    <r>
      <rPr>
        <b/>
        <sz val="9"/>
        <color theme="1"/>
        <rFont val="Arial"/>
        <family val="2"/>
      </rPr>
      <t>Personnel:</t>
    </r>
    <r>
      <rPr>
        <sz val="9"/>
        <color theme="1"/>
        <rFont val="Arial"/>
        <family val="2"/>
      </rPr>
      <t xml:space="preserve">
This provides for the annualization of 602 new positions appropriated in 2013.  Annualization of new positions extends up to 3 years to provide entry level funding in the first year, with a 1 or 2-year progression to a journeyman level.  For 2014 increases, this request includes an increase of $63,159,101 for full-year payroll costs associated with these additional positions.
</t>
    </r>
    <r>
      <rPr>
        <b/>
        <sz val="9"/>
        <color theme="1"/>
        <rFont val="Arial"/>
        <family val="2"/>
      </rPr>
      <t>Non-Personnel:</t>
    </r>
    <r>
      <rPr>
        <sz val="9"/>
        <color theme="1"/>
        <rFont val="Arial"/>
        <family val="2"/>
      </rPr>
      <t xml:space="preserve">
This request includes a decrease of $33,289,101 for one-time items associated with the new positions, for a net of +$29,870,000.</t>
    </r>
  </si>
  <si>
    <t>Annual Salary Rate of 602 new Positions</t>
  </si>
  <si>
    <t xml:space="preserve"> a) The FBI realized refund/return of advances of $1,530 in 15 12/13 0200 accounts.</t>
  </si>
  <si>
    <t xml:space="preserve"> b) The FBI realized recycling proceeds/refunds/return of advances of $415.9K in 15 X 0200 account.</t>
  </si>
  <si>
    <t xml:space="preserve"> c) The FBI realized recoveries of $3.054M in 15 X 0200 account.</t>
  </si>
  <si>
    <t xml:space="preserve"> d) The FBI realized vehicle &amp; aircraft proceeds of $15.034M in 15 13/14 0200 account.</t>
  </si>
  <si>
    <t>Counterterrorism/Counterintelligence</t>
  </si>
  <si>
    <t>Criminal Enterprises/Federal Crimes</t>
  </si>
  <si>
    <t>Criminal Justice Services</t>
  </si>
  <si>
    <r>
      <t xml:space="preserve">Balance Rescission </t>
    </r>
    <r>
      <rPr>
        <b/>
        <vertAlign val="superscript"/>
        <sz val="11"/>
        <color theme="1"/>
        <rFont val="Arial"/>
        <family val="2"/>
      </rPr>
      <t>2</t>
    </r>
  </si>
  <si>
    <t xml:space="preserve">b)  $291K transferred to FBI's 15 12/13 0200 account from Office of National Drug Control Policy for High Intensity Drug Trafficking Area. </t>
  </si>
  <si>
    <t xml:space="preserve">c)  $2.001M transferred to FBI's 15 13/14 0200 account from Office of National Drug Control Policy for High Intensity Drug Trafficking Area. </t>
  </si>
  <si>
    <t xml:space="preserve">a)  $188K transferred from FBI's 15 12/13 0200 account to Office of National Drug Control Policy for High Intensity Drug Trafficking Area. </t>
  </si>
  <si>
    <t>Reprogrammings/Transfers:  The amount reflects the following:</t>
  </si>
  <si>
    <t>Recoveries/Refunds/Proceeds:</t>
  </si>
  <si>
    <t xml:space="preserve"> c) The FBI has remaining anticipated recoveries in the 15 13/14 0200 account of $1.05M.</t>
  </si>
  <si>
    <t xml:space="preserve"> d) The FBI realized vehicle proceeds of $516K in 15 14/15 0200 accounts and has remaining anticipated collections of $17.484M.</t>
  </si>
  <si>
    <t>25.1 Misc. Other Services</t>
  </si>
  <si>
    <r>
      <t xml:space="preserve">International Cooperative Administrative Support Services (ICASS):
</t>
    </r>
    <r>
      <rPr>
        <sz val="9"/>
        <color theme="1"/>
        <rFont val="Arial"/>
        <family val="2"/>
      </rPr>
      <t>The Department of State charges agencies for administrative support provided to staff based overseas.  Charges are determined by a cost distribution system.  The FY 2015 request is based on the projected FY 2014 bill for post invoices and other ICASS costs.</t>
    </r>
    <r>
      <rPr>
        <u/>
        <sz val="9"/>
        <color theme="1"/>
        <rFont val="Arial"/>
        <family val="2"/>
      </rPr>
      <t xml:space="preserve">
</t>
    </r>
  </si>
  <si>
    <r>
      <t xml:space="preserve">Capital Security Cost Sharing (CSCS):
</t>
    </r>
    <r>
      <rPr>
        <sz val="9"/>
        <color theme="1"/>
        <rFont val="Arial"/>
        <family val="2"/>
      </rPr>
      <t xml:space="preserve">Per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 2000-2004, the program has been extended annually by OMB and Congress and has also been expanded beyond new embassy construction to include maintenance and renovation costs of the new facilities.  For the purpose of this program, State’s personnel totals for DOJ include current and projected staffing.  
</t>
    </r>
    <r>
      <rPr>
        <u/>
        <sz val="9"/>
        <color theme="1"/>
        <rFont val="Arial"/>
        <family val="2"/>
      </rPr>
      <t xml:space="preserve">
</t>
    </r>
  </si>
  <si>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$12,000 reflects the change in cost to support existing staffing levels.</t>
    </r>
  </si>
  <si>
    <t>A total of $15,661,000 is proposed to non-recur from the FY 2014 increase for the National Instant Criminal Background Check System (NICS).</t>
  </si>
  <si>
    <t>Agt.</t>
  </si>
  <si>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$10,367,000 represents the pay amounts for 1/4 of the fiscal year plus appropriate benefits ($7,884,000 for pay and $2,483,000 for benefits).</t>
    </r>
  </si>
  <si>
    <t>1.  The Conference Report associated with the FY 2014 Consolidated Appropriations Act, page 23, directs the FBI to continue the comprehensive external review of the implementation of recommendations for the FBI proposed in the report by the National Commission on Terrorist Attacks Upon the United States (the “9/11 Commission”) and report findings of the independent review specified in the explanatory statement accompanying the fiscal year 2013 DOJ Appropriations. Target response to Committee January 2015.</t>
  </si>
  <si>
    <t>2.  The Conference Report associated with the FY 2014 Consolidated Appropriations Act, pages 20 and 71, directs the FBI to submit a report on agent utilization and overall staff resources dedicated to combat human trafficking in fiscal years 2010 through 2014. Target response to Committee May 2014.</t>
  </si>
  <si>
    <t>3.  The Conference Report associated with the FY 2014 Consolidated Appropriations Act, page 20, directs the FBI to submit a report on trends in espionage in U.S. laboratories, industry, and academia. Target response to Committee May 2014.</t>
  </si>
  <si>
    <t>4.  The Conference Report associated with the FY 2014 Consolidated Appropriations Act, page 44, directs the FBI to submit a report on trends in the relationship between gang involvement in alien smuggling, human trafficking, and prostitution, and how FBI anti-gang programs are disrupting gang trafficking rings. Target response to Committee May 2014.</t>
  </si>
  <si>
    <t>5.  The Conference Report associated with the FY 2014 Consolidated Appropriations Act, page 70, directs the FBI to submit a report on the activities of its dedicated agents investigating Intellectual Property Rights cases. Target response to Committee May 2014.</t>
  </si>
  <si>
    <t>7.  The Conference Report associated with the  FY 2014 Consolidated Appropriations Act, page 43, directs the FBI to submit a report describing organizations, promoting educational, cultural or professional exchanges, that are controlled by the Chinese government and its military, intelligence or Communist party entities that involve U.S. officials, and measures taken to ensure those officials are informed of Chinese government involvement in the programs. Target response to Committee March 2014.</t>
  </si>
  <si>
    <t>8.  The Conference Report associated with the FY 2014 Consolidated Appropriations Act, page 43, directs the FBI to submit a report on investigative and related support for the prosecution of human rights violations by foreign nationals. Target response to Committee April 2014.</t>
  </si>
  <si>
    <t>10.  The Conference Report associated with the FY 2014 Consolidated Appropriations Act, page 67, directs the FBI to continue pursuing the 5-year budget within the administration and to provide a progress update of this pursuit. Target response to Committee April 2014.</t>
  </si>
  <si>
    <t>Criminal Enterprises and Federal Crimes</t>
  </si>
  <si>
    <t>DEA - Use of FBI Academy</t>
  </si>
  <si>
    <t xml:space="preserve">Department of State - International Law Enforcement Cooperation </t>
  </si>
  <si>
    <t>Other Federal Agencies - Backgroud Investigations</t>
  </si>
  <si>
    <t>Other Federal Agencies - National Name Check Program</t>
  </si>
  <si>
    <t>Department of Justice - OCDETF Allocation</t>
  </si>
  <si>
    <t>Department of Justice - AFMS - Asset Forfeiture Fund Allocation</t>
  </si>
  <si>
    <t>Other Federal Agencies - Intelligence Community Operaional Support</t>
  </si>
  <si>
    <t>HHS - Health Care Fraud Enforcement</t>
  </si>
  <si>
    <t>Other Federal Agencies - Miscellaneous Reimbursable Orders</t>
  </si>
  <si>
    <t>Department of Justice - Miscellaneous Reimbursable Orders</t>
  </si>
  <si>
    <t>Department of Justice - Wireless Management Program</t>
  </si>
  <si>
    <t>Department of Justice - Victim Witness Program</t>
  </si>
  <si>
    <t>Other Federal Agencies - National Virtual Translation Center</t>
  </si>
  <si>
    <t>Department of Justice - Working Capital Fund</t>
  </si>
  <si>
    <t>Other Federal Agencies - Travel and Training</t>
  </si>
  <si>
    <t>Department of Interior - Indian Country Program</t>
  </si>
  <si>
    <t xml:space="preserve">Department of State - International Law Enforcement Cooperation (NY) </t>
  </si>
  <si>
    <t>Department of Justice - WMO  Wireless Management Program (NY)</t>
  </si>
  <si>
    <t>Department of Justice - OCDETF Allocation (NY)</t>
  </si>
  <si>
    <t>Department of Justice - Miscellaneous Reimbursable Orders (NY)</t>
  </si>
  <si>
    <t>Department of Justice - AFMS - Asset Forfeiture Fund Allocation (NY)</t>
  </si>
  <si>
    <t>Department of Justice - Victim Witness Program (NY)</t>
  </si>
  <si>
    <t>HHS - Health Care Fraud Enforcement (NY)</t>
  </si>
  <si>
    <t>Department of Justice - Working Capital Fund - UFMS (NY)</t>
  </si>
  <si>
    <t>Other Federal Agencies - Miscellaneous Reimbursable Orders (NY)</t>
  </si>
  <si>
    <t>Fingerprint User Fee Surcharge</t>
  </si>
  <si>
    <t>Name Check Surcharge</t>
  </si>
  <si>
    <t>Proceeds from Sale of Automobiles (13/14)</t>
  </si>
  <si>
    <t>Department of State - International Law Enforcement Cooperation (14/15)</t>
  </si>
  <si>
    <t>Other Federal Agencies - Intelligence Community Operaional Support (14/15)</t>
  </si>
  <si>
    <t>Other Federal Agencies - Miscellaneous Reimbursable Orders (14/15))</t>
  </si>
  <si>
    <t>Department of Justice - Miscellaneous Reimbursable Orders (14/15)</t>
  </si>
  <si>
    <t>Department of Justice - Victim Witness Program (14/15)</t>
  </si>
  <si>
    <t>Other Federal Agencies - National Virtual Translation Center (14/15)</t>
  </si>
  <si>
    <t>Other Federal Agencies - Travel and Training (14/15)</t>
  </si>
  <si>
    <t>Miscellaneous Operations (0001-0099)</t>
  </si>
  <si>
    <t>Fingerprint Identification (0072)</t>
  </si>
  <si>
    <t>Security Specialists (0080)</t>
  </si>
  <si>
    <t>Social Sciences, Econ, &amp; Psychology (0100-0199)</t>
  </si>
  <si>
    <t>Intelligence Series (0132)</t>
  </si>
  <si>
    <t>Personnel Management (0200-0299)</t>
  </si>
  <si>
    <t>Clerical and Office Services (0300-0399)</t>
  </si>
  <si>
    <t>Biological Sciences (0400-0499)</t>
  </si>
  <si>
    <t>Accounting and Budget (0500-0599)</t>
  </si>
  <si>
    <t>Medical (0600-0699)</t>
  </si>
  <si>
    <t>Engineering/Architecture (0800-0899)</t>
  </si>
  <si>
    <t>Paralegals / Other Law (0900-0999)</t>
  </si>
  <si>
    <t>Attorneys (0905)</t>
  </si>
  <si>
    <t>Forensic/Physical Sciences (1300-1399)</t>
  </si>
  <si>
    <t>Mathematics/Computer Science (1500-1599)</t>
  </si>
  <si>
    <t>Education/Training (1700-1799)</t>
  </si>
  <si>
    <t>General Investigative (1800-1899)</t>
  </si>
  <si>
    <t>Quality Assurance (1900-1999)</t>
  </si>
  <si>
    <t>Transportation (2100-2199)</t>
  </si>
  <si>
    <t>Information Technology Mgmt (2210)</t>
  </si>
  <si>
    <t>Other Positions</t>
  </si>
  <si>
    <t>Terrorist Explosive Device Analytical Center (TEDAC)</t>
  </si>
  <si>
    <t>Mutual Legal Assistance Treaty (MLAT)</t>
  </si>
  <si>
    <t>Miscellaneous Program Reductions</t>
  </si>
  <si>
    <t>12.1 Civilian personnel benefits</t>
  </si>
  <si>
    <t>92.0 Undistributed</t>
  </si>
  <si>
    <t>Note: The FTE for FY 2013 is actual and for FY 2014 is estimated and FY 2015 is requested.</t>
  </si>
  <si>
    <t>Req. FTE</t>
  </si>
  <si>
    <t>Requested FTE</t>
  </si>
  <si>
    <t>Construction</t>
  </si>
  <si>
    <t>Technical Adjustments</t>
  </si>
  <si>
    <t>List of Technical Adjustment must agree with exhibit E.</t>
  </si>
  <si>
    <t>Total Technical Adjustments</t>
  </si>
  <si>
    <t>TEDAC Non-recurral</t>
  </si>
  <si>
    <t>Offsets</t>
  </si>
  <si>
    <t>Secure Work Environment Offset</t>
  </si>
  <si>
    <t xml:space="preserve">Carryover:  The FBI brought forward $96.690M from funds provided in prior years for Biometrics Technology Center ($49.296M), SCIF Program ($19.107M),  TEDAC Expansion ($16.953M), FBI Academy Construction ($4.789M), Central Records Complex ($5.341M), Firearms Range ($1.135M) and miscellaneous projects pending closeout ($69K). </t>
  </si>
  <si>
    <t xml:space="preserve">Recoveries/Refunds:  The $19.296M Recovery/Refund Amount includes $19.03M realized recoveries and $0.266M realized refunds ( SCIF Program - $17.203M, BTC - $.368M, TEDAC - $.590M, Quantico - $1.087M, Other - $.048M).  </t>
  </si>
  <si>
    <t xml:space="preserve">Carryover:  The FBI brought forward $76.566M from funds provided in prior years for Biometrics Technology Center ($43.391M), SCIF Program ($11.961M),  TEDAC Expansion ($15.795M), Miscellaneous-Central Records Complex ($5.371M), and Miscellaneous-Other  ($48K). </t>
  </si>
  <si>
    <t>Recoveries/Refunds:  The $22.5M Recoveries/Refunds amount includes $1.773M realized recoveries ( SCIF Program - $.084M, BTC - $1.689M) and $20.727M anticipated recovery authority .</t>
  </si>
  <si>
    <t>Reimb. FTE must agree with exhibits B by DU, and H.</t>
  </si>
  <si>
    <t>d)  $270.6M transferred to FBI's 15X0200 account from expired balances for sequestration mitigation.</t>
  </si>
  <si>
    <t>2013 Actuals</t>
  </si>
  <si>
    <t>Annual Account Resources</t>
  </si>
  <si>
    <t>No Year (NY) Account Resources</t>
  </si>
  <si>
    <t>FY 2013/2014 Account Resources</t>
  </si>
  <si>
    <t>FY 2014/2015 Account Resources</t>
  </si>
  <si>
    <t>a) $500K transferred to FBI's 15X0200 account from FBI's 15 13 0200 account for the 9/11 Comprehensive Review.</t>
  </si>
  <si>
    <t>2) There was a balance rescission of $13,168K in FY 2013.  However, the FBI does not score balance rescissions to decision units.</t>
  </si>
  <si>
    <t>6.  The Conference Report associated with the FY 2014 Consolidated Appropriations Act, page 43, directs the FBI to submit an updated annual national cyber threat assessment. The report should identify and rank foreign governments and non-state actors according to the cyber threats they pose to the United States. Target response to Committee May 2014.</t>
  </si>
  <si>
    <t>9.  The Conference Report associated with the FY 2014 Consolidated Appropriations Act, page 34, directs the FBI to produce an updated National Gang Threat Assessment, including presentation of anti-gang initiatives, their performance to date, and plans for continued cooperation with State and local law enforcement to combat activities of multijurisdictional gangs. Target response to Committee May 2014.</t>
  </si>
  <si>
    <t xml:space="preserve"> b) The FBI realized recycling proceeds of $5K in the 15X0200 account and has remaining anticipated collections of $495K.</t>
  </si>
  <si>
    <t>Miscellaneous Program and Administrative Reductions</t>
  </si>
  <si>
    <t>FTE under-utilization</t>
  </si>
  <si>
    <t>Other Federal/State &amp; Local Agencies - CJIS Fingerprint Program</t>
  </si>
  <si>
    <t>f)  $128M transferred from FBI's 15 13 0200 to the Bureau of Prisons (BOP) to address BOP sequestration shortfall.</t>
  </si>
  <si>
    <t>Department of State - International Law Enforcement Cooperation (Category B)</t>
  </si>
  <si>
    <t>Proceeds from Sale of Aircraft</t>
  </si>
  <si>
    <r>
      <t>Note</t>
    </r>
    <r>
      <rPr>
        <b/>
        <sz val="11"/>
        <color theme="1"/>
        <rFont val="Arial"/>
        <family val="2"/>
      </rPr>
      <t>:</t>
    </r>
    <r>
      <rPr>
        <sz val="11"/>
        <color theme="1"/>
        <rFont val="Arial"/>
        <family val="2"/>
      </rPr>
      <t xml:space="preserve"> Excludes Balance Rescission </t>
    </r>
  </si>
  <si>
    <t xml:space="preserve">e)  $46.2M transferred from FBI's 15 13 0200 to FBI's 15X0200 account for the Law Enforcement Wireless Communication program. </t>
  </si>
  <si>
    <t xml:space="preserve">    Because funding was transferred between two current FBI accounts, there is a net zero effect on availability from this transfer.</t>
  </si>
  <si>
    <t>b) $297K transferred to FBI's 15 13/14 0200 account from the Office of National Drug Control Policy for High Intensity Drug Trafficking Area.</t>
  </si>
  <si>
    <t xml:space="preserve"> a) The FBI realized recoveries of $94.60M in the 15X0200 account and has remaining anticipated recoveries of $28.999M.</t>
  </si>
  <si>
    <t>Position types in this template are sorted by series and only listing major categories.</t>
  </si>
  <si>
    <t>Insert a row, at the appropriate category order, to add position types as needed.</t>
  </si>
  <si>
    <t>Direct Positions in this exhibit should agree with exhibit B, and related sections of exhibit C, D, E, F, G, J.</t>
  </si>
  <si>
    <t>Reimbursable Positions in this exhibit should agree with exhibit H.</t>
  </si>
  <si>
    <t>Carryover:  The FBI Carried-Over: $277.887M direct in the 15 X 0200 account ($103M CRC; $41M Information Safeguarding; $38M Spectrum; $21M TEDAC; $16M Boston Field Office; $8M Legal Demand Services; $7M Sentinel; $24M Other Projects)</t>
  </si>
  <si>
    <t xml:space="preserve"> and $7.653M direct in HIDTA &amp; vehicle and aircraft proceeds in the 15 12/13 0200 account.</t>
  </si>
  <si>
    <t xml:space="preserve">Carryover:  The FBI Carried-Over: $247.406M direct in the 15X0200 account ($103M CRC; $41M Information Safeguarding; $38M Spectrum; $21M TEDAC; $16M Boston Field Office; $8M Legal Demand Services; $7M Sentinel); </t>
  </si>
  <si>
    <t>and $6.377M direct in HIDTA &amp; vehicle and aircraft proceeds in the 15 13/14 0200 account.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</si>
</sst>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_(* #,##0_);_(* \(#,##0\);_(* &quot;....&quot;_);_(@_)"/>
    <numFmt numFmtId="166" formatCode="0.0"/>
    <numFmt numFmtId="167" formatCode="_(&quot;$&quot;* #,##0_);_(&quot;$&quot;* \(#,##0\);_(&quot;$&quot;* &quot;-&quot;??_);_(@_)"/>
    <numFmt numFmtId="168" formatCode="0.000"/>
  </numFmts>
  <fonts count="51" x14ac:knownFonts="1">
    <font>
      <sz val="11"/>
      <color theme="1"/>
      <name val="Calibri"/>
      <family val="2"/>
      <scheme val="minor"/>
    </font>
    <font>
      <sz val="11"/>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sz val="10"/>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sz val="8"/>
      <color theme="0"/>
      <name val="Arial"/>
      <family val="2"/>
    </font>
    <font>
      <b/>
      <sz val="16"/>
      <name val="Arial"/>
      <family val="2"/>
    </font>
    <font>
      <b/>
      <u/>
      <sz val="12"/>
      <name val="Arial"/>
      <family val="2"/>
    </font>
    <font>
      <sz val="12"/>
      <name val="Arial"/>
      <family val="2"/>
    </font>
    <font>
      <b/>
      <sz val="16"/>
      <name val="Times New Roman"/>
      <family val="1"/>
    </font>
    <font>
      <sz val="8"/>
      <color indexed="9"/>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
      <sz val="11"/>
      <color rgb="FFFF0000"/>
      <name val="Arial"/>
      <family val="2"/>
    </font>
    <font>
      <b/>
      <sz val="11"/>
      <color rgb="FF00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thin">
        <color auto="1"/>
      </top>
      <bottom style="dashed">
        <color theme="0" tint="-0.14996795556505021"/>
      </bottom>
      <diagonal/>
    </border>
    <border>
      <left style="medium">
        <color auto="1"/>
      </left>
      <right/>
      <top/>
      <bottom style="thin">
        <color auto="1"/>
      </bottom>
      <diagonal/>
    </border>
    <border>
      <left/>
      <right style="medium">
        <color auto="1"/>
      </right>
      <top/>
      <bottom style="thin">
        <color auto="1"/>
      </bottom>
      <diagonal/>
    </border>
    <border>
      <left style="thin">
        <color indexed="64"/>
      </left>
      <right style="medium">
        <color auto="1"/>
      </right>
      <top/>
      <bottom style="medium">
        <color auto="1"/>
      </bottom>
      <diagonal/>
    </border>
    <border>
      <left style="thin">
        <color indexed="64"/>
      </left>
      <right/>
      <top/>
      <bottom style="medium">
        <color auto="1"/>
      </bottom>
      <diagonal/>
    </border>
    <border>
      <left style="thin">
        <color auto="1"/>
      </left>
      <right style="thin">
        <color auto="1"/>
      </right>
      <top/>
      <bottom style="medium">
        <color auto="1"/>
      </bottom>
      <diagonal/>
    </border>
    <border>
      <left/>
      <right/>
      <top/>
      <bottom style="thin">
        <color indexed="64"/>
      </bottom>
      <diagonal/>
    </border>
    <border>
      <left style="medium">
        <color indexed="64"/>
      </left>
      <right style="thin">
        <color auto="1"/>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dashed">
        <color theme="0" tint="-0.14996795556505021"/>
      </top>
      <bottom style="dashed">
        <color theme="0" tint="-0.14996795556505021"/>
      </bottom>
      <diagonal/>
    </border>
    <border>
      <left style="medium">
        <color auto="1"/>
      </left>
      <right style="thin">
        <color auto="1"/>
      </right>
      <top style="thin">
        <color auto="1"/>
      </top>
      <bottom style="dashed">
        <color theme="0" tint="-0.24994659260841701"/>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s>
  <cellStyleXfs count="26">
    <xf numFmtId="0" fontId="0" fillId="0" borderId="0"/>
    <xf numFmtId="43" fontId="10" fillId="0" borderId="0" applyFont="0" applyFill="0" applyBorder="0" applyAlignment="0" applyProtection="0"/>
    <xf numFmtId="0" fontId="35"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6" fillId="0" borderId="0"/>
    <xf numFmtId="0" fontId="3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6" fillId="0" borderId="0"/>
    <xf numFmtId="0" fontId="42" fillId="0" borderId="0"/>
    <xf numFmtId="44" fontId="10" fillId="0" borderId="0" applyFont="0" applyFill="0" applyBorder="0" applyAlignment="0" applyProtection="0"/>
    <xf numFmtId="0" fontId="2" fillId="0" borderId="0"/>
    <xf numFmtId="9" fontId="2" fillId="0" borderId="0" applyFont="0" applyFill="0" applyBorder="0" applyAlignment="0" applyProtection="0"/>
  </cellStyleXfs>
  <cellXfs count="534">
    <xf numFmtId="0" fontId="0" fillId="0" borderId="0" xfId="0"/>
    <xf numFmtId="3" fontId="14" fillId="0" borderId="6" xfId="0" applyNumberFormat="1" applyFont="1" applyBorder="1" applyAlignment="1">
      <alignment horizontal="center" vertical="top" wrapText="1"/>
    </xf>
    <xf numFmtId="3" fontId="14" fillId="0" borderId="7" xfId="0" applyNumberFormat="1" applyFont="1" applyBorder="1" applyAlignment="1">
      <alignment horizontal="center" vertical="top" wrapText="1"/>
    </xf>
    <xf numFmtId="164" fontId="14" fillId="0" borderId="8" xfId="1" applyNumberFormat="1" applyFont="1" applyBorder="1" applyAlignment="1">
      <alignment horizontal="center" vertical="top" wrapText="1"/>
    </xf>
    <xf numFmtId="0" fontId="15" fillId="0" borderId="0" xfId="0" applyFont="1"/>
    <xf numFmtId="0" fontId="14" fillId="0" borderId="0" xfId="0" applyFont="1"/>
    <xf numFmtId="0" fontId="12" fillId="0" borderId="0" xfId="0" applyFont="1" applyAlignment="1"/>
    <xf numFmtId="0" fontId="13" fillId="0" borderId="0" xfId="0" applyFont="1" applyAlignment="1"/>
    <xf numFmtId="0" fontId="11" fillId="0" borderId="0" xfId="0" applyFont="1" applyAlignment="1"/>
    <xf numFmtId="0" fontId="9" fillId="0" borderId="0" xfId="0" applyFont="1"/>
    <xf numFmtId="0" fontId="9" fillId="0" borderId="0" xfId="0" applyFont="1" applyAlignment="1"/>
    <xf numFmtId="0" fontId="9" fillId="0" borderId="1" xfId="0" applyFont="1" applyBorder="1" applyAlignment="1">
      <alignment horizontal="center" vertical="top" wrapText="1"/>
    </xf>
    <xf numFmtId="0" fontId="9" fillId="0" borderId="14" xfId="0" applyFont="1" applyBorder="1" applyAlignment="1">
      <alignment horizontal="center" vertical="top" wrapText="1"/>
    </xf>
    <xf numFmtId="0" fontId="14" fillId="0" borderId="16" xfId="0" applyFont="1" applyBorder="1" applyAlignment="1">
      <alignment horizontal="right"/>
    </xf>
    <xf numFmtId="0" fontId="9" fillId="0" borderId="17" xfId="0" applyFont="1" applyBorder="1" applyAlignment="1">
      <alignment horizontal="left" indent="3"/>
    </xf>
    <xf numFmtId="0" fontId="9" fillId="0" borderId="20" xfId="0" applyFont="1" applyBorder="1" applyAlignment="1">
      <alignment horizontal="left" indent="3"/>
    </xf>
    <xf numFmtId="0" fontId="9" fillId="0" borderId="20" xfId="0" applyFont="1" applyBorder="1" applyAlignment="1">
      <alignment horizontal="left" indent="5"/>
    </xf>
    <xf numFmtId="0" fontId="9" fillId="0" borderId="23" xfId="0" applyFont="1" applyBorder="1" applyAlignment="1">
      <alignment horizontal="left" indent="5"/>
    </xf>
    <xf numFmtId="0" fontId="9" fillId="0" borderId="6" xfId="0" applyFont="1" applyBorder="1" applyAlignment="1">
      <alignment horizontal="left" indent="3"/>
    </xf>
    <xf numFmtId="0" fontId="17" fillId="0" borderId="0" xfId="0" applyFont="1" applyAlignment="1"/>
    <xf numFmtId="0" fontId="8" fillId="0" borderId="1" xfId="0" applyFont="1" applyBorder="1" applyAlignment="1">
      <alignment horizontal="center" vertical="top" wrapText="1"/>
    </xf>
    <xf numFmtId="0" fontId="14" fillId="0" borderId="0" xfId="0" applyFont="1" applyAlignment="1"/>
    <xf numFmtId="0" fontId="8" fillId="0" borderId="0" xfId="0" applyFont="1"/>
    <xf numFmtId="0" fontId="14" fillId="0" borderId="6" xfId="0" applyFont="1" applyBorder="1" applyAlignment="1">
      <alignment horizontal="right"/>
    </xf>
    <xf numFmtId="0" fontId="8" fillId="0" borderId="20" xfId="0" applyFont="1" applyBorder="1" applyAlignment="1">
      <alignment horizontal="left" indent="3"/>
    </xf>
    <xf numFmtId="0" fontId="8" fillId="0" borderId="37" xfId="0" applyFont="1" applyBorder="1" applyAlignment="1">
      <alignment horizontal="left" indent="3"/>
    </xf>
    <xf numFmtId="0" fontId="8" fillId="0" borderId="0" xfId="0" applyFont="1" applyAlignment="1">
      <alignment vertical="top"/>
    </xf>
    <xf numFmtId="0" fontId="8" fillId="0" borderId="14" xfId="0" applyFont="1" applyBorder="1" applyAlignment="1">
      <alignment horizontal="center" vertical="top" wrapText="1"/>
    </xf>
    <xf numFmtId="3" fontId="9" fillId="0" borderId="21" xfId="0" applyNumberFormat="1" applyFont="1" applyBorder="1"/>
    <xf numFmtId="3" fontId="8" fillId="0" borderId="21" xfId="0" applyNumberFormat="1" applyFont="1" applyBorder="1"/>
    <xf numFmtId="3" fontId="8" fillId="0" borderId="22" xfId="0" applyNumberFormat="1" applyFont="1" applyBorder="1"/>
    <xf numFmtId="3" fontId="14" fillId="0" borderId="39" xfId="0" applyNumberFormat="1" applyFont="1" applyBorder="1"/>
    <xf numFmtId="3" fontId="14" fillId="0" borderId="40" xfId="0" applyNumberFormat="1" applyFont="1" applyBorder="1"/>
    <xf numFmtId="0" fontId="14" fillId="0" borderId="38" xfId="0" applyFont="1" applyBorder="1" applyAlignment="1">
      <alignment horizontal="right"/>
    </xf>
    <xf numFmtId="0" fontId="14" fillId="0" borderId="44" xfId="0" applyFont="1" applyBorder="1" applyAlignment="1">
      <alignment vertical="top"/>
    </xf>
    <xf numFmtId="0" fontId="14" fillId="0" borderId="32" xfId="0" applyFont="1" applyBorder="1" applyAlignment="1">
      <alignment horizontal="center"/>
    </xf>
    <xf numFmtId="3" fontId="14" fillId="0" borderId="7" xfId="0" applyNumberFormat="1" applyFont="1" applyBorder="1"/>
    <xf numFmtId="0" fontId="14" fillId="0" borderId="30" xfId="0" applyFont="1" applyBorder="1" applyAlignment="1">
      <alignment vertical="top" wrapText="1"/>
    </xf>
    <xf numFmtId="0" fontId="14" fillId="0" borderId="38" xfId="0" applyFont="1" applyBorder="1" applyAlignment="1">
      <alignment horizontal="right" vertical="top"/>
    </xf>
    <xf numFmtId="0" fontId="19" fillId="0" borderId="35" xfId="0" applyFont="1" applyBorder="1" applyAlignment="1">
      <alignment vertical="center" wrapText="1"/>
    </xf>
    <xf numFmtId="0" fontId="22" fillId="0" borderId="0" xfId="0" applyFont="1" applyAlignment="1"/>
    <xf numFmtId="0" fontId="20" fillId="0" borderId="0" xfId="0" applyFont="1"/>
    <xf numFmtId="0" fontId="19" fillId="0" borderId="49" xfId="0" applyFont="1" applyBorder="1" applyAlignment="1">
      <alignment vertical="top"/>
    </xf>
    <xf numFmtId="0" fontId="20" fillId="0" borderId="45" xfId="0" applyFont="1" applyBorder="1" applyAlignment="1">
      <alignment vertical="top"/>
    </xf>
    <xf numFmtId="0" fontId="20" fillId="0" borderId="46" xfId="0" applyFont="1" applyBorder="1"/>
    <xf numFmtId="0" fontId="22" fillId="0" borderId="0" xfId="0" applyFont="1"/>
    <xf numFmtId="3" fontId="20" fillId="0" borderId="21" xfId="0" applyNumberFormat="1" applyFont="1" applyBorder="1"/>
    <xf numFmtId="3" fontId="19" fillId="0" borderId="39" xfId="0" applyNumberFormat="1" applyFont="1" applyBorder="1"/>
    <xf numFmtId="0" fontId="20" fillId="0" borderId="44" xfId="0" applyFont="1" applyBorder="1" applyAlignment="1">
      <alignment vertical="top"/>
    </xf>
    <xf numFmtId="0" fontId="20" fillId="0" borderId="21" xfId="0" applyFont="1" applyBorder="1"/>
    <xf numFmtId="3" fontId="19" fillId="0" borderId="21" xfId="0" applyNumberFormat="1" applyFont="1" applyBorder="1"/>
    <xf numFmtId="0" fontId="20" fillId="0" borderId="53" xfId="0" applyFont="1" applyBorder="1" applyAlignment="1">
      <alignment vertical="top"/>
    </xf>
    <xf numFmtId="3" fontId="19" fillId="0" borderId="52" xfId="0" applyNumberFormat="1" applyFont="1" applyBorder="1"/>
    <xf numFmtId="0" fontId="20" fillId="0" borderId="49" xfId="0" applyFont="1" applyBorder="1" applyAlignment="1">
      <alignment vertical="top"/>
    </xf>
    <xf numFmtId="0" fontId="20" fillId="0" borderId="48" xfId="0" applyFont="1" applyBorder="1" applyAlignment="1">
      <alignment vertical="top"/>
    </xf>
    <xf numFmtId="3" fontId="19" fillId="0" borderId="56" xfId="0" applyNumberFormat="1" applyFont="1" applyBorder="1"/>
    <xf numFmtId="3" fontId="20" fillId="0" borderId="22" xfId="0" applyNumberFormat="1" applyFont="1" applyBorder="1"/>
    <xf numFmtId="3" fontId="19" fillId="0" borderId="40" xfId="0" applyNumberFormat="1" applyFont="1" applyBorder="1"/>
    <xf numFmtId="0" fontId="20" fillId="0" borderId="22" xfId="0" applyFont="1" applyBorder="1"/>
    <xf numFmtId="3" fontId="19" fillId="0" borderId="22" xfId="0" applyNumberFormat="1" applyFont="1" applyBorder="1"/>
    <xf numFmtId="3" fontId="19" fillId="0" borderId="57" xfId="0" applyNumberFormat="1" applyFont="1" applyBorder="1"/>
    <xf numFmtId="3" fontId="19" fillId="0" borderId="58" xfId="0" applyNumberFormat="1" applyFont="1" applyBorder="1"/>
    <xf numFmtId="0" fontId="24" fillId="0" borderId="0" xfId="0" applyFont="1"/>
    <xf numFmtId="0" fontId="15" fillId="0" borderId="0" xfId="0" applyFont="1" applyAlignment="1"/>
    <xf numFmtId="0" fontId="14" fillId="0" borderId="0" xfId="0" applyFont="1" applyAlignment="1">
      <alignment wrapText="1"/>
    </xf>
    <xf numFmtId="0" fontId="14" fillId="0" borderId="0" xfId="0" applyFont="1" applyBorder="1" applyAlignment="1">
      <alignment horizontal="center" vertical="center" wrapText="1"/>
    </xf>
    <xf numFmtId="0" fontId="25" fillId="0" borderId="20" xfId="0" applyFont="1" applyBorder="1" applyAlignment="1">
      <alignment horizontal="left" indent="8"/>
    </xf>
    <xf numFmtId="0" fontId="14" fillId="0" borderId="20" xfId="0" applyFont="1" applyBorder="1"/>
    <xf numFmtId="0" fontId="14" fillId="0" borderId="20" xfId="0" applyFont="1" applyBorder="1" applyAlignment="1">
      <alignment horizontal="center"/>
    </xf>
    <xf numFmtId="0" fontId="14" fillId="0" borderId="64" xfId="0" applyFont="1" applyBorder="1" applyAlignment="1">
      <alignment horizontal="center"/>
    </xf>
    <xf numFmtId="0" fontId="8" fillId="0" borderId="0" xfId="0" applyFont="1" applyBorder="1" applyAlignment="1">
      <alignment horizontal="center" vertical="top" wrapText="1"/>
    </xf>
    <xf numFmtId="0" fontId="8" fillId="0" borderId="0" xfId="0" applyFont="1" applyBorder="1"/>
    <xf numFmtId="0" fontId="14" fillId="0" borderId="0" xfId="0" applyFont="1" applyBorder="1"/>
    <xf numFmtId="0" fontId="14" fillId="0" borderId="0" xfId="0" applyFont="1" applyBorder="1" applyAlignment="1">
      <alignment horizontal="right" indent="1"/>
    </xf>
    <xf numFmtId="0" fontId="14" fillId="0" borderId="1" xfId="0" applyFont="1" applyBorder="1" applyAlignment="1">
      <alignment horizontal="right" indent="1"/>
    </xf>
    <xf numFmtId="0" fontId="14" fillId="0" borderId="73" xfId="0" applyFont="1" applyBorder="1"/>
    <xf numFmtId="3" fontId="14" fillId="0" borderId="20" xfId="0" applyNumberFormat="1" applyFont="1" applyBorder="1"/>
    <xf numFmtId="3" fontId="14" fillId="0" borderId="21" xfId="0" applyNumberFormat="1" applyFont="1" applyBorder="1"/>
    <xf numFmtId="0" fontId="14" fillId="0" borderId="74" xfId="0" applyFont="1" applyBorder="1" applyAlignment="1">
      <alignment horizontal="left" indent="1"/>
    </xf>
    <xf numFmtId="3" fontId="14" fillId="0" borderId="22" xfId="0" applyNumberFormat="1" applyFont="1" applyBorder="1"/>
    <xf numFmtId="0" fontId="14" fillId="0" borderId="74" xfId="0" applyFont="1" applyBorder="1"/>
    <xf numFmtId="0" fontId="14" fillId="0" borderId="74" xfId="0" applyFont="1" applyBorder="1" applyAlignment="1">
      <alignment horizontal="left" indent="3"/>
    </xf>
    <xf numFmtId="0" fontId="14" fillId="0" borderId="72" xfId="0" applyFont="1" applyBorder="1" applyAlignment="1">
      <alignment horizontal="left"/>
    </xf>
    <xf numFmtId="3" fontId="14" fillId="0" borderId="45" xfId="0" applyNumberFormat="1" applyFont="1" applyBorder="1"/>
    <xf numFmtId="3" fontId="14" fillId="0" borderId="75" xfId="0" applyNumberFormat="1" applyFont="1" applyBorder="1"/>
    <xf numFmtId="0" fontId="14" fillId="0" borderId="74" xfId="0" applyFont="1" applyBorder="1" applyAlignment="1">
      <alignment horizontal="left"/>
    </xf>
    <xf numFmtId="0" fontId="14" fillId="0" borderId="73" xfId="0" applyFont="1" applyBorder="1" applyAlignment="1">
      <alignment horizontal="left" indent="1"/>
    </xf>
    <xf numFmtId="0" fontId="14" fillId="0" borderId="77" xfId="0" applyFont="1" applyBorder="1"/>
    <xf numFmtId="3" fontId="14" fillId="0" borderId="78" xfId="0" applyNumberFormat="1" applyFont="1" applyBorder="1"/>
    <xf numFmtId="3" fontId="14" fillId="0" borderId="66" xfId="0" applyNumberFormat="1" applyFont="1" applyBorder="1"/>
    <xf numFmtId="3" fontId="14" fillId="0" borderId="79" xfId="0" applyNumberFormat="1" applyFont="1" applyBorder="1"/>
    <xf numFmtId="0" fontId="9" fillId="0" borderId="37" xfId="0" applyFont="1" applyBorder="1" applyAlignment="1">
      <alignment horizontal="left" indent="3"/>
    </xf>
    <xf numFmtId="0" fontId="9" fillId="0" borderId="68" xfId="0" applyFont="1" applyBorder="1" applyAlignment="1">
      <alignment horizontal="left" indent="3"/>
    </xf>
    <xf numFmtId="0" fontId="7" fillId="0" borderId="17" xfId="0" applyFont="1" applyBorder="1" applyAlignment="1">
      <alignment horizontal="left" indent="2"/>
    </xf>
    <xf numFmtId="3" fontId="14" fillId="0" borderId="33" xfId="0" applyNumberFormat="1" applyFont="1" applyBorder="1"/>
    <xf numFmtId="3" fontId="14" fillId="0" borderId="15" xfId="0" applyNumberFormat="1" applyFont="1" applyBorder="1"/>
    <xf numFmtId="3" fontId="14" fillId="0" borderId="80" xfId="0" applyNumberFormat="1" applyFont="1" applyBorder="1"/>
    <xf numFmtId="0" fontId="14" fillId="0" borderId="26" xfId="0" applyFont="1" applyBorder="1" applyAlignment="1">
      <alignment horizontal="left"/>
    </xf>
    <xf numFmtId="0" fontId="7" fillId="0" borderId="1" xfId="0" applyFont="1" applyBorder="1" applyAlignment="1">
      <alignment horizontal="center" vertical="top" wrapText="1"/>
    </xf>
    <xf numFmtId="0" fontId="7" fillId="0" borderId="68" xfId="0" applyFont="1" applyBorder="1" applyAlignment="1">
      <alignment horizontal="left" indent="3"/>
    </xf>
    <xf numFmtId="0" fontId="7" fillId="0" borderId="20" xfId="0" applyFont="1" applyBorder="1" applyAlignment="1">
      <alignment horizontal="left" indent="3"/>
    </xf>
    <xf numFmtId="0" fontId="7" fillId="0" borderId="6" xfId="0" applyFont="1" applyBorder="1" applyAlignment="1">
      <alignment horizontal="left" indent="3"/>
    </xf>
    <xf numFmtId="0" fontId="14" fillId="0" borderId="0" xfId="0" applyFont="1" applyBorder="1" applyAlignment="1">
      <alignment vertical="center" wrapText="1"/>
    </xf>
    <xf numFmtId="0" fontId="20" fillId="0" borderId="78" xfId="0" applyFont="1" applyBorder="1" applyAlignment="1">
      <alignment vertical="top"/>
    </xf>
    <xf numFmtId="3" fontId="19" fillId="0" borderId="66" xfId="0" applyNumberFormat="1" applyFont="1" applyBorder="1"/>
    <xf numFmtId="3" fontId="20" fillId="0" borderId="65" xfId="0" applyNumberFormat="1" applyFont="1" applyBorder="1"/>
    <xf numFmtId="0" fontId="20" fillId="0" borderId="48" xfId="0" applyFont="1" applyBorder="1"/>
    <xf numFmtId="0" fontId="6" fillId="0" borderId="0" xfId="0" applyFont="1"/>
    <xf numFmtId="0" fontId="29" fillId="0" borderId="83" xfId="0" applyFont="1" applyBorder="1" applyAlignment="1">
      <alignment horizontal="center"/>
    </xf>
    <xf numFmtId="0" fontId="15" fillId="0" borderId="84" xfId="0" applyFont="1" applyBorder="1"/>
    <xf numFmtId="0" fontId="26" fillId="0" borderId="85" xfId="0" applyFont="1" applyBorder="1"/>
    <xf numFmtId="0" fontId="27" fillId="0" borderId="0" xfId="0" applyFont="1" applyBorder="1" applyAlignment="1">
      <alignment horizontal="left" vertical="top"/>
    </xf>
    <xf numFmtId="0" fontId="27" fillId="0" borderId="0" xfId="0" applyFont="1"/>
    <xf numFmtId="0" fontId="28" fillId="0" borderId="0" xfId="0" applyFont="1"/>
    <xf numFmtId="0" fontId="30" fillId="0" borderId="83" xfId="0" applyFont="1" applyBorder="1" applyAlignment="1">
      <alignment horizontal="center"/>
    </xf>
    <xf numFmtId="0" fontId="31" fillId="0" borderId="84" xfId="0" applyFont="1" applyBorder="1" applyAlignment="1"/>
    <xf numFmtId="0" fontId="15" fillId="0" borderId="84" xfId="0" applyFont="1" applyBorder="1" applyAlignment="1"/>
    <xf numFmtId="0" fontId="15" fillId="0" borderId="85" xfId="0" applyFont="1" applyBorder="1" applyAlignment="1"/>
    <xf numFmtId="0" fontId="32" fillId="0" borderId="86" xfId="0" applyFont="1" applyBorder="1" applyAlignment="1"/>
    <xf numFmtId="0" fontId="15" fillId="0" borderId="85" xfId="0" applyFont="1" applyBorder="1"/>
    <xf numFmtId="0" fontId="5" fillId="0" borderId="37" xfId="0" applyFont="1" applyBorder="1" applyAlignment="1">
      <alignment horizontal="left" indent="2"/>
    </xf>
    <xf numFmtId="3" fontId="14" fillId="0" borderId="49" xfId="0" applyNumberFormat="1" applyFont="1" applyBorder="1"/>
    <xf numFmtId="3" fontId="14" fillId="0" borderId="52" xfId="0" applyNumberFormat="1" applyFont="1" applyBorder="1"/>
    <xf numFmtId="3" fontId="14" fillId="0" borderId="88" xfId="0" applyNumberFormat="1" applyFont="1" applyBorder="1"/>
    <xf numFmtId="3" fontId="14" fillId="0" borderId="46" xfId="0" applyNumberFormat="1" applyFont="1" applyBorder="1"/>
    <xf numFmtId="3" fontId="14" fillId="0" borderId="68" xfId="0" applyNumberFormat="1" applyFont="1" applyBorder="1"/>
    <xf numFmtId="3" fontId="14" fillId="0" borderId="57" xfId="0" applyNumberFormat="1" applyFont="1" applyBorder="1"/>
    <xf numFmtId="3" fontId="14" fillId="0" borderId="37" xfId="0" applyNumberFormat="1" applyFont="1" applyBorder="1"/>
    <xf numFmtId="3" fontId="14" fillId="0" borderId="89" xfId="0" applyNumberFormat="1" applyFont="1" applyBorder="1"/>
    <xf numFmtId="3" fontId="34" fillId="0" borderId="20" xfId="0" applyNumberFormat="1" applyFont="1" applyBorder="1"/>
    <xf numFmtId="3" fontId="34" fillId="0" borderId="21" xfId="0" applyNumberFormat="1" applyFont="1" applyBorder="1"/>
    <xf numFmtId="3" fontId="34" fillId="0" borderId="22" xfId="0" applyNumberFormat="1" applyFont="1" applyBorder="1"/>
    <xf numFmtId="3" fontId="9" fillId="0" borderId="18" xfId="0" applyNumberFormat="1" applyFont="1" applyBorder="1"/>
    <xf numFmtId="3" fontId="9" fillId="0" borderId="19" xfId="0" applyNumberFormat="1" applyFont="1" applyBorder="1"/>
    <xf numFmtId="3" fontId="9" fillId="0" borderId="22" xfId="0" applyNumberFormat="1" applyFont="1" applyBorder="1"/>
    <xf numFmtId="3" fontId="9" fillId="0" borderId="2" xfId="0" applyNumberFormat="1" applyFont="1" applyBorder="1"/>
    <xf numFmtId="3" fontId="9" fillId="0" borderId="11" xfId="0" applyNumberFormat="1" applyFont="1" applyBorder="1"/>
    <xf numFmtId="3" fontId="14" fillId="0" borderId="1" xfId="0" applyNumberFormat="1" applyFont="1" applyBorder="1"/>
    <xf numFmtId="3" fontId="14" fillId="0" borderId="14" xfId="0" applyNumberFormat="1" applyFont="1" applyBorder="1"/>
    <xf numFmtId="3" fontId="14" fillId="0" borderId="18" xfId="0" applyNumberFormat="1" applyFont="1" applyBorder="1"/>
    <xf numFmtId="3" fontId="7" fillId="0" borderId="18" xfId="0" applyNumberFormat="1" applyFont="1" applyBorder="1"/>
    <xf numFmtId="3" fontId="7" fillId="0" borderId="19" xfId="0" applyNumberFormat="1" applyFont="1" applyBorder="1"/>
    <xf numFmtId="3" fontId="7" fillId="0" borderId="39" xfId="0" applyNumberFormat="1" applyFont="1" applyBorder="1"/>
    <xf numFmtId="3" fontId="7" fillId="0" borderId="40" xfId="0" applyNumberFormat="1" applyFont="1" applyBorder="1"/>
    <xf numFmtId="3" fontId="9" fillId="0" borderId="52" xfId="0" applyNumberFormat="1" applyFont="1" applyBorder="1"/>
    <xf numFmtId="3" fontId="9" fillId="0" borderId="57" xfId="0" applyNumberFormat="1" applyFont="1" applyBorder="1"/>
    <xf numFmtId="3" fontId="9" fillId="0" borderId="24" xfId="0" applyNumberFormat="1" applyFont="1" applyBorder="1"/>
    <xf numFmtId="3" fontId="9" fillId="0" borderId="25" xfId="0" applyNumberFormat="1" applyFont="1" applyBorder="1"/>
    <xf numFmtId="3" fontId="9" fillId="0" borderId="7" xfId="0" applyNumberFormat="1" applyFont="1" applyBorder="1"/>
    <xf numFmtId="3" fontId="9" fillId="0" borderId="8" xfId="0" applyNumberFormat="1" applyFont="1" applyBorder="1"/>
    <xf numFmtId="3" fontId="9" fillId="0" borderId="39" xfId="0" applyNumberFormat="1" applyFont="1" applyBorder="1"/>
    <xf numFmtId="3" fontId="9" fillId="0" borderId="40" xfId="0" applyNumberFormat="1" applyFont="1" applyBorder="1"/>
    <xf numFmtId="3" fontId="8" fillId="0" borderId="18" xfId="0" applyNumberFormat="1" applyFont="1" applyBorder="1"/>
    <xf numFmtId="3" fontId="8" fillId="0" borderId="19" xfId="0" applyNumberFormat="1" applyFont="1" applyBorder="1"/>
    <xf numFmtId="3" fontId="8" fillId="0" borderId="39" xfId="0" applyNumberFormat="1" applyFont="1" applyBorder="1"/>
    <xf numFmtId="3" fontId="8" fillId="0" borderId="40" xfId="0" applyNumberFormat="1" applyFont="1" applyBorder="1"/>
    <xf numFmtId="3" fontId="14" fillId="0" borderId="8" xfId="0" applyNumberFormat="1" applyFont="1" applyBorder="1"/>
    <xf numFmtId="3" fontId="25" fillId="0" borderId="21" xfId="0" applyNumberFormat="1" applyFont="1" applyBorder="1"/>
    <xf numFmtId="3" fontId="25" fillId="0" borderId="22" xfId="0" applyNumberFormat="1" applyFont="1" applyBorder="1"/>
    <xf numFmtId="3" fontId="14" fillId="0" borderId="56" xfId="0" applyNumberFormat="1" applyFont="1" applyBorder="1"/>
    <xf numFmtId="3" fontId="14" fillId="0" borderId="58" xfId="0" applyNumberFormat="1" applyFont="1" applyBorder="1"/>
    <xf numFmtId="3" fontId="14" fillId="0" borderId="53" xfId="0" applyNumberFormat="1" applyFont="1" applyBorder="1"/>
    <xf numFmtId="3" fontId="14" fillId="0" borderId="24" xfId="0" applyNumberFormat="1" applyFont="1" applyBorder="1"/>
    <xf numFmtId="0" fontId="4" fillId="0" borderId="20" xfId="0" applyFont="1" applyBorder="1" applyAlignment="1">
      <alignment horizontal="left" indent="2"/>
    </xf>
    <xf numFmtId="0" fontId="4" fillId="0" borderId="0" xfId="0" applyFont="1" applyAlignment="1">
      <alignment horizontal="left" indent="2"/>
    </xf>
    <xf numFmtId="0" fontId="4" fillId="0" borderId="0" xfId="0" applyFont="1"/>
    <xf numFmtId="0" fontId="20" fillId="0" borderId="33" xfId="0" applyFont="1" applyBorder="1" applyAlignment="1">
      <alignment vertical="top"/>
    </xf>
    <xf numFmtId="3" fontId="20" fillId="0" borderId="52" xfId="0" applyNumberFormat="1" applyFont="1" applyBorder="1"/>
    <xf numFmtId="3" fontId="20" fillId="0" borderId="57" xfId="0" applyNumberFormat="1" applyFont="1" applyBorder="1"/>
    <xf numFmtId="3" fontId="4" fillId="0" borderId="0" xfId="0" applyNumberFormat="1" applyFont="1"/>
    <xf numFmtId="164" fontId="4" fillId="0" borderId="0" xfId="1" applyNumberFormat="1" applyFont="1"/>
    <xf numFmtId="0" fontId="4" fillId="0" borderId="74" xfId="0" applyFont="1" applyBorder="1" applyAlignment="1">
      <alignment horizontal="left" indent="1"/>
    </xf>
    <xf numFmtId="3" fontId="4" fillId="0" borderId="89" xfId="0" applyNumberFormat="1" applyFont="1" applyBorder="1"/>
    <xf numFmtId="3" fontId="4" fillId="0" borderId="22" xfId="0" applyNumberFormat="1" applyFont="1" applyBorder="1"/>
    <xf numFmtId="3" fontId="4" fillId="0" borderId="90" xfId="0" applyNumberFormat="1" applyFont="1" applyBorder="1"/>
    <xf numFmtId="0" fontId="4" fillId="0" borderId="74" xfId="0" applyFont="1" applyBorder="1" applyAlignment="1">
      <alignment horizontal="left" indent="6"/>
    </xf>
    <xf numFmtId="3" fontId="4" fillId="0" borderId="20" xfId="0" applyNumberFormat="1" applyFont="1" applyBorder="1"/>
    <xf numFmtId="3" fontId="4" fillId="0" borderId="21" xfId="0" applyNumberFormat="1" applyFont="1" applyBorder="1"/>
    <xf numFmtId="0" fontId="4" fillId="0" borderId="74" xfId="0" applyFont="1" applyBorder="1" applyAlignment="1">
      <alignment horizontal="left" indent="3"/>
    </xf>
    <xf numFmtId="0" fontId="4" fillId="0" borderId="74" xfId="0" applyFont="1" applyBorder="1" applyAlignment="1">
      <alignment horizontal="left" indent="4"/>
    </xf>
    <xf numFmtId="3" fontId="4" fillId="0" borderId="45" xfId="0" applyNumberFormat="1" applyFont="1" applyBorder="1"/>
    <xf numFmtId="3" fontId="4" fillId="0" borderId="75" xfId="0" applyNumberFormat="1" applyFont="1" applyBorder="1"/>
    <xf numFmtId="0" fontId="4" fillId="0" borderId="27" xfId="0" applyFont="1" applyBorder="1" applyAlignment="1">
      <alignment horizontal="left"/>
    </xf>
    <xf numFmtId="3" fontId="4" fillId="0" borderId="76" xfId="0" applyNumberFormat="1" applyFont="1" applyBorder="1"/>
    <xf numFmtId="0" fontId="37" fillId="0" borderId="0" xfId="0" applyFont="1" applyAlignment="1">
      <alignment vertical="center"/>
    </xf>
    <xf numFmtId="0" fontId="2" fillId="0" borderId="0" xfId="0" applyFont="1"/>
    <xf numFmtId="0" fontId="4" fillId="0" borderId="22" xfId="0" applyFont="1" applyBorder="1"/>
    <xf numFmtId="0" fontId="4" fillId="0" borderId="21" xfId="0" applyFont="1" applyBorder="1"/>
    <xf numFmtId="0" fontId="2" fillId="0" borderId="0" xfId="0" applyFont="1" applyAlignment="1"/>
    <xf numFmtId="0" fontId="4" fillId="0" borderId="0" xfId="0" applyFont="1" applyAlignment="1"/>
    <xf numFmtId="0" fontId="4" fillId="0" borderId="73" xfId="0" applyFont="1" applyBorder="1"/>
    <xf numFmtId="3" fontId="14" fillId="0" borderId="94" xfId="0" applyNumberFormat="1" applyFont="1" applyBorder="1"/>
    <xf numFmtId="3" fontId="14" fillId="0" borderId="17" xfId="0" applyNumberFormat="1" applyFont="1" applyBorder="1"/>
    <xf numFmtId="0" fontId="38" fillId="0" borderId="0" xfId="13" applyFont="1"/>
    <xf numFmtId="0" fontId="36" fillId="0" borderId="0" xfId="13" applyFont="1"/>
    <xf numFmtId="0" fontId="39" fillId="0" borderId="0" xfId="13" applyFont="1"/>
    <xf numFmtId="3" fontId="40" fillId="0" borderId="0" xfId="13" applyNumberFormat="1" applyFont="1" applyAlignment="1"/>
    <xf numFmtId="0" fontId="35" fillId="0" borderId="0" xfId="19" applyFont="1"/>
    <xf numFmtId="0" fontId="35" fillId="2" borderId="0" xfId="20" applyFont="1" applyFill="1"/>
    <xf numFmtId="0" fontId="38" fillId="2" borderId="0" xfId="20" applyFont="1" applyFill="1"/>
    <xf numFmtId="0" fontId="36" fillId="0" borderId="0" xfId="13"/>
    <xf numFmtId="0" fontId="31" fillId="0" borderId="0" xfId="13" applyFont="1"/>
    <xf numFmtId="0" fontId="16" fillId="0" borderId="0" xfId="0" applyFont="1" applyBorder="1" applyAlignment="1">
      <alignment horizontal="left" indent="3"/>
    </xf>
    <xf numFmtId="3" fontId="14" fillId="0" borderId="2" xfId="0" applyNumberFormat="1" applyFont="1" applyBorder="1"/>
    <xf numFmtId="0" fontId="4" fillId="0" borderId="73" xfId="0" applyFont="1" applyBorder="1" applyAlignment="1">
      <alignment horizontal="left" indent="1"/>
    </xf>
    <xf numFmtId="3" fontId="14" fillId="0" borderId="95" xfId="0" applyNumberFormat="1" applyFont="1" applyBorder="1"/>
    <xf numFmtId="3" fontId="4" fillId="0" borderId="96" xfId="0" applyNumberFormat="1" applyFont="1" applyBorder="1"/>
    <xf numFmtId="0" fontId="4" fillId="0" borderId="31" xfId="0" applyFont="1" applyBorder="1" applyAlignment="1">
      <alignment vertical="top" wrapText="1"/>
    </xf>
    <xf numFmtId="0" fontId="43" fillId="0" borderId="0" xfId="22" applyFont="1"/>
    <xf numFmtId="0" fontId="42" fillId="0" borderId="0" xfId="22"/>
    <xf numFmtId="0" fontId="44" fillId="0" borderId="0" xfId="22" applyFont="1"/>
    <xf numFmtId="0" fontId="38" fillId="0" borderId="0" xfId="22" applyFont="1"/>
    <xf numFmtId="0" fontId="48" fillId="2" borderId="0" xfId="22" applyFont="1" applyFill="1" applyProtection="1">
      <protection hidden="1"/>
    </xf>
    <xf numFmtId="0" fontId="14" fillId="0" borderId="4" xfId="0" applyFont="1" applyBorder="1" applyAlignment="1">
      <alignment horizontal="center" vertical="center" wrapText="1"/>
    </xf>
    <xf numFmtId="0" fontId="4" fillId="0" borderId="0" xfId="0" applyFont="1" applyAlignment="1">
      <alignment horizontal="left"/>
    </xf>
    <xf numFmtId="0" fontId="4" fillId="0" borderId="17" xfId="0" applyFont="1" applyBorder="1" applyAlignment="1">
      <alignment horizontal="left" indent="3"/>
    </xf>
    <xf numFmtId="0" fontId="4" fillId="0" borderId="20" xfId="0" applyFont="1" applyBorder="1" applyAlignment="1">
      <alignment horizontal="left" indent="3"/>
    </xf>
    <xf numFmtId="37" fontId="8" fillId="0" borderId="18" xfId="0" applyNumberFormat="1" applyFont="1" applyBorder="1"/>
    <xf numFmtId="37" fontId="8" fillId="0" borderId="19" xfId="0" applyNumberFormat="1" applyFont="1" applyBorder="1"/>
    <xf numFmtId="37" fontId="8" fillId="0" borderId="21" xfId="0" applyNumberFormat="1" applyFont="1" applyBorder="1"/>
    <xf numFmtId="37" fontId="8" fillId="0" borderId="22" xfId="0" applyNumberFormat="1" applyFont="1" applyBorder="1"/>
    <xf numFmtId="37" fontId="14" fillId="0" borderId="7" xfId="0" applyNumberFormat="1" applyFont="1" applyBorder="1"/>
    <xf numFmtId="37" fontId="14" fillId="0" borderId="8" xfId="0" applyNumberFormat="1" applyFont="1" applyBorder="1"/>
    <xf numFmtId="0" fontId="36" fillId="2" borderId="0" xfId="20" applyFont="1" applyFill="1" applyAlignment="1">
      <alignment horizontal="center"/>
    </xf>
    <xf numFmtId="0" fontId="41" fillId="2" borderId="0" xfId="20" applyFont="1" applyFill="1" applyAlignment="1">
      <alignment horizontal="center"/>
    </xf>
    <xf numFmtId="0" fontId="36" fillId="2" borderId="0" xfId="20" applyFont="1" applyFill="1" applyAlignment="1">
      <alignment wrapText="1"/>
    </xf>
    <xf numFmtId="3" fontId="4" fillId="0" borderId="97" xfId="0" applyNumberFormat="1" applyFont="1" applyBorder="1"/>
    <xf numFmtId="3" fontId="4" fillId="0" borderId="98" xfId="0" applyNumberFormat="1" applyFont="1" applyBorder="1"/>
    <xf numFmtId="0" fontId="2" fillId="0" borderId="0" xfId="0" applyFont="1" applyBorder="1" applyAlignment="1"/>
    <xf numFmtId="0" fontId="4" fillId="0" borderId="1" xfId="0" applyFont="1" applyBorder="1" applyAlignment="1">
      <alignment horizontal="center" vertical="top" wrapText="1"/>
    </xf>
    <xf numFmtId="0" fontId="4" fillId="0" borderId="14" xfId="0" applyFont="1" applyBorder="1" applyAlignment="1">
      <alignment horizontal="center" vertical="top" wrapText="1"/>
    </xf>
    <xf numFmtId="0" fontId="4" fillId="0" borderId="18" xfId="0" applyFont="1" applyBorder="1"/>
    <xf numFmtId="0" fontId="4" fillId="0" borderId="18" xfId="0" applyFont="1" applyFill="1" applyBorder="1"/>
    <xf numFmtId="0" fontId="4" fillId="0" borderId="19" xfId="0" applyFont="1" applyBorder="1"/>
    <xf numFmtId="0" fontId="4" fillId="0" borderId="45" xfId="0" applyFont="1" applyBorder="1" applyAlignment="1">
      <alignment vertical="top"/>
    </xf>
    <xf numFmtId="3" fontId="4" fillId="0" borderId="21" xfId="1" applyNumberFormat="1" applyFont="1" applyBorder="1"/>
    <xf numFmtId="3" fontId="4" fillId="0" borderId="21" xfId="0" applyNumberFormat="1" applyFont="1" applyFill="1" applyBorder="1"/>
    <xf numFmtId="0" fontId="4" fillId="0" borderId="31" xfId="0" applyFont="1" applyBorder="1" applyAlignment="1">
      <alignment vertical="top"/>
    </xf>
    <xf numFmtId="0" fontId="4" fillId="0" borderId="46" xfId="0" applyFont="1" applyBorder="1"/>
    <xf numFmtId="3" fontId="14" fillId="0" borderId="39" xfId="0" applyNumberFormat="1" applyFont="1" applyFill="1" applyBorder="1"/>
    <xf numFmtId="0" fontId="4" fillId="0" borderId="47" xfId="0" applyFont="1" applyBorder="1"/>
    <xf numFmtId="3" fontId="14" fillId="0" borderId="7" xfId="0" applyNumberFormat="1" applyFont="1" applyFill="1" applyBorder="1"/>
    <xf numFmtId="3" fontId="19" fillId="0" borderId="99" xfId="0" applyNumberFormat="1" applyFont="1" applyBorder="1"/>
    <xf numFmtId="3" fontId="19" fillId="0" borderId="97" xfId="0" applyNumberFormat="1" applyFont="1" applyBorder="1"/>
    <xf numFmtId="0" fontId="19" fillId="0" borderId="41" xfId="0" applyFont="1" applyFill="1" applyBorder="1" applyAlignment="1">
      <alignment vertical="top" wrapText="1"/>
    </xf>
    <xf numFmtId="0" fontId="20" fillId="0" borderId="42" xfId="0" applyFont="1" applyFill="1" applyBorder="1" applyAlignment="1">
      <alignment horizontal="center" vertical="top" wrapText="1"/>
    </xf>
    <xf numFmtId="0" fontId="20" fillId="0" borderId="38" xfId="0" applyFont="1" applyFill="1" applyBorder="1" applyAlignment="1">
      <alignment horizontal="center" vertical="top" wrapText="1"/>
    </xf>
    <xf numFmtId="0" fontId="20" fillId="0" borderId="41" xfId="0" applyFont="1" applyFill="1" applyBorder="1" applyAlignment="1">
      <alignment horizontal="left" vertical="top" wrapText="1" indent="2"/>
    </xf>
    <xf numFmtId="3" fontId="20" fillId="0" borderId="51" xfId="0" applyNumberFormat="1" applyFont="1" applyFill="1" applyBorder="1"/>
    <xf numFmtId="3" fontId="23" fillId="0" borderId="41" xfId="0" applyNumberFormat="1" applyFont="1" applyFill="1" applyBorder="1"/>
    <xf numFmtId="3" fontId="20" fillId="0" borderId="41" xfId="0" applyNumberFormat="1" applyFont="1" applyFill="1" applyBorder="1"/>
    <xf numFmtId="0" fontId="19" fillId="0" borderId="41" xfId="0" applyFont="1" applyFill="1" applyBorder="1" applyAlignment="1">
      <alignment horizontal="right" vertical="top" wrapText="1" indent="2"/>
    </xf>
    <xf numFmtId="3" fontId="19" fillId="0" borderId="41" xfId="0" applyNumberFormat="1" applyFont="1" applyFill="1" applyBorder="1"/>
    <xf numFmtId="0" fontId="20" fillId="0" borderId="41" xfId="0" applyFont="1" applyFill="1" applyBorder="1" applyAlignment="1">
      <alignment horizontal="left" vertical="top" wrapText="1" indent="4"/>
    </xf>
    <xf numFmtId="0" fontId="2" fillId="0" borderId="35" xfId="0" applyFont="1" applyBorder="1" applyAlignment="1"/>
    <xf numFmtId="3" fontId="4" fillId="0" borderId="18" xfId="0" applyNumberFormat="1" applyFont="1" applyBorder="1"/>
    <xf numFmtId="3" fontId="4" fillId="0" borderId="19" xfId="0" applyNumberFormat="1" applyFont="1" applyBorder="1"/>
    <xf numFmtId="0" fontId="4" fillId="0" borderId="10" xfId="0" applyFont="1" applyBorder="1" applyAlignment="1">
      <alignment horizontal="left" indent="3"/>
    </xf>
    <xf numFmtId="3" fontId="4" fillId="0" borderId="2" xfId="0" applyNumberFormat="1" applyFont="1" applyBorder="1"/>
    <xf numFmtId="3" fontId="4" fillId="0" borderId="11" xfId="0" applyNumberFormat="1" applyFont="1" applyBorder="1"/>
    <xf numFmtId="0" fontId="4" fillId="0" borderId="68" xfId="0" applyFont="1" applyBorder="1" applyAlignment="1">
      <alignment horizontal="left" indent="3"/>
    </xf>
    <xf numFmtId="3" fontId="4" fillId="0" borderId="52" xfId="0" applyNumberFormat="1" applyFont="1" applyBorder="1"/>
    <xf numFmtId="3" fontId="4" fillId="0" borderId="57" xfId="0" applyNumberFormat="1" applyFont="1" applyBorder="1"/>
    <xf numFmtId="0" fontId="4" fillId="0" borderId="20" xfId="0" applyFont="1" applyBorder="1" applyAlignment="1">
      <alignment horizontal="left" indent="5"/>
    </xf>
    <xf numFmtId="0" fontId="4" fillId="0" borderId="23" xfId="0" applyFont="1" applyBorder="1" applyAlignment="1">
      <alignment horizontal="left" indent="5"/>
    </xf>
    <xf numFmtId="3" fontId="4" fillId="0" borderId="24" xfId="0" applyNumberFormat="1" applyFont="1" applyBorder="1"/>
    <xf numFmtId="3" fontId="4" fillId="0" borderId="25" xfId="0" applyNumberFormat="1" applyFont="1" applyBorder="1"/>
    <xf numFmtId="0" fontId="4" fillId="0" borderId="6" xfId="0" applyFont="1" applyBorder="1" applyAlignment="1">
      <alignment horizontal="left" indent="3"/>
    </xf>
    <xf numFmtId="3" fontId="4" fillId="0" borderId="7" xfId="0" applyNumberFormat="1" applyFont="1" applyBorder="1"/>
    <xf numFmtId="3" fontId="4" fillId="0" borderId="8" xfId="0" applyNumberFormat="1" applyFont="1" applyBorder="1"/>
    <xf numFmtId="3" fontId="4" fillId="0" borderId="0" xfId="0" applyNumberFormat="1" applyFont="1" applyBorder="1"/>
    <xf numFmtId="0" fontId="4" fillId="0" borderId="0" xfId="0" applyFont="1" applyAlignment="1">
      <alignment wrapText="1"/>
    </xf>
    <xf numFmtId="3" fontId="4" fillId="0" borderId="52" xfId="0" applyNumberFormat="1" applyFont="1" applyFill="1" applyBorder="1"/>
    <xf numFmtId="0" fontId="2" fillId="0" borderId="20" xfId="0" applyFont="1" applyBorder="1" applyAlignment="1">
      <alignment horizontal="left" indent="3"/>
    </xf>
    <xf numFmtId="165" fontId="36" fillId="0" borderId="0" xfId="0" applyNumberFormat="1" applyFont="1" applyFill="1" applyAlignment="1"/>
    <xf numFmtId="0" fontId="2" fillId="0" borderId="0" xfId="0" applyFont="1" applyAlignment="1">
      <alignment wrapText="1"/>
    </xf>
    <xf numFmtId="165" fontId="27" fillId="0" borderId="0" xfId="0" applyNumberFormat="1" applyFont="1" applyAlignment="1"/>
    <xf numFmtId="165" fontId="27" fillId="0" borderId="0" xfId="0" applyNumberFormat="1" applyFont="1" applyFill="1" applyAlignment="1"/>
    <xf numFmtId="0" fontId="49" fillId="0" borderId="0" xfId="0" applyFont="1" applyAlignment="1"/>
    <xf numFmtId="0" fontId="4" fillId="0" borderId="87" xfId="0" applyFont="1" applyBorder="1" applyAlignment="1">
      <alignment horizontal="left" indent="1"/>
    </xf>
    <xf numFmtId="0" fontId="4" fillId="0" borderId="10" xfId="0" applyFont="1" applyBorder="1" applyAlignment="1">
      <alignment horizontal="left" indent="1"/>
    </xf>
    <xf numFmtId="3" fontId="4" fillId="0" borderId="39" xfId="0" applyNumberFormat="1" applyFont="1" applyBorder="1"/>
    <xf numFmtId="3" fontId="4" fillId="0" borderId="40" xfId="0" applyNumberFormat="1" applyFont="1" applyBorder="1"/>
    <xf numFmtId="0" fontId="4" fillId="0" borderId="0" xfId="0" applyFont="1" applyAlignment="1">
      <alignment horizontal="center" wrapText="1"/>
    </xf>
    <xf numFmtId="0" fontId="2" fillId="0" borderId="0" xfId="0" applyFont="1" applyAlignment="1">
      <alignment horizontal="left"/>
    </xf>
    <xf numFmtId="3" fontId="4" fillId="0" borderId="58" xfId="0" applyNumberFormat="1" applyFont="1" applyBorder="1"/>
    <xf numFmtId="3" fontId="4" fillId="0" borderId="56" xfId="0" applyNumberFormat="1" applyFont="1" applyBorder="1"/>
    <xf numFmtId="0" fontId="4" fillId="0" borderId="64" xfId="0" applyFont="1" applyBorder="1" applyAlignment="1">
      <alignment horizontal="left" wrapText="1" indent="2"/>
    </xf>
    <xf numFmtId="3" fontId="4" fillId="0" borderId="65" xfId="0" applyNumberFormat="1" applyFont="1" applyBorder="1"/>
    <xf numFmtId="3" fontId="4" fillId="0" borderId="66" xfId="0" applyNumberFormat="1" applyFont="1" applyBorder="1"/>
    <xf numFmtId="0" fontId="4" fillId="0" borderId="67" xfId="0" applyFont="1" applyBorder="1"/>
    <xf numFmtId="3" fontId="27" fillId="0" borderId="0" xfId="0" applyNumberFormat="1" applyFont="1" applyAlignment="1"/>
    <xf numFmtId="0" fontId="4" fillId="0" borderId="17" xfId="0" applyFont="1" applyBorder="1" applyAlignment="1">
      <alignment horizontal="left" indent="2"/>
    </xf>
    <xf numFmtId="0" fontId="19" fillId="0" borderId="45" xfId="0" applyFont="1" applyBorder="1" applyAlignment="1">
      <alignment vertical="top"/>
    </xf>
    <xf numFmtId="0" fontId="4" fillId="0" borderId="45" xfId="0" applyFont="1" applyBorder="1"/>
    <xf numFmtId="0" fontId="4" fillId="0" borderId="1" xfId="0" applyFont="1" applyBorder="1" applyAlignment="1">
      <alignment horizontal="center" vertical="center" wrapText="1"/>
    </xf>
    <xf numFmtId="0" fontId="19" fillId="0" borderId="48" xfId="0" applyFont="1" applyBorder="1" applyAlignment="1">
      <alignment vertical="top"/>
    </xf>
    <xf numFmtId="0" fontId="19" fillId="0" borderId="82" xfId="0" applyFont="1" applyBorder="1" applyAlignment="1">
      <alignment horizontal="center" vertical="top" wrapText="1"/>
    </xf>
    <xf numFmtId="3" fontId="19" fillId="0" borderId="82" xfId="0" applyNumberFormat="1" applyFont="1" applyBorder="1"/>
    <xf numFmtId="3" fontId="20" fillId="0" borderId="24" xfId="0" applyNumberFormat="1" applyFont="1" applyBorder="1"/>
    <xf numFmtId="3" fontId="20" fillId="0" borderId="25" xfId="0" applyNumberFormat="1" applyFont="1" applyBorder="1"/>
    <xf numFmtId="3" fontId="20" fillId="0" borderId="52" xfId="0" applyNumberFormat="1" applyFont="1" applyFill="1" applyBorder="1"/>
    <xf numFmtId="3" fontId="20" fillId="0" borderId="57" xfId="0" applyNumberFormat="1" applyFont="1" applyFill="1" applyBorder="1"/>
    <xf numFmtId="3" fontId="20" fillId="0" borderId="24" xfId="0" applyNumberFormat="1" applyFont="1" applyFill="1" applyBorder="1"/>
    <xf numFmtId="3" fontId="20" fillId="0" borderId="25" xfId="0" applyNumberFormat="1" applyFont="1" applyFill="1" applyBorder="1"/>
    <xf numFmtId="0" fontId="4" fillId="0" borderId="12" xfId="0" applyFont="1" applyBorder="1" applyAlignment="1">
      <alignment horizontal="center" vertical="top" wrapText="1"/>
    </xf>
    <xf numFmtId="0" fontId="4" fillId="0" borderId="70" xfId="0" applyFont="1" applyBorder="1" applyAlignment="1">
      <alignment horizontal="center" vertical="top" wrapText="1"/>
    </xf>
    <xf numFmtId="0" fontId="14" fillId="0" borderId="1" xfId="0" applyFont="1" applyBorder="1" applyAlignment="1">
      <alignment horizontal="right"/>
    </xf>
    <xf numFmtId="0" fontId="4" fillId="0" borderId="37" xfId="0" applyFont="1" applyBorder="1" applyAlignment="1">
      <alignment horizontal="left" indent="3"/>
    </xf>
    <xf numFmtId="0" fontId="4" fillId="3" borderId="1" xfId="0" applyFont="1" applyFill="1" applyBorder="1" applyAlignment="1">
      <alignment horizontal="center" vertical="top" wrapText="1"/>
    </xf>
    <xf numFmtId="0" fontId="4" fillId="0" borderId="0" xfId="0" applyFont="1" applyBorder="1" applyAlignment="1">
      <alignment horizontal="center" vertical="top" wrapText="1"/>
    </xf>
    <xf numFmtId="0" fontId="4" fillId="0" borderId="18" xfId="0" applyFont="1" applyBorder="1" applyAlignment="1">
      <alignment horizontal="left" indent="1"/>
    </xf>
    <xf numFmtId="3" fontId="4" fillId="3" borderId="18" xfId="0" applyNumberFormat="1" applyFont="1" applyFill="1" applyBorder="1"/>
    <xf numFmtId="3" fontId="4" fillId="0" borderId="18" xfId="0" applyNumberFormat="1" applyFont="1" applyFill="1" applyBorder="1"/>
    <xf numFmtId="0" fontId="4" fillId="0" borderId="0" xfId="0" applyFont="1" applyBorder="1"/>
    <xf numFmtId="0" fontId="4" fillId="0" borderId="0" xfId="0" applyFont="1" applyAlignment="1">
      <alignment vertical="top"/>
    </xf>
    <xf numFmtId="0" fontId="4" fillId="0" borderId="52" xfId="0" applyFont="1" applyBorder="1" applyAlignment="1">
      <alignment horizontal="left" indent="1"/>
    </xf>
    <xf numFmtId="3" fontId="4" fillId="3" borderId="52" xfId="0" applyNumberFormat="1" applyFont="1" applyFill="1" applyBorder="1"/>
    <xf numFmtId="0" fontId="4" fillId="0" borderId="39" xfId="0" applyFont="1" applyBorder="1" applyAlignment="1">
      <alignment horizontal="left" indent="1"/>
    </xf>
    <xf numFmtId="3" fontId="4" fillId="3" borderId="39" xfId="0" applyNumberFormat="1" applyFont="1" applyFill="1" applyBorder="1"/>
    <xf numFmtId="3" fontId="4" fillId="0" borderId="39" xfId="0" applyNumberFormat="1" applyFont="1" applyFill="1" applyBorder="1"/>
    <xf numFmtId="0" fontId="4" fillId="0" borderId="52" xfId="0" applyFont="1" applyBorder="1" applyAlignment="1">
      <alignment horizontal="left" indent="3"/>
    </xf>
    <xf numFmtId="3" fontId="4" fillId="0" borderId="15" xfId="0" applyNumberFormat="1" applyFont="1" applyBorder="1"/>
    <xf numFmtId="37" fontId="4" fillId="0" borderId="52" xfId="23" applyNumberFormat="1" applyFont="1" applyFill="1" applyBorder="1"/>
    <xf numFmtId="37" fontId="4" fillId="0" borderId="15" xfId="23" applyNumberFormat="1" applyFont="1" applyFill="1" applyBorder="1"/>
    <xf numFmtId="166" fontId="4" fillId="0" borderId="15" xfId="0" applyNumberFormat="1" applyFont="1" applyBorder="1" applyAlignment="1">
      <alignment horizontal="left" indent="1"/>
    </xf>
    <xf numFmtId="3" fontId="14" fillId="3" borderId="1" xfId="0" applyNumberFormat="1" applyFont="1" applyFill="1" applyBorder="1"/>
    <xf numFmtId="37" fontId="14" fillId="0" borderId="1" xfId="23" applyNumberFormat="1" applyFont="1" applyFill="1" applyBorder="1"/>
    <xf numFmtId="0" fontId="14" fillId="0" borderId="4" xfId="0" applyFont="1" applyBorder="1" applyAlignment="1">
      <alignment horizontal="center" vertical="center" wrapText="1"/>
    </xf>
    <xf numFmtId="0" fontId="4" fillId="0" borderId="0" xfId="0" applyFont="1" applyAlignment="1">
      <alignment horizontal="center" wrapText="1"/>
    </xf>
    <xf numFmtId="37" fontId="4" fillId="0" borderId="90" xfId="0" applyNumberFormat="1" applyFont="1" applyBorder="1"/>
    <xf numFmtId="37" fontId="4" fillId="0" borderId="96" xfId="0" applyNumberFormat="1" applyFont="1" applyBorder="1"/>
    <xf numFmtId="37" fontId="14" fillId="0" borderId="88" xfId="0" applyNumberFormat="1" applyFont="1" applyBorder="1"/>
    <xf numFmtId="37" fontId="14" fillId="0" borderId="22" xfId="0" applyNumberFormat="1" applyFont="1" applyBorder="1"/>
    <xf numFmtId="37" fontId="34" fillId="0" borderId="22" xfId="0" applyNumberFormat="1" applyFont="1" applyBorder="1"/>
    <xf numFmtId="37" fontId="14" fillId="0" borderId="40" xfId="0" applyNumberFormat="1" applyFont="1" applyBorder="1"/>
    <xf numFmtId="37" fontId="14" fillId="0" borderId="57" xfId="0" applyNumberFormat="1" applyFont="1" applyBorder="1"/>
    <xf numFmtId="37" fontId="14" fillId="0" borderId="75" xfId="0" applyNumberFormat="1" applyFont="1" applyBorder="1"/>
    <xf numFmtId="37" fontId="4" fillId="0" borderId="75" xfId="0" applyNumberFormat="1" applyFont="1" applyBorder="1"/>
    <xf numFmtId="37" fontId="14" fillId="0" borderId="89" xfId="0" applyNumberFormat="1" applyFont="1" applyBorder="1"/>
    <xf numFmtId="37" fontId="4" fillId="0" borderId="89" xfId="0" applyNumberFormat="1" applyFont="1" applyBorder="1"/>
    <xf numFmtId="167" fontId="14" fillId="0" borderId="1" xfId="23" applyNumberFormat="1" applyFont="1" applyBorder="1"/>
    <xf numFmtId="167" fontId="14" fillId="0" borderId="14" xfId="23" applyNumberFormat="1" applyFont="1" applyBorder="1"/>
    <xf numFmtId="0" fontId="4" fillId="0" borderId="37" xfId="0" applyFont="1" applyBorder="1" applyAlignment="1">
      <alignment horizontal="left" indent="2"/>
    </xf>
    <xf numFmtId="167" fontId="4" fillId="0" borderId="52" xfId="23" applyNumberFormat="1" applyFont="1" applyBorder="1"/>
    <xf numFmtId="37" fontId="4" fillId="0" borderId="21" xfId="0" applyNumberFormat="1" applyFont="1" applyBorder="1"/>
    <xf numFmtId="37" fontId="14" fillId="0" borderId="39" xfId="0" applyNumberFormat="1" applyFont="1" applyBorder="1"/>
    <xf numFmtId="37" fontId="4" fillId="0" borderId="18" xfId="0" applyNumberFormat="1" applyFont="1" applyBorder="1"/>
    <xf numFmtId="167" fontId="14" fillId="0" borderId="7" xfId="23" applyNumberFormat="1" applyFont="1" applyBorder="1"/>
    <xf numFmtId="0" fontId="15" fillId="0" borderId="33" xfId="0" applyFont="1" applyBorder="1" applyAlignment="1"/>
    <xf numFmtId="0" fontId="4" fillId="0" borderId="101" xfId="0" applyFont="1" applyBorder="1" applyAlignment="1">
      <alignment horizontal="left" indent="1"/>
    </xf>
    <xf numFmtId="167" fontId="4" fillId="0" borderId="56" xfId="23" applyNumberFormat="1" applyFont="1" applyBorder="1"/>
    <xf numFmtId="167" fontId="4" fillId="0" borderId="58" xfId="23" applyNumberFormat="1" applyFont="1" applyBorder="1"/>
    <xf numFmtId="0" fontId="4" fillId="0" borderId="15" xfId="0" applyFont="1" applyBorder="1" applyAlignment="1">
      <alignment horizontal="center" vertical="top" wrapText="1"/>
    </xf>
    <xf numFmtId="3" fontId="9" fillId="0" borderId="18" xfId="0" applyNumberFormat="1" applyFont="1" applyFill="1" applyBorder="1"/>
    <xf numFmtId="3" fontId="9" fillId="0" borderId="21" xfId="0" applyNumberFormat="1" applyFont="1" applyFill="1" applyBorder="1"/>
    <xf numFmtId="3" fontId="9" fillId="0" borderId="2" xfId="0" applyNumberFormat="1" applyFont="1" applyFill="1" applyBorder="1"/>
    <xf numFmtId="3" fontId="14" fillId="0" borderId="1" xfId="0" applyNumberFormat="1" applyFont="1" applyFill="1" applyBorder="1"/>
    <xf numFmtId="37" fontId="14" fillId="0" borderId="88" xfId="23" applyNumberFormat="1" applyFont="1" applyBorder="1"/>
    <xf numFmtId="37" fontId="14" fillId="0" borderId="94" xfId="23" applyNumberFormat="1" applyFont="1" applyBorder="1"/>
    <xf numFmtId="37" fontId="14" fillId="0" borderId="57" xfId="23" applyNumberFormat="1" applyFont="1" applyBorder="1"/>
    <xf numFmtId="37" fontId="14" fillId="0" borderId="80" xfId="23" applyNumberFormat="1" applyFont="1" applyBorder="1"/>
    <xf numFmtId="0" fontId="4" fillId="0" borderId="0" xfId="0" applyFont="1" applyAlignment="1">
      <alignment horizontal="left"/>
    </xf>
    <xf numFmtId="168" fontId="4" fillId="0" borderId="0" xfId="0" applyNumberFormat="1" applyFont="1"/>
    <xf numFmtId="2" fontId="4" fillId="0" borderId="0" xfId="0" applyNumberFormat="1" applyFont="1"/>
    <xf numFmtId="1" fontId="4" fillId="0" borderId="0" xfId="0" applyNumberFormat="1" applyFont="1"/>
    <xf numFmtId="37" fontId="50" fillId="0" borderId="80" xfId="23" applyNumberFormat="1" applyFont="1" applyBorder="1"/>
    <xf numFmtId="37" fontId="4" fillId="0" borderId="102" xfId="23" applyNumberFormat="1" applyFont="1" applyBorder="1"/>
    <xf numFmtId="37" fontId="4" fillId="0" borderId="18" xfId="23" applyNumberFormat="1" applyFont="1" applyBorder="1"/>
    <xf numFmtId="37" fontId="14" fillId="0" borderId="1" xfId="23" applyNumberFormat="1" applyFont="1" applyBorder="1"/>
    <xf numFmtId="37" fontId="4" fillId="0" borderId="39" xfId="23" applyNumberFormat="1" applyFont="1" applyBorder="1"/>
    <xf numFmtId="37" fontId="4" fillId="0" borderId="19" xfId="23" applyNumberFormat="1" applyFont="1" applyBorder="1"/>
    <xf numFmtId="37" fontId="14" fillId="0" borderId="14" xfId="23" applyNumberFormat="1" applyFont="1" applyBorder="1"/>
    <xf numFmtId="37" fontId="4" fillId="0" borderId="40" xfId="23" applyNumberFormat="1" applyFont="1" applyBorder="1"/>
    <xf numFmtId="37" fontId="4" fillId="0" borderId="21" xfId="23" applyNumberFormat="1" applyFont="1" applyBorder="1"/>
    <xf numFmtId="37" fontId="4" fillId="0" borderId="22" xfId="23" applyNumberFormat="1" applyFont="1" applyBorder="1"/>
    <xf numFmtId="37" fontId="14" fillId="0" borderId="7" xfId="23" applyNumberFormat="1" applyFont="1" applyBorder="1"/>
    <xf numFmtId="37" fontId="14" fillId="0" borderId="8" xfId="23" applyNumberFormat="1" applyFont="1" applyBorder="1"/>
    <xf numFmtId="0" fontId="14" fillId="0" borderId="103" xfId="0" applyFont="1" applyBorder="1" applyAlignment="1">
      <alignment horizontal="left" vertical="center"/>
    </xf>
    <xf numFmtId="0" fontId="4" fillId="0" borderId="103" xfId="0" applyFont="1" applyBorder="1" applyAlignment="1">
      <alignment horizontal="left" indent="3"/>
    </xf>
    <xf numFmtId="0" fontId="4" fillId="0" borderId="104" xfId="0" applyFont="1" applyBorder="1" applyAlignment="1">
      <alignment horizontal="left" indent="3"/>
    </xf>
    <xf numFmtId="0" fontId="14" fillId="0" borderId="103" xfId="0" applyFont="1" applyBorder="1" applyAlignment="1">
      <alignment horizontal="left"/>
    </xf>
    <xf numFmtId="37" fontId="4" fillId="0" borderId="22" xfId="0" applyNumberFormat="1" applyFont="1" applyBorder="1"/>
    <xf numFmtId="3" fontId="14" fillId="0" borderId="87" xfId="0" applyNumberFormat="1" applyFont="1" applyBorder="1"/>
    <xf numFmtId="3" fontId="4" fillId="0" borderId="101" xfId="0" applyNumberFormat="1" applyFont="1" applyBorder="1"/>
    <xf numFmtId="3" fontId="14" fillId="0" borderId="12" xfId="0" applyNumberFormat="1" applyFont="1" applyBorder="1"/>
    <xf numFmtId="3" fontId="4" fillId="0" borderId="99" xfId="0" applyNumberFormat="1" applyFont="1" applyBorder="1"/>
    <xf numFmtId="0" fontId="4" fillId="0" borderId="105" xfId="0" applyFont="1" applyBorder="1" applyAlignment="1">
      <alignment horizontal="left" indent="1"/>
    </xf>
    <xf numFmtId="165" fontId="36" fillId="0" borderId="0" xfId="0" applyNumberFormat="1" applyFont="1" applyFill="1" applyAlignment="1">
      <alignment horizontal="left" wrapText="1"/>
    </xf>
    <xf numFmtId="0" fontId="4" fillId="0" borderId="1" xfId="2" applyFont="1" applyBorder="1" applyAlignment="1">
      <alignment horizontal="center" vertical="top" wrapText="1"/>
    </xf>
    <xf numFmtId="0" fontId="4" fillId="0" borderId="14" xfId="2" applyFont="1" applyBorder="1" applyAlignment="1">
      <alignment horizontal="center" vertical="top" wrapText="1"/>
    </xf>
    <xf numFmtId="0" fontId="4" fillId="0" borderId="44" xfId="2" applyFont="1" applyBorder="1"/>
    <xf numFmtId="3" fontId="4" fillId="0" borderId="18" xfId="2" applyNumberFormat="1" applyFont="1" applyBorder="1"/>
    <xf numFmtId="3" fontId="4" fillId="0" borderId="19" xfId="2" applyNumberFormat="1" applyFont="1" applyBorder="1"/>
    <xf numFmtId="0" fontId="4" fillId="0" borderId="53" xfId="2" applyFont="1" applyBorder="1"/>
    <xf numFmtId="3" fontId="4" fillId="0" borderId="24" xfId="2" applyNumberFormat="1" applyFont="1" applyBorder="1"/>
    <xf numFmtId="3" fontId="4" fillId="0" borderId="25" xfId="2" applyNumberFormat="1" applyFont="1" applyBorder="1"/>
    <xf numFmtId="0" fontId="4" fillId="0" borderId="49" xfId="2" applyFont="1" applyBorder="1"/>
    <xf numFmtId="3" fontId="4" fillId="0" borderId="52" xfId="2" applyNumberFormat="1" applyFont="1" applyBorder="1"/>
    <xf numFmtId="3" fontId="4" fillId="0" borderId="57" xfId="2" applyNumberFormat="1" applyFont="1" applyBorder="1"/>
    <xf numFmtId="0" fontId="4" fillId="0" borderId="45" xfId="2" applyFont="1" applyBorder="1"/>
    <xf numFmtId="3" fontId="4" fillId="0" borderId="21" xfId="2" applyNumberFormat="1" applyFont="1" applyBorder="1"/>
    <xf numFmtId="3" fontId="4" fillId="0" borderId="22" xfId="2" applyNumberFormat="1" applyFont="1" applyBorder="1"/>
    <xf numFmtId="0" fontId="14" fillId="0" borderId="9" xfId="2" applyFont="1" applyBorder="1" applyAlignment="1">
      <alignment horizontal="center"/>
    </xf>
    <xf numFmtId="3" fontId="14" fillId="0" borderId="1" xfId="2" applyNumberFormat="1" applyFont="1" applyBorder="1"/>
    <xf numFmtId="3" fontId="14" fillId="0" borderId="14" xfId="2" applyNumberFormat="1" applyFont="1" applyBorder="1"/>
    <xf numFmtId="0" fontId="4" fillId="0" borderId="49" xfId="2" applyFont="1" applyBorder="1" applyAlignment="1">
      <alignment horizontal="left" indent="1"/>
    </xf>
    <xf numFmtId="0" fontId="4" fillId="0" borderId="45" xfId="2" applyFont="1" applyBorder="1" applyAlignment="1">
      <alignment horizontal="left" indent="1"/>
    </xf>
    <xf numFmtId="0" fontId="4" fillId="0" borderId="0" xfId="2" applyFont="1"/>
    <xf numFmtId="0" fontId="4" fillId="0" borderId="104" xfId="0" applyFont="1" applyFill="1" applyBorder="1" applyAlignment="1">
      <alignment horizontal="left" indent="3"/>
    </xf>
    <xf numFmtId="3" fontId="4" fillId="0" borderId="15" xfId="0" applyNumberFormat="1" applyFont="1" applyFill="1" applyBorder="1"/>
    <xf numFmtId="165" fontId="36" fillId="0" borderId="0" xfId="0" applyNumberFormat="1" applyFont="1" applyFill="1" applyAlignment="1">
      <alignment horizontal="left"/>
    </xf>
    <xf numFmtId="0" fontId="2" fillId="0" borderId="0" xfId="0" applyFont="1" applyBorder="1" applyAlignment="1">
      <alignment horizontal="center"/>
    </xf>
    <xf numFmtId="0" fontId="36" fillId="0" borderId="0" xfId="22" applyFont="1" applyFill="1" applyBorder="1" applyAlignment="1">
      <alignment vertical="top" wrapText="1"/>
    </xf>
    <xf numFmtId="0" fontId="42" fillId="0" borderId="0" xfId="22" applyFill="1"/>
    <xf numFmtId="0" fontId="44" fillId="0" borderId="0" xfId="22" applyFont="1" applyFill="1"/>
    <xf numFmtId="0" fontId="36" fillId="0" borderId="0" xfId="22" applyFont="1" applyFill="1" applyAlignment="1"/>
    <xf numFmtId="0" fontId="19" fillId="0" borderId="106" xfId="0" applyFont="1" applyBorder="1" applyAlignment="1">
      <alignment horizontal="center" vertical="center" wrapText="1"/>
    </xf>
    <xf numFmtId="0" fontId="19" fillId="0" borderId="107" xfId="0" applyFont="1" applyBorder="1" applyAlignment="1">
      <alignment horizontal="center" vertical="center" wrapText="1"/>
    </xf>
    <xf numFmtId="0" fontId="19" fillId="0" borderId="108" xfId="0" applyFont="1" applyBorder="1" applyAlignment="1">
      <alignment horizontal="center" vertical="center" wrapText="1"/>
    </xf>
    <xf numFmtId="0" fontId="4" fillId="0" borderId="1" xfId="2" applyFont="1" applyFill="1" applyBorder="1" applyAlignment="1">
      <alignment horizontal="center" vertical="top" wrapText="1"/>
    </xf>
    <xf numFmtId="3" fontId="4" fillId="0" borderId="24" xfId="2" applyNumberFormat="1" applyFont="1" applyFill="1" applyBorder="1"/>
    <xf numFmtId="3" fontId="4" fillId="0" borderId="52" xfId="2" applyNumberFormat="1" applyFont="1" applyFill="1" applyBorder="1"/>
    <xf numFmtId="3" fontId="4" fillId="0" borderId="21" xfId="2" applyNumberFormat="1" applyFont="1" applyFill="1" applyBorder="1"/>
    <xf numFmtId="3" fontId="14" fillId="0" borderId="1" xfId="2" applyNumberFormat="1" applyFont="1" applyFill="1" applyBorder="1"/>
    <xf numFmtId="0" fontId="4" fillId="0" borderId="0" xfId="2" applyFont="1" applyFill="1"/>
    <xf numFmtId="0" fontId="4" fillId="0" borderId="0" xfId="0" applyFont="1" applyFill="1"/>
    <xf numFmtId="0" fontId="45" fillId="0" borderId="0" xfId="22" applyFont="1" applyBorder="1" applyAlignment="1"/>
    <xf numFmtId="0" fontId="36" fillId="0" borderId="0" xfId="22" applyFont="1" applyBorder="1" applyAlignment="1"/>
    <xf numFmtId="0" fontId="46" fillId="0" borderId="0" xfId="22" applyFont="1" applyFill="1" applyBorder="1" applyAlignment="1">
      <alignment horizontal="center" vertical="top"/>
    </xf>
    <xf numFmtId="0" fontId="47" fillId="0" borderId="0" xfId="22" applyFont="1" applyFill="1" applyBorder="1" applyAlignment="1">
      <alignment vertical="top" wrapText="1"/>
    </xf>
    <xf numFmtId="0" fontId="4" fillId="0" borderId="0" xfId="0" applyFont="1" applyAlignment="1">
      <alignment horizontal="left" vertical="top"/>
    </xf>
    <xf numFmtId="0" fontId="33" fillId="0" borderId="0" xfId="0" applyFont="1" applyAlignment="1">
      <alignment horizontal="left" vertical="top"/>
    </xf>
    <xf numFmtId="0" fontId="12" fillId="0" borderId="0" xfId="0" applyFont="1" applyAlignment="1">
      <alignment horizontal="center"/>
    </xf>
    <xf numFmtId="0" fontId="1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1" fillId="0" borderId="0" xfId="0" applyFont="1" applyAlignment="1">
      <alignment horizont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9" fillId="0" borderId="0" xfId="0" applyFont="1" applyAlignment="1">
      <alignment horizont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8" fillId="0" borderId="0" xfId="0" applyFont="1" applyAlignment="1">
      <alignment horizontal="center"/>
    </xf>
    <xf numFmtId="0" fontId="11" fillId="0" borderId="35" xfId="0" applyFont="1" applyBorder="1" applyAlignment="1">
      <alignment horizontal="center"/>
    </xf>
    <xf numFmtId="0" fontId="11" fillId="0" borderId="0" xfId="0" applyFont="1" applyBorder="1" applyAlignment="1">
      <alignment horizontal="center"/>
    </xf>
    <xf numFmtId="0" fontId="4" fillId="0" borderId="35" xfId="0" applyFont="1" applyBorder="1" applyAlignment="1">
      <alignment horizontal="center"/>
    </xf>
    <xf numFmtId="0" fontId="2" fillId="0" borderId="0" xfId="0" applyFont="1" applyAlignment="1">
      <alignment horizontal="center"/>
    </xf>
    <xf numFmtId="0" fontId="16" fillId="0" borderId="0" xfId="0" applyFont="1" applyAlignment="1">
      <alignment horizontal="left" vertical="top"/>
    </xf>
    <xf numFmtId="0" fontId="14" fillId="0" borderId="13"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9" fillId="0" borderId="51" xfId="0" applyFont="1" applyBorder="1" applyAlignment="1">
      <alignment horizontal="left" vertical="top" wrapText="1"/>
    </xf>
    <xf numFmtId="0" fontId="23" fillId="0" borderId="92" xfId="0" applyFont="1" applyBorder="1" applyAlignment="1">
      <alignment horizontal="left" vertical="top" wrapText="1"/>
    </xf>
    <xf numFmtId="0" fontId="0" fillId="0" borderId="92" xfId="0" applyBorder="1" applyAlignment="1">
      <alignment horizontal="left" vertical="top" wrapText="1"/>
    </xf>
    <xf numFmtId="0" fontId="0" fillId="0" borderId="93" xfId="0" applyBorder="1" applyAlignment="1">
      <alignment horizontal="left" vertical="top" wrapText="1"/>
    </xf>
    <xf numFmtId="0" fontId="0" fillId="0" borderId="51" xfId="0" applyBorder="1" applyAlignment="1">
      <alignment horizontal="left" vertical="top" wrapText="1"/>
    </xf>
    <xf numFmtId="0" fontId="0" fillId="0" borderId="54" xfId="0" applyBorder="1" applyAlignment="1">
      <alignment horizontal="left" vertical="top" wrapText="1"/>
    </xf>
    <xf numFmtId="0" fontId="23" fillId="0" borderId="92" xfId="0" applyFont="1" applyFill="1" applyBorder="1" applyAlignment="1">
      <alignment horizontal="left" vertical="top" wrapText="1"/>
    </xf>
    <xf numFmtId="0" fontId="20" fillId="0" borderId="92" xfId="0" applyFont="1" applyFill="1" applyBorder="1" applyAlignment="1">
      <alignment horizontal="left" vertical="top" wrapText="1"/>
    </xf>
    <xf numFmtId="0" fontId="20" fillId="0" borderId="93" xfId="0" applyFont="1" applyFill="1" applyBorder="1" applyAlignment="1">
      <alignment horizontal="left" vertical="top" wrapText="1"/>
    </xf>
    <xf numFmtId="0" fontId="20" fillId="0" borderId="51" xfId="0" applyFont="1" applyFill="1" applyBorder="1" applyAlignment="1">
      <alignment horizontal="left" vertical="top" wrapText="1"/>
    </xf>
    <xf numFmtId="0" fontId="20" fillId="0" borderId="54" xfId="0" applyFont="1" applyFill="1" applyBorder="1" applyAlignment="1">
      <alignment horizontal="left" vertical="top" wrapText="1"/>
    </xf>
    <xf numFmtId="0" fontId="20" fillId="0" borderId="41" xfId="0" applyFont="1" applyBorder="1" applyAlignment="1">
      <alignment horizontal="left" vertical="top" wrapText="1"/>
    </xf>
    <xf numFmtId="0" fontId="20" fillId="0" borderId="31" xfId="0" applyFont="1" applyBorder="1" applyAlignment="1">
      <alignment horizontal="left" vertical="top" wrapText="1"/>
    </xf>
    <xf numFmtId="0" fontId="18"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4" fillId="0" borderId="0" xfId="0" applyFont="1" applyBorder="1" applyAlignment="1">
      <alignment horizontal="center"/>
    </xf>
    <xf numFmtId="0" fontId="19" fillId="0" borderId="41" xfId="0" applyFont="1" applyBorder="1" applyAlignment="1">
      <alignment horizontal="left" vertical="top"/>
    </xf>
    <xf numFmtId="0" fontId="19" fillId="0" borderId="31" xfId="0" applyFont="1" applyBorder="1" applyAlignment="1">
      <alignment horizontal="left" vertical="top"/>
    </xf>
    <xf numFmtId="0" fontId="23" fillId="0" borderId="41" xfId="0" applyFont="1" applyFill="1" applyBorder="1" applyAlignment="1">
      <alignment horizontal="left" vertical="top" wrapText="1"/>
    </xf>
    <xf numFmtId="0" fontId="23" fillId="0" borderId="41" xfId="0" applyFont="1" applyFill="1" applyBorder="1" applyAlignment="1">
      <alignment horizontal="left" vertical="top"/>
    </xf>
    <xf numFmtId="0" fontId="23" fillId="0" borderId="31" xfId="0" applyFont="1" applyFill="1" applyBorder="1" applyAlignment="1">
      <alignment horizontal="left" vertical="top"/>
    </xf>
    <xf numFmtId="0" fontId="23" fillId="0" borderId="51" xfId="0" applyFont="1" applyBorder="1" applyAlignment="1">
      <alignment horizontal="left" vertical="top" wrapText="1"/>
    </xf>
    <xf numFmtId="0" fontId="23" fillId="0" borderId="54" xfId="0" applyFont="1" applyBorder="1" applyAlignment="1">
      <alignment horizontal="left" vertical="top" wrapText="1"/>
    </xf>
    <xf numFmtId="0" fontId="20" fillId="0" borderId="41" xfId="0" applyFont="1" applyBorder="1" applyAlignment="1">
      <alignment horizontal="left" vertical="top"/>
    </xf>
    <xf numFmtId="0" fontId="20" fillId="0" borderId="31" xfId="0" applyFont="1" applyBorder="1" applyAlignment="1">
      <alignment horizontal="left" vertical="top"/>
    </xf>
    <xf numFmtId="0" fontId="23" fillId="0" borderId="41" xfId="0" applyFont="1" applyBorder="1" applyAlignment="1">
      <alignment horizontal="left" vertical="top" wrapText="1"/>
    </xf>
    <xf numFmtId="0" fontId="23" fillId="0" borderId="41" xfId="0" applyFont="1" applyBorder="1" applyAlignment="1">
      <alignment horizontal="left" vertical="top"/>
    </xf>
    <xf numFmtId="0" fontId="23" fillId="0" borderId="31" xfId="0" applyFont="1" applyBorder="1" applyAlignment="1">
      <alignment horizontal="left" vertical="top"/>
    </xf>
    <xf numFmtId="0" fontId="19" fillId="0" borderId="42" xfId="0" applyFont="1" applyBorder="1" applyAlignment="1">
      <alignment horizontal="right" vertical="top"/>
    </xf>
    <xf numFmtId="0" fontId="19" fillId="0" borderId="51" xfId="0" applyFont="1" applyBorder="1" applyAlignment="1">
      <alignment horizontal="left" vertical="top"/>
    </xf>
    <xf numFmtId="0" fontId="19" fillId="0" borderId="54" xfId="0" applyFont="1" applyBorder="1" applyAlignment="1">
      <alignment horizontal="left" vertical="top"/>
    </xf>
    <xf numFmtId="0" fontId="23" fillId="0" borderId="31" xfId="0" applyFont="1" applyBorder="1" applyAlignment="1">
      <alignment horizontal="left" vertical="top" wrapText="1"/>
    </xf>
    <xf numFmtId="0" fontId="19" fillId="0" borderId="55" xfId="0" applyFont="1" applyBorder="1" applyAlignment="1">
      <alignment horizontal="center" vertical="top"/>
    </xf>
    <xf numFmtId="0" fontId="19" fillId="0" borderId="32" xfId="0" applyFont="1" applyBorder="1" applyAlignment="1">
      <alignment horizontal="center" vertical="top"/>
    </xf>
    <xf numFmtId="0" fontId="19" fillId="0" borderId="50" xfId="0" applyFont="1" applyBorder="1" applyAlignment="1">
      <alignment horizontal="left" vertical="top"/>
    </xf>
    <xf numFmtId="0" fontId="19" fillId="0" borderId="81" xfId="0" applyFont="1" applyBorder="1" applyAlignment="1">
      <alignment horizontal="left" vertical="top"/>
    </xf>
    <xf numFmtId="0" fontId="19" fillId="0" borderId="82" xfId="0" applyFont="1" applyBorder="1" applyAlignment="1">
      <alignment horizontal="right" vertical="top"/>
    </xf>
    <xf numFmtId="165" fontId="27" fillId="0" borderId="0" xfId="0" applyNumberFormat="1" applyFont="1" applyFill="1" applyAlignment="1">
      <alignment horizontal="left" wrapText="1"/>
    </xf>
    <xf numFmtId="0" fontId="4" fillId="0" borderId="0" xfId="0" applyFont="1" applyAlignment="1">
      <alignment horizontal="left"/>
    </xf>
    <xf numFmtId="0" fontId="14" fillId="0" borderId="62" xfId="0" applyFont="1" applyBorder="1" applyAlignment="1">
      <alignment horizontal="center" vertical="center" wrapText="1"/>
    </xf>
    <xf numFmtId="0" fontId="14" fillId="0" borderId="91" xfId="0" applyFont="1" applyBorder="1" applyAlignment="1">
      <alignment horizontal="center" vertical="center" wrapText="1"/>
    </xf>
    <xf numFmtId="165" fontId="36" fillId="0" borderId="0" xfId="0" applyNumberFormat="1" applyFont="1" applyFill="1" applyAlignment="1">
      <alignment horizontal="left" wrapText="1"/>
    </xf>
    <xf numFmtId="0" fontId="2" fillId="0" borderId="100" xfId="0" applyFont="1" applyBorder="1" applyAlignment="1">
      <alignment horizontal="center"/>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61" xfId="2" applyFont="1" applyBorder="1" applyAlignment="1">
      <alignment horizontal="center" vertical="center" wrapText="1"/>
    </xf>
    <xf numFmtId="0" fontId="14" fillId="0" borderId="28" xfId="2" applyFont="1" applyBorder="1" applyAlignment="1">
      <alignment horizontal="center" vertical="center" wrapText="1"/>
    </xf>
    <xf numFmtId="0" fontId="14" fillId="0" borderId="34" xfId="2" applyFont="1" applyBorder="1" applyAlignment="1">
      <alignment horizontal="center" vertical="center" wrapText="1"/>
    </xf>
    <xf numFmtId="0" fontId="14" fillId="0" borderId="62" xfId="2" applyFont="1" applyBorder="1" applyAlignment="1">
      <alignment horizontal="center" vertical="center" wrapText="1"/>
    </xf>
    <xf numFmtId="0" fontId="14" fillId="0" borderId="60" xfId="2" applyFont="1" applyBorder="1" applyAlignment="1">
      <alignment horizontal="center" vertical="center" wrapText="1"/>
    </xf>
    <xf numFmtId="0" fontId="12" fillId="0" borderId="0" xfId="0" applyFont="1" applyBorder="1" applyAlignment="1">
      <alignment horizontal="center"/>
    </xf>
    <xf numFmtId="0" fontId="13" fillId="0" borderId="0" xfId="0" applyFont="1" applyBorder="1" applyAlignment="1">
      <alignment horizontal="center"/>
    </xf>
    <xf numFmtId="0" fontId="2" fillId="0" borderId="0" xfId="0" applyFont="1" applyBorder="1" applyAlignment="1">
      <alignment horizontal="center"/>
    </xf>
    <xf numFmtId="0" fontId="14" fillId="0" borderId="36"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15" xfId="0" applyFont="1" applyBorder="1" applyAlignment="1">
      <alignment horizontal="center" vertical="center"/>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29" xfId="0" applyFont="1" applyBorder="1" applyAlignment="1">
      <alignment horizontal="center" vertical="center" wrapText="1"/>
    </xf>
    <xf numFmtId="0" fontId="36" fillId="2" borderId="0" xfId="20" applyFont="1" applyFill="1" applyAlignment="1">
      <alignment wrapText="1"/>
    </xf>
    <xf numFmtId="0" fontId="36" fillId="0" borderId="0" xfId="20" applyFont="1" applyFill="1" applyAlignment="1">
      <alignment wrapText="1"/>
    </xf>
    <xf numFmtId="3" fontId="40" fillId="0" borderId="0" xfId="13" applyNumberFormat="1" applyFont="1" applyAlignment="1">
      <alignment horizontal="center"/>
    </xf>
    <xf numFmtId="0" fontId="36" fillId="0" borderId="0" xfId="13" applyFont="1" applyBorder="1" applyAlignment="1">
      <alignment horizontal="center"/>
    </xf>
    <xf numFmtId="3" fontId="38" fillId="2" borderId="0" xfId="20" applyNumberFormat="1" applyFont="1" applyFill="1" applyAlignment="1">
      <alignment horizontal="center"/>
    </xf>
    <xf numFmtId="0" fontId="38" fillId="2" borderId="0" xfId="20" applyFont="1" applyFill="1" applyAlignment="1">
      <alignment horizontal="center"/>
    </xf>
    <xf numFmtId="3" fontId="36" fillId="2" borderId="0" xfId="20" applyNumberFormat="1" applyFont="1" applyFill="1" applyAlignment="1">
      <alignment horizontal="center"/>
    </xf>
    <xf numFmtId="0" fontId="36" fillId="2" borderId="0" xfId="20" applyFont="1" applyFill="1" applyAlignment="1">
      <alignment horizontal="center"/>
    </xf>
    <xf numFmtId="0" fontId="41" fillId="2" borderId="0" xfId="20" applyFont="1" applyFill="1" applyAlignment="1">
      <alignment horizontal="center"/>
    </xf>
    <xf numFmtId="0" fontId="4" fillId="0" borderId="0" xfId="0" applyFont="1" applyAlignment="1">
      <alignment horizontal="center" wrapText="1"/>
    </xf>
    <xf numFmtId="0" fontId="14" fillId="0" borderId="0" xfId="0" applyFont="1" applyAlignment="1">
      <alignment horizontal="left" wrapText="1"/>
    </xf>
    <xf numFmtId="3" fontId="4" fillId="0" borderId="18" xfId="2" applyNumberFormat="1" applyFont="1" applyFill="1" applyBorder="1"/>
  </cellXfs>
  <cellStyles count="26">
    <cellStyle name="Comma" xfId="1" builtinId="3"/>
    <cellStyle name="Comma 2" xfId="3"/>
    <cellStyle name="Comma 2 2" xfId="4"/>
    <cellStyle name="Comma 3" xfId="5"/>
    <cellStyle name="Comma 4" xfId="6"/>
    <cellStyle name="Comma 4 2" xfId="7"/>
    <cellStyle name="Currency" xfId="23" builtinId="4"/>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21"/>
    <cellStyle name="Normal 6" xfId="22"/>
    <cellStyle name="Normal 7" xfId="24"/>
    <cellStyle name="Normal_Appendix Exhibits.FINAL 2" xfId="19"/>
    <cellStyle name="Normal_Sheet1 2" xfId="20"/>
    <cellStyle name="Percent 2" xfId="15"/>
    <cellStyle name="Percent 2 2" xfId="16"/>
    <cellStyle name="Percent 3" xfId="17"/>
    <cellStyle name="Percent 3 2" xfId="18"/>
    <cellStyle name="Percent 4" xfId="2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12702</xdr:colOff>
      <xdr:row>0</xdr:row>
      <xdr:rowOff>1</xdr:rowOff>
    </xdr:from>
    <xdr:to>
      <xdr:col>12</xdr:col>
      <xdr:colOff>723903</xdr:colOff>
      <xdr:row>31</xdr:row>
      <xdr:rowOff>832353</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rot="16200000">
          <a:off x="1095127" y="-1082424"/>
          <a:ext cx="6890252" cy="905510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view="pageBreakPreview" zoomScaleNormal="75" zoomScaleSheetLayoutView="100" workbookViewId="0">
      <selection activeCell="O13" sqref="O13"/>
    </sheetView>
  </sheetViews>
  <sheetFormatPr defaultColWidth="9.140625" defaultRowHeight="15" x14ac:dyDescent="0.2"/>
  <cols>
    <col min="1" max="11" width="9.140625" style="209"/>
    <col min="12" max="12" width="24.5703125" style="209" customWidth="1"/>
    <col min="13" max="13" width="14" style="209" customWidth="1"/>
    <col min="14" max="14" width="12.28515625" style="210" customWidth="1"/>
    <col min="15" max="16384" width="9.140625" style="209"/>
  </cols>
  <sheetData>
    <row r="1" spans="1:14" ht="20.25" x14ac:dyDescent="0.3">
      <c r="A1" s="208" t="s">
        <v>300</v>
      </c>
      <c r="N1" s="210" t="s">
        <v>17</v>
      </c>
    </row>
    <row r="2" spans="1:14" x14ac:dyDescent="0.2">
      <c r="N2" s="210" t="s">
        <v>17</v>
      </c>
    </row>
    <row r="3" spans="1:14" x14ac:dyDescent="0.2">
      <c r="N3" s="210" t="s">
        <v>17</v>
      </c>
    </row>
    <row r="4" spans="1:14" x14ac:dyDescent="0.2">
      <c r="N4" s="210" t="s">
        <v>17</v>
      </c>
    </row>
    <row r="5" spans="1:14" ht="15.75" x14ac:dyDescent="0.25">
      <c r="B5" s="211"/>
      <c r="N5" s="210" t="s">
        <v>17</v>
      </c>
    </row>
    <row r="6" spans="1:14" x14ac:dyDescent="0.2">
      <c r="N6" s="210" t="s">
        <v>17</v>
      </c>
    </row>
    <row r="7" spans="1:14" x14ac:dyDescent="0.2">
      <c r="N7" s="210" t="s">
        <v>17</v>
      </c>
    </row>
    <row r="8" spans="1:14" x14ac:dyDescent="0.2">
      <c r="N8" s="210" t="s">
        <v>17</v>
      </c>
    </row>
    <row r="9" spans="1:14" x14ac:dyDescent="0.2">
      <c r="N9" s="210" t="s">
        <v>17</v>
      </c>
    </row>
    <row r="10" spans="1:14" x14ac:dyDescent="0.2">
      <c r="N10" s="210" t="s">
        <v>17</v>
      </c>
    </row>
    <row r="11" spans="1:14" x14ac:dyDescent="0.2">
      <c r="N11" s="210" t="s">
        <v>17</v>
      </c>
    </row>
    <row r="12" spans="1:14" x14ac:dyDescent="0.2">
      <c r="N12" s="210" t="s">
        <v>17</v>
      </c>
    </row>
    <row r="13" spans="1:14" x14ac:dyDescent="0.2">
      <c r="N13" s="210" t="s">
        <v>17</v>
      </c>
    </row>
    <row r="14" spans="1:14" x14ac:dyDescent="0.2">
      <c r="N14" s="210" t="s">
        <v>17</v>
      </c>
    </row>
    <row r="15" spans="1:14" x14ac:dyDescent="0.2">
      <c r="N15" s="210" t="s">
        <v>17</v>
      </c>
    </row>
    <row r="16" spans="1:14" x14ac:dyDescent="0.2">
      <c r="N16" s="210" t="s">
        <v>17</v>
      </c>
    </row>
    <row r="17" spans="1:14" x14ac:dyDescent="0.2">
      <c r="N17" s="210" t="s">
        <v>17</v>
      </c>
    </row>
    <row r="18" spans="1:14" x14ac:dyDescent="0.2">
      <c r="N18" s="210" t="s">
        <v>17</v>
      </c>
    </row>
    <row r="19" spans="1:14" x14ac:dyDescent="0.2">
      <c r="N19" s="210" t="s">
        <v>17</v>
      </c>
    </row>
    <row r="20" spans="1:14" x14ac:dyDescent="0.2">
      <c r="N20" s="210" t="s">
        <v>17</v>
      </c>
    </row>
    <row r="21" spans="1:14" x14ac:dyDescent="0.2">
      <c r="N21" s="210" t="s">
        <v>17</v>
      </c>
    </row>
    <row r="22" spans="1:14" x14ac:dyDescent="0.2">
      <c r="N22" s="210" t="s">
        <v>17</v>
      </c>
    </row>
    <row r="23" spans="1:14" x14ac:dyDescent="0.2">
      <c r="N23" s="210" t="s">
        <v>17</v>
      </c>
    </row>
    <row r="24" spans="1:14" x14ac:dyDescent="0.2">
      <c r="N24" s="210" t="s">
        <v>17</v>
      </c>
    </row>
    <row r="25" spans="1:14" x14ac:dyDescent="0.2">
      <c r="N25" s="210" t="s">
        <v>17</v>
      </c>
    </row>
    <row r="26" spans="1:14" x14ac:dyDescent="0.2">
      <c r="N26" s="210" t="s">
        <v>17</v>
      </c>
    </row>
    <row r="27" spans="1:14" x14ac:dyDescent="0.2">
      <c r="N27" s="210" t="s">
        <v>17</v>
      </c>
    </row>
    <row r="28" spans="1:14" x14ac:dyDescent="0.2">
      <c r="N28" s="210" t="s">
        <v>17</v>
      </c>
    </row>
    <row r="29" spans="1:14" x14ac:dyDescent="0.2">
      <c r="A29" s="427"/>
      <c r="B29" s="428"/>
      <c r="C29" s="428"/>
      <c r="D29" s="428"/>
      <c r="E29" s="428"/>
      <c r="F29" s="428"/>
      <c r="G29" s="428"/>
      <c r="H29" s="428"/>
      <c r="I29" s="428"/>
      <c r="J29" s="428"/>
      <c r="K29" s="428"/>
      <c r="L29" s="428"/>
      <c r="M29" s="428"/>
      <c r="N29" s="210" t="s">
        <v>18</v>
      </c>
    </row>
    <row r="31" spans="1:14" s="414" customFormat="1" ht="21" customHeight="1" x14ac:dyDescent="0.2">
      <c r="A31" s="429"/>
      <c r="B31" s="429"/>
      <c r="C31" s="429"/>
      <c r="D31" s="429"/>
      <c r="E31" s="429"/>
      <c r="F31" s="429"/>
      <c r="G31" s="429"/>
      <c r="H31" s="429"/>
      <c r="I31" s="429"/>
      <c r="J31" s="429"/>
      <c r="K31" s="416"/>
      <c r="N31" s="415"/>
    </row>
    <row r="32" spans="1:14" s="414" customFormat="1" ht="72.75" customHeight="1" x14ac:dyDescent="0.2">
      <c r="A32" s="430"/>
      <c r="B32" s="430"/>
      <c r="C32" s="430"/>
      <c r="D32" s="430"/>
      <c r="E32" s="430"/>
      <c r="F32" s="430"/>
      <c r="G32" s="430"/>
      <c r="H32" s="430"/>
      <c r="I32" s="430"/>
      <c r="J32" s="430"/>
      <c r="K32" s="413"/>
      <c r="N32" s="415"/>
    </row>
    <row r="200" spans="1:1" x14ac:dyDescent="0.2">
      <c r="A200" s="209" t="s">
        <v>301</v>
      </c>
    </row>
    <row r="256" spans="1:1" ht="15.75" x14ac:dyDescent="0.25">
      <c r="A256" s="212" t="s">
        <v>302</v>
      </c>
    </row>
  </sheetData>
  <mergeCells count="3">
    <mergeCell ref="A29:M29"/>
    <mergeCell ref="A31:J31"/>
    <mergeCell ref="A32:J32"/>
  </mergeCells>
  <printOptions horizontalCentered="1"/>
  <pageMargins left="0.75" right="0.75" top="1" bottom="1" header="0.5" footer="0.5"/>
  <pageSetup scale="87"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tabSelected="1" view="pageBreakPreview" zoomScale="80" zoomScaleNormal="100" zoomScaleSheetLayoutView="80" workbookViewId="0">
      <selection activeCell="D9" sqref="D9:D31"/>
    </sheetView>
  </sheetViews>
  <sheetFormatPr defaultRowHeight="14.25" x14ac:dyDescent="0.2"/>
  <cols>
    <col min="1" max="1" width="45.85546875" style="165" customWidth="1"/>
    <col min="2" max="3" width="13.7109375" style="165" customWidth="1"/>
    <col min="4" max="4" width="13.7109375" style="426" customWidth="1"/>
    <col min="5" max="9" width="13.7109375" style="165" customWidth="1"/>
    <col min="10" max="10" width="15" style="165" customWidth="1"/>
    <col min="11" max="11" width="14" style="4" bestFit="1" customWidth="1"/>
    <col min="12" max="12" width="4.5703125" style="165" customWidth="1"/>
    <col min="13" max="13" width="122.85546875" style="165" customWidth="1"/>
    <col min="14" max="15" width="8.28515625" style="165" customWidth="1"/>
    <col min="16" max="16" width="12.7109375" style="165" customWidth="1"/>
    <col min="17" max="18" width="8.28515625" style="165" customWidth="1"/>
    <col min="19" max="19" width="12.7109375" style="165" customWidth="1"/>
    <col min="20" max="16384" width="9.140625" style="165"/>
  </cols>
  <sheetData>
    <row r="1" spans="1:19" ht="18" x14ac:dyDescent="0.25">
      <c r="A1" s="433" t="s">
        <v>113</v>
      </c>
      <c r="B1" s="433"/>
      <c r="C1" s="433"/>
      <c r="D1" s="433"/>
      <c r="E1" s="433"/>
      <c r="F1" s="433"/>
      <c r="G1" s="433"/>
      <c r="H1" s="433"/>
      <c r="I1" s="433"/>
      <c r="J1" s="433"/>
      <c r="K1" s="63" t="s">
        <v>17</v>
      </c>
      <c r="L1" s="6"/>
      <c r="M1" s="108" t="s">
        <v>25</v>
      </c>
      <c r="N1" s="6"/>
      <c r="O1" s="6"/>
      <c r="P1" s="6"/>
      <c r="Q1" s="6"/>
      <c r="R1" s="6"/>
      <c r="S1" s="6"/>
    </row>
    <row r="2" spans="1:19" ht="15" x14ac:dyDescent="0.2">
      <c r="A2" s="434" t="s">
        <v>305</v>
      </c>
      <c r="B2" s="434"/>
      <c r="C2" s="434"/>
      <c r="D2" s="434"/>
      <c r="E2" s="434"/>
      <c r="F2" s="434"/>
      <c r="G2" s="434"/>
      <c r="H2" s="434"/>
      <c r="I2" s="434"/>
      <c r="J2" s="434"/>
      <c r="K2" s="63" t="s">
        <v>17</v>
      </c>
      <c r="L2" s="7"/>
      <c r="M2" s="109"/>
      <c r="N2" s="7"/>
      <c r="O2" s="7"/>
      <c r="P2" s="7"/>
      <c r="Q2" s="7"/>
      <c r="R2" s="7"/>
      <c r="S2" s="7"/>
    </row>
    <row r="3" spans="1:19" ht="15" x14ac:dyDescent="0.25">
      <c r="A3" s="435" t="s">
        <v>1</v>
      </c>
      <c r="B3" s="435"/>
      <c r="C3" s="435"/>
      <c r="D3" s="435"/>
      <c r="E3" s="435"/>
      <c r="F3" s="435"/>
      <c r="G3" s="435"/>
      <c r="H3" s="435"/>
      <c r="I3" s="435"/>
      <c r="J3" s="435"/>
      <c r="K3" s="63" t="s">
        <v>17</v>
      </c>
      <c r="L3" s="189"/>
      <c r="M3" s="109" t="s">
        <v>201</v>
      </c>
      <c r="N3" s="189"/>
      <c r="O3" s="189"/>
      <c r="P3" s="189"/>
      <c r="Q3" s="189"/>
      <c r="R3" s="189"/>
      <c r="S3" s="189"/>
    </row>
    <row r="4" spans="1:19" x14ac:dyDescent="0.2">
      <c r="A4" s="450" t="s">
        <v>2</v>
      </c>
      <c r="B4" s="450"/>
      <c r="C4" s="450"/>
      <c r="D4" s="450"/>
      <c r="E4" s="450"/>
      <c r="F4" s="450"/>
      <c r="G4" s="450"/>
      <c r="H4" s="450"/>
      <c r="I4" s="450"/>
      <c r="J4" s="450"/>
      <c r="K4" s="63" t="s">
        <v>17</v>
      </c>
      <c r="L4" s="188"/>
      <c r="M4" s="109" t="s">
        <v>200</v>
      </c>
      <c r="N4" s="188"/>
      <c r="O4" s="188"/>
      <c r="P4" s="188"/>
      <c r="Q4" s="188"/>
      <c r="R4" s="188"/>
      <c r="S4" s="188"/>
    </row>
    <row r="5" spans="1:19" ht="15.75" thickBot="1" x14ac:dyDescent="0.3">
      <c r="A5" s="450"/>
      <c r="B5" s="450"/>
      <c r="C5" s="450"/>
      <c r="D5" s="450"/>
      <c r="E5" s="450"/>
      <c r="F5" s="450"/>
      <c r="G5" s="450"/>
      <c r="H5" s="450"/>
      <c r="I5" s="450"/>
      <c r="J5" s="450"/>
      <c r="K5" s="63" t="s">
        <v>17</v>
      </c>
      <c r="L5" s="188"/>
      <c r="M5" s="110"/>
      <c r="N5" s="188"/>
      <c r="O5" s="188"/>
      <c r="P5" s="188"/>
      <c r="Q5" s="188"/>
      <c r="R5" s="188"/>
      <c r="S5" s="188"/>
    </row>
    <row r="6" spans="1:19" ht="15" thickBot="1" x14ac:dyDescent="0.25">
      <c r="A6" s="450"/>
      <c r="B6" s="450"/>
      <c r="C6" s="450"/>
      <c r="D6" s="450"/>
      <c r="E6" s="450"/>
      <c r="F6" s="450"/>
      <c r="G6" s="450"/>
      <c r="H6" s="450"/>
      <c r="I6" s="450"/>
      <c r="J6" s="450"/>
      <c r="K6" s="63" t="s">
        <v>17</v>
      </c>
      <c r="L6" s="188"/>
      <c r="M6" s="228"/>
      <c r="N6" s="188"/>
      <c r="O6" s="188"/>
      <c r="P6" s="188"/>
      <c r="Q6" s="188"/>
      <c r="R6" s="188"/>
      <c r="S6" s="188"/>
    </row>
    <row r="7" spans="1:19" ht="48" customHeight="1" x14ac:dyDescent="0.2">
      <c r="A7" s="504" t="s">
        <v>115</v>
      </c>
      <c r="B7" s="506" t="s">
        <v>295</v>
      </c>
      <c r="C7" s="507"/>
      <c r="D7" s="506" t="s">
        <v>297</v>
      </c>
      <c r="E7" s="507"/>
      <c r="F7" s="508" t="s">
        <v>263</v>
      </c>
      <c r="G7" s="509"/>
      <c r="H7" s="509"/>
      <c r="I7" s="509"/>
      <c r="J7" s="510"/>
      <c r="K7" s="63" t="s">
        <v>17</v>
      </c>
    </row>
    <row r="8" spans="1:19" ht="28.5" x14ac:dyDescent="0.2">
      <c r="A8" s="505"/>
      <c r="B8" s="389" t="s">
        <v>3</v>
      </c>
      <c r="C8" s="389" t="s">
        <v>110</v>
      </c>
      <c r="D8" s="420" t="s">
        <v>3</v>
      </c>
      <c r="E8" s="389" t="s">
        <v>110</v>
      </c>
      <c r="F8" s="389" t="s">
        <v>114</v>
      </c>
      <c r="G8" s="389" t="s">
        <v>39</v>
      </c>
      <c r="H8" s="389" t="s">
        <v>43</v>
      </c>
      <c r="I8" s="389" t="s">
        <v>124</v>
      </c>
      <c r="J8" s="390" t="s">
        <v>125</v>
      </c>
      <c r="K8" s="63" t="s">
        <v>17</v>
      </c>
    </row>
    <row r="9" spans="1:19" x14ac:dyDescent="0.2">
      <c r="A9" s="391" t="s">
        <v>393</v>
      </c>
      <c r="B9" s="392">
        <v>333</v>
      </c>
      <c r="C9" s="392">
        <v>1</v>
      </c>
      <c r="D9" s="533">
        <v>333</v>
      </c>
      <c r="E9" s="392">
        <v>1</v>
      </c>
      <c r="F9" s="392">
        <v>0</v>
      </c>
      <c r="G9" s="392">
        <v>0</v>
      </c>
      <c r="H9" s="392">
        <v>0</v>
      </c>
      <c r="I9" s="392">
        <f>D9+F9+G9+H9</f>
        <v>333</v>
      </c>
      <c r="J9" s="393">
        <f>E9</f>
        <v>1</v>
      </c>
      <c r="K9" s="63" t="s">
        <v>17</v>
      </c>
      <c r="M9" s="165" t="s">
        <v>456</v>
      </c>
    </row>
    <row r="10" spans="1:19" x14ac:dyDescent="0.2">
      <c r="A10" s="394" t="s">
        <v>394</v>
      </c>
      <c r="B10" s="395">
        <v>47</v>
      </c>
      <c r="C10" s="395">
        <v>187</v>
      </c>
      <c r="D10" s="421">
        <v>47</v>
      </c>
      <c r="E10" s="395">
        <v>187</v>
      </c>
      <c r="F10" s="395">
        <v>0</v>
      </c>
      <c r="G10" s="395">
        <v>0</v>
      </c>
      <c r="H10" s="395">
        <v>0</v>
      </c>
      <c r="I10" s="395">
        <f t="shared" ref="I10:I41" si="0">D10+F10+G10+H10</f>
        <v>47</v>
      </c>
      <c r="J10" s="396">
        <f t="shared" ref="J10:J41" si="1">E10</f>
        <v>187</v>
      </c>
      <c r="K10" s="63" t="s">
        <v>17</v>
      </c>
      <c r="M10" s="165" t="s">
        <v>457</v>
      </c>
    </row>
    <row r="11" spans="1:19" x14ac:dyDescent="0.2">
      <c r="A11" s="397" t="s">
        <v>395</v>
      </c>
      <c r="B11" s="398">
        <v>750</v>
      </c>
      <c r="C11" s="398">
        <v>20</v>
      </c>
      <c r="D11" s="422">
        <v>750</v>
      </c>
      <c r="E11" s="398">
        <v>20</v>
      </c>
      <c r="F11" s="398">
        <v>0</v>
      </c>
      <c r="G11" s="398">
        <v>0</v>
      </c>
      <c r="H11" s="398">
        <v>0</v>
      </c>
      <c r="I11" s="398">
        <f t="shared" si="0"/>
        <v>750</v>
      </c>
      <c r="J11" s="399">
        <f t="shared" si="1"/>
        <v>20</v>
      </c>
      <c r="K11" s="63" t="s">
        <v>17</v>
      </c>
      <c r="M11" s="165" t="s">
        <v>458</v>
      </c>
    </row>
    <row r="12" spans="1:19" x14ac:dyDescent="0.2">
      <c r="A12" s="400" t="s">
        <v>396</v>
      </c>
      <c r="B12" s="401">
        <v>63</v>
      </c>
      <c r="C12" s="401">
        <v>135</v>
      </c>
      <c r="D12" s="423">
        <v>63</v>
      </c>
      <c r="E12" s="401">
        <v>135</v>
      </c>
      <c r="F12" s="401">
        <v>0</v>
      </c>
      <c r="G12" s="401">
        <v>0</v>
      </c>
      <c r="H12" s="401">
        <v>0</v>
      </c>
      <c r="I12" s="401">
        <f t="shared" si="0"/>
        <v>63</v>
      </c>
      <c r="J12" s="402">
        <f t="shared" si="1"/>
        <v>135</v>
      </c>
      <c r="K12" s="63" t="s">
        <v>17</v>
      </c>
      <c r="M12" s="165" t="s">
        <v>459</v>
      </c>
    </row>
    <row r="13" spans="1:19" x14ac:dyDescent="0.2">
      <c r="A13" s="400" t="s">
        <v>397</v>
      </c>
      <c r="B13" s="401">
        <v>3038</v>
      </c>
      <c r="C13" s="401">
        <v>214</v>
      </c>
      <c r="D13" s="423">
        <v>3046</v>
      </c>
      <c r="E13" s="401">
        <v>207</v>
      </c>
      <c r="F13" s="401">
        <v>0</v>
      </c>
      <c r="G13" s="401">
        <v>2</v>
      </c>
      <c r="H13" s="401">
        <v>0</v>
      </c>
      <c r="I13" s="401">
        <f t="shared" si="0"/>
        <v>3048</v>
      </c>
      <c r="J13" s="402">
        <f t="shared" si="1"/>
        <v>207</v>
      </c>
      <c r="K13" s="63" t="s">
        <v>17</v>
      </c>
    </row>
    <row r="14" spans="1:19" x14ac:dyDescent="0.2">
      <c r="A14" s="400" t="s">
        <v>398</v>
      </c>
      <c r="B14" s="401">
        <v>262</v>
      </c>
      <c r="C14" s="401">
        <v>11</v>
      </c>
      <c r="D14" s="423">
        <v>262</v>
      </c>
      <c r="E14" s="401">
        <v>11</v>
      </c>
      <c r="F14" s="401">
        <v>0</v>
      </c>
      <c r="G14" s="401">
        <v>0</v>
      </c>
      <c r="H14" s="401">
        <v>0</v>
      </c>
      <c r="I14" s="401">
        <f t="shared" si="0"/>
        <v>262</v>
      </c>
      <c r="J14" s="402">
        <f t="shared" si="1"/>
        <v>11</v>
      </c>
      <c r="K14" s="63" t="s">
        <v>17</v>
      </c>
    </row>
    <row r="15" spans="1:19" x14ac:dyDescent="0.2">
      <c r="A15" s="400" t="s">
        <v>399</v>
      </c>
      <c r="B15" s="401">
        <v>7915</v>
      </c>
      <c r="C15" s="401">
        <v>936</v>
      </c>
      <c r="D15" s="423">
        <v>8183</v>
      </c>
      <c r="E15" s="401">
        <v>926</v>
      </c>
      <c r="F15" s="401">
        <v>0</v>
      </c>
      <c r="G15" s="401">
        <v>3</v>
      </c>
      <c r="H15" s="401">
        <v>0</v>
      </c>
      <c r="I15" s="401">
        <f t="shared" si="0"/>
        <v>8186</v>
      </c>
      <c r="J15" s="402">
        <f t="shared" si="1"/>
        <v>926</v>
      </c>
      <c r="K15" s="63" t="s">
        <v>17</v>
      </c>
    </row>
    <row r="16" spans="1:19" x14ac:dyDescent="0.2">
      <c r="A16" s="400" t="s">
        <v>400</v>
      </c>
      <c r="B16" s="401">
        <v>125</v>
      </c>
      <c r="C16" s="401">
        <v>2</v>
      </c>
      <c r="D16" s="423">
        <v>125</v>
      </c>
      <c r="E16" s="401">
        <v>0</v>
      </c>
      <c r="F16" s="401">
        <v>0</v>
      </c>
      <c r="G16" s="401">
        <v>0</v>
      </c>
      <c r="H16" s="401">
        <v>0</v>
      </c>
      <c r="I16" s="401">
        <f t="shared" si="0"/>
        <v>125</v>
      </c>
      <c r="J16" s="402">
        <f t="shared" si="1"/>
        <v>0</v>
      </c>
      <c r="K16" s="63" t="s">
        <v>17</v>
      </c>
    </row>
    <row r="17" spans="1:11" x14ac:dyDescent="0.2">
      <c r="A17" s="400" t="s">
        <v>401</v>
      </c>
      <c r="B17" s="401">
        <v>1008</v>
      </c>
      <c r="C17" s="401">
        <v>83</v>
      </c>
      <c r="D17" s="423">
        <v>1008</v>
      </c>
      <c r="E17" s="401">
        <v>83</v>
      </c>
      <c r="F17" s="401">
        <v>0</v>
      </c>
      <c r="G17" s="401">
        <v>0</v>
      </c>
      <c r="H17" s="401">
        <v>0</v>
      </c>
      <c r="I17" s="401">
        <f t="shared" si="0"/>
        <v>1008</v>
      </c>
      <c r="J17" s="402">
        <f t="shared" si="1"/>
        <v>83</v>
      </c>
      <c r="K17" s="63" t="s">
        <v>17</v>
      </c>
    </row>
    <row r="18" spans="1:11" x14ac:dyDescent="0.2">
      <c r="A18" s="400" t="s">
        <v>402</v>
      </c>
      <c r="B18" s="401">
        <v>72</v>
      </c>
      <c r="C18" s="401">
        <v>1</v>
      </c>
      <c r="D18" s="423">
        <v>72</v>
      </c>
      <c r="E18" s="401">
        <v>1</v>
      </c>
      <c r="F18" s="401">
        <v>0</v>
      </c>
      <c r="G18" s="401">
        <v>0</v>
      </c>
      <c r="H18" s="401">
        <v>0</v>
      </c>
      <c r="I18" s="401">
        <f t="shared" si="0"/>
        <v>72</v>
      </c>
      <c r="J18" s="402">
        <f t="shared" si="1"/>
        <v>1</v>
      </c>
      <c r="K18" s="63" t="s">
        <v>17</v>
      </c>
    </row>
    <row r="19" spans="1:11" x14ac:dyDescent="0.2">
      <c r="A19" s="400" t="s">
        <v>403</v>
      </c>
      <c r="B19" s="401">
        <v>798</v>
      </c>
      <c r="C19" s="401">
        <v>35</v>
      </c>
      <c r="D19" s="423">
        <v>811</v>
      </c>
      <c r="E19" s="401">
        <v>35</v>
      </c>
      <c r="F19" s="401">
        <v>0</v>
      </c>
      <c r="G19" s="401">
        <v>0</v>
      </c>
      <c r="H19" s="401">
        <v>0</v>
      </c>
      <c r="I19" s="401">
        <f t="shared" si="0"/>
        <v>811</v>
      </c>
      <c r="J19" s="402">
        <f t="shared" si="1"/>
        <v>35</v>
      </c>
      <c r="K19" s="63" t="s">
        <v>17</v>
      </c>
    </row>
    <row r="20" spans="1:11" x14ac:dyDescent="0.2">
      <c r="A20" s="400" t="s">
        <v>404</v>
      </c>
      <c r="B20" s="401">
        <v>921</v>
      </c>
      <c r="C20" s="401">
        <v>21</v>
      </c>
      <c r="D20" s="423">
        <v>1021</v>
      </c>
      <c r="E20" s="401">
        <v>21</v>
      </c>
      <c r="F20" s="401">
        <v>0</v>
      </c>
      <c r="G20" s="401">
        <v>0</v>
      </c>
      <c r="H20" s="401">
        <v>0</v>
      </c>
      <c r="I20" s="401">
        <f t="shared" si="0"/>
        <v>1021</v>
      </c>
      <c r="J20" s="402">
        <f t="shared" si="1"/>
        <v>21</v>
      </c>
      <c r="K20" s="63" t="s">
        <v>17</v>
      </c>
    </row>
    <row r="21" spans="1:11" x14ac:dyDescent="0.2">
      <c r="A21" s="400" t="s">
        <v>405</v>
      </c>
      <c r="B21" s="401">
        <v>235</v>
      </c>
      <c r="C21" s="401">
        <v>3</v>
      </c>
      <c r="D21" s="423">
        <v>235</v>
      </c>
      <c r="E21" s="401">
        <v>3</v>
      </c>
      <c r="F21" s="401">
        <v>0</v>
      </c>
      <c r="G21" s="401">
        <v>1</v>
      </c>
      <c r="H21" s="401">
        <v>0</v>
      </c>
      <c r="I21" s="401">
        <f t="shared" si="0"/>
        <v>236</v>
      </c>
      <c r="J21" s="402">
        <f t="shared" si="1"/>
        <v>3</v>
      </c>
      <c r="K21" s="63" t="s">
        <v>17</v>
      </c>
    </row>
    <row r="22" spans="1:11" x14ac:dyDescent="0.2">
      <c r="A22" s="400" t="s">
        <v>116</v>
      </c>
      <c r="B22" s="401">
        <v>913</v>
      </c>
      <c r="C22" s="401">
        <v>7</v>
      </c>
      <c r="D22" s="423">
        <v>913</v>
      </c>
      <c r="E22" s="401">
        <v>7</v>
      </c>
      <c r="F22" s="401">
        <v>0</v>
      </c>
      <c r="G22" s="401">
        <v>0</v>
      </c>
      <c r="H22" s="401">
        <v>0</v>
      </c>
      <c r="I22" s="401">
        <f t="shared" si="0"/>
        <v>913</v>
      </c>
      <c r="J22" s="402">
        <f t="shared" si="1"/>
        <v>7</v>
      </c>
      <c r="K22" s="63" t="s">
        <v>17</v>
      </c>
    </row>
    <row r="23" spans="1:11" x14ac:dyDescent="0.2">
      <c r="A23" s="400" t="s">
        <v>117</v>
      </c>
      <c r="B23" s="401">
        <v>198</v>
      </c>
      <c r="C23" s="401">
        <v>5</v>
      </c>
      <c r="D23" s="423">
        <v>198</v>
      </c>
      <c r="E23" s="401">
        <v>5</v>
      </c>
      <c r="F23" s="401">
        <v>0</v>
      </c>
      <c r="G23" s="401">
        <v>0</v>
      </c>
      <c r="H23" s="401">
        <v>0</v>
      </c>
      <c r="I23" s="401">
        <f t="shared" si="0"/>
        <v>198</v>
      </c>
      <c r="J23" s="402">
        <f t="shared" si="1"/>
        <v>5</v>
      </c>
      <c r="K23" s="63" t="s">
        <v>17</v>
      </c>
    </row>
    <row r="24" spans="1:11" x14ac:dyDescent="0.2">
      <c r="A24" s="400" t="s">
        <v>406</v>
      </c>
      <c r="B24" s="401">
        <v>203</v>
      </c>
      <c r="C24" s="401">
        <v>29</v>
      </c>
      <c r="D24" s="423">
        <v>237</v>
      </c>
      <c r="E24" s="401">
        <v>0</v>
      </c>
      <c r="F24" s="401">
        <v>0</v>
      </c>
      <c r="G24" s="401">
        <v>0</v>
      </c>
      <c r="H24" s="401">
        <v>0</v>
      </c>
      <c r="I24" s="401">
        <f t="shared" si="0"/>
        <v>237</v>
      </c>
      <c r="J24" s="402">
        <f t="shared" si="1"/>
        <v>0</v>
      </c>
      <c r="K24" s="63" t="s">
        <v>17</v>
      </c>
    </row>
    <row r="25" spans="1:11" x14ac:dyDescent="0.2">
      <c r="A25" s="400" t="s">
        <v>118</v>
      </c>
      <c r="B25" s="401">
        <v>294</v>
      </c>
      <c r="C25" s="401">
        <v>14</v>
      </c>
      <c r="D25" s="423">
        <v>294</v>
      </c>
      <c r="E25" s="401">
        <v>14</v>
      </c>
      <c r="F25" s="401">
        <v>0</v>
      </c>
      <c r="G25" s="401">
        <v>0</v>
      </c>
      <c r="H25" s="401">
        <v>0</v>
      </c>
      <c r="I25" s="401">
        <f t="shared" si="0"/>
        <v>294</v>
      </c>
      <c r="J25" s="402">
        <f t="shared" si="1"/>
        <v>14</v>
      </c>
      <c r="K25" s="63" t="s">
        <v>17</v>
      </c>
    </row>
    <row r="26" spans="1:11" x14ac:dyDescent="0.2">
      <c r="A26" s="400" t="s">
        <v>407</v>
      </c>
      <c r="B26" s="401">
        <v>188</v>
      </c>
      <c r="C26" s="401">
        <v>0</v>
      </c>
      <c r="D26" s="423">
        <v>245</v>
      </c>
      <c r="E26" s="401">
        <v>0</v>
      </c>
      <c r="F26" s="401">
        <v>0</v>
      </c>
      <c r="G26" s="401">
        <v>0</v>
      </c>
      <c r="H26" s="401">
        <v>0</v>
      </c>
      <c r="I26" s="401">
        <f t="shared" si="0"/>
        <v>245</v>
      </c>
      <c r="J26" s="402">
        <f t="shared" si="1"/>
        <v>0</v>
      </c>
      <c r="K26" s="63" t="s">
        <v>17</v>
      </c>
    </row>
    <row r="27" spans="1:11" x14ac:dyDescent="0.2">
      <c r="A27" s="400" t="s">
        <v>119</v>
      </c>
      <c r="B27" s="401">
        <v>73</v>
      </c>
      <c r="C27" s="401">
        <v>4</v>
      </c>
      <c r="D27" s="423">
        <v>73</v>
      </c>
      <c r="E27" s="401">
        <v>4</v>
      </c>
      <c r="F27" s="401">
        <v>0</v>
      </c>
      <c r="G27" s="401">
        <v>0</v>
      </c>
      <c r="H27" s="401">
        <v>0</v>
      </c>
      <c r="I27" s="401">
        <f t="shared" si="0"/>
        <v>73</v>
      </c>
      <c r="J27" s="402">
        <f t="shared" si="1"/>
        <v>4</v>
      </c>
      <c r="K27" s="63" t="s">
        <v>17</v>
      </c>
    </row>
    <row r="28" spans="1:11" x14ac:dyDescent="0.2">
      <c r="A28" s="400" t="s">
        <v>408</v>
      </c>
      <c r="B28" s="401">
        <v>81</v>
      </c>
      <c r="C28" s="401">
        <v>4</v>
      </c>
      <c r="D28" s="423">
        <v>81</v>
      </c>
      <c r="E28" s="401">
        <v>4</v>
      </c>
      <c r="F28" s="401">
        <v>0</v>
      </c>
      <c r="G28" s="401">
        <v>0</v>
      </c>
      <c r="H28" s="401">
        <v>0</v>
      </c>
      <c r="I28" s="401">
        <f t="shared" si="0"/>
        <v>81</v>
      </c>
      <c r="J28" s="402">
        <f t="shared" si="1"/>
        <v>4</v>
      </c>
      <c r="K28" s="63" t="s">
        <v>17</v>
      </c>
    </row>
    <row r="29" spans="1:11" x14ac:dyDescent="0.2">
      <c r="A29" s="400" t="s">
        <v>409</v>
      </c>
      <c r="B29" s="401">
        <v>1786</v>
      </c>
      <c r="C29" s="401">
        <v>34</v>
      </c>
      <c r="D29" s="423">
        <v>1810</v>
      </c>
      <c r="E29" s="401">
        <v>34</v>
      </c>
      <c r="F29" s="401">
        <v>0</v>
      </c>
      <c r="G29" s="401">
        <v>0</v>
      </c>
      <c r="H29" s="401">
        <v>0</v>
      </c>
      <c r="I29" s="401">
        <f t="shared" si="0"/>
        <v>1810</v>
      </c>
      <c r="J29" s="402">
        <f t="shared" si="1"/>
        <v>34</v>
      </c>
      <c r="K29" s="63" t="s">
        <v>17</v>
      </c>
    </row>
    <row r="30" spans="1:11" x14ac:dyDescent="0.2">
      <c r="A30" s="400" t="s">
        <v>120</v>
      </c>
      <c r="B30" s="401">
        <v>193</v>
      </c>
      <c r="C30" s="401">
        <v>264</v>
      </c>
      <c r="D30" s="423">
        <v>193</v>
      </c>
      <c r="E30" s="401">
        <v>264</v>
      </c>
      <c r="F30" s="401">
        <v>0</v>
      </c>
      <c r="G30" s="401">
        <v>0</v>
      </c>
      <c r="H30" s="401">
        <v>0</v>
      </c>
      <c r="I30" s="401">
        <f t="shared" si="0"/>
        <v>193</v>
      </c>
      <c r="J30" s="402">
        <f t="shared" si="1"/>
        <v>264</v>
      </c>
      <c r="K30" s="63" t="s">
        <v>17</v>
      </c>
    </row>
    <row r="31" spans="1:11" x14ac:dyDescent="0.2">
      <c r="A31" s="400" t="s">
        <v>121</v>
      </c>
      <c r="B31" s="401">
        <v>12979</v>
      </c>
      <c r="C31" s="401">
        <v>991</v>
      </c>
      <c r="D31" s="423">
        <v>13043</v>
      </c>
      <c r="E31" s="401">
        <v>987</v>
      </c>
      <c r="F31" s="401">
        <v>0</v>
      </c>
      <c r="G31" s="401">
        <v>7</v>
      </c>
      <c r="H31" s="401">
        <v>0</v>
      </c>
      <c r="I31" s="401">
        <f t="shared" si="0"/>
        <v>13050</v>
      </c>
      <c r="J31" s="402">
        <f t="shared" si="1"/>
        <v>987</v>
      </c>
      <c r="K31" s="63" t="s">
        <v>17</v>
      </c>
    </row>
    <row r="32" spans="1:11" x14ac:dyDescent="0.2">
      <c r="A32" s="400" t="s">
        <v>410</v>
      </c>
      <c r="B32" s="401">
        <v>18</v>
      </c>
      <c r="C32" s="401">
        <v>5</v>
      </c>
      <c r="D32" s="423">
        <v>18</v>
      </c>
      <c r="E32" s="401">
        <v>3</v>
      </c>
      <c r="F32" s="401">
        <v>0</v>
      </c>
      <c r="G32" s="401">
        <v>0</v>
      </c>
      <c r="H32" s="401">
        <v>0</v>
      </c>
      <c r="I32" s="401">
        <f t="shared" si="0"/>
        <v>18</v>
      </c>
      <c r="J32" s="402">
        <f t="shared" si="1"/>
        <v>3</v>
      </c>
      <c r="K32" s="63" t="s">
        <v>17</v>
      </c>
    </row>
    <row r="33" spans="1:11" x14ac:dyDescent="0.2">
      <c r="A33" s="400" t="s">
        <v>122</v>
      </c>
      <c r="B33" s="401">
        <v>123</v>
      </c>
      <c r="C33" s="401">
        <v>6</v>
      </c>
      <c r="D33" s="423">
        <v>123</v>
      </c>
      <c r="E33" s="401">
        <v>6</v>
      </c>
      <c r="F33" s="401">
        <v>0</v>
      </c>
      <c r="G33" s="401">
        <v>0</v>
      </c>
      <c r="H33" s="401">
        <v>0</v>
      </c>
      <c r="I33" s="401">
        <f t="shared" si="0"/>
        <v>123</v>
      </c>
      <c r="J33" s="402">
        <f t="shared" si="1"/>
        <v>6</v>
      </c>
      <c r="K33" s="63" t="s">
        <v>17</v>
      </c>
    </row>
    <row r="34" spans="1:11" x14ac:dyDescent="0.2">
      <c r="A34" s="400" t="s">
        <v>411</v>
      </c>
      <c r="B34" s="401">
        <v>24</v>
      </c>
      <c r="C34" s="401">
        <v>0</v>
      </c>
      <c r="D34" s="423">
        <v>24</v>
      </c>
      <c r="E34" s="401">
        <v>0</v>
      </c>
      <c r="F34" s="401">
        <v>0</v>
      </c>
      <c r="G34" s="401">
        <v>0</v>
      </c>
      <c r="H34" s="401">
        <v>0</v>
      </c>
      <c r="I34" s="401">
        <f t="shared" si="0"/>
        <v>24</v>
      </c>
      <c r="J34" s="402">
        <f t="shared" si="1"/>
        <v>0</v>
      </c>
      <c r="K34" s="63" t="s">
        <v>17</v>
      </c>
    </row>
    <row r="35" spans="1:11" x14ac:dyDescent="0.2">
      <c r="A35" s="400" t="s">
        <v>412</v>
      </c>
      <c r="B35" s="401">
        <v>1396</v>
      </c>
      <c r="C35" s="401">
        <v>200</v>
      </c>
      <c r="D35" s="423">
        <v>1430</v>
      </c>
      <c r="E35" s="401">
        <v>200</v>
      </c>
      <c r="F35" s="401">
        <v>0</v>
      </c>
      <c r="G35" s="401">
        <v>1</v>
      </c>
      <c r="H35" s="401">
        <v>0</v>
      </c>
      <c r="I35" s="401">
        <f t="shared" si="0"/>
        <v>1431</v>
      </c>
      <c r="J35" s="402">
        <f t="shared" si="1"/>
        <v>200</v>
      </c>
      <c r="K35" s="63" t="s">
        <v>17</v>
      </c>
    </row>
    <row r="36" spans="1:11" x14ac:dyDescent="0.2">
      <c r="A36" s="400" t="s">
        <v>123</v>
      </c>
      <c r="B36" s="401">
        <v>24</v>
      </c>
      <c r="C36" s="401">
        <v>1</v>
      </c>
      <c r="D36" s="423">
        <v>24</v>
      </c>
      <c r="E36" s="401">
        <v>1</v>
      </c>
      <c r="F36" s="401">
        <v>0</v>
      </c>
      <c r="G36" s="401">
        <v>0</v>
      </c>
      <c r="H36" s="401">
        <v>0</v>
      </c>
      <c r="I36" s="401">
        <f t="shared" si="0"/>
        <v>24</v>
      </c>
      <c r="J36" s="402">
        <f t="shared" si="1"/>
        <v>1</v>
      </c>
      <c r="K36" s="63" t="s">
        <v>17</v>
      </c>
    </row>
    <row r="37" spans="1:11" x14ac:dyDescent="0.2">
      <c r="A37" s="400" t="s">
        <v>413</v>
      </c>
      <c r="B37" s="401">
        <v>294</v>
      </c>
      <c r="C37" s="401">
        <v>28</v>
      </c>
      <c r="D37" s="423">
        <v>294</v>
      </c>
      <c r="E37" s="401">
        <v>28</v>
      </c>
      <c r="F37" s="401">
        <v>0</v>
      </c>
      <c r="G37" s="401">
        <v>0</v>
      </c>
      <c r="H37" s="401">
        <v>0</v>
      </c>
      <c r="I37" s="401">
        <f t="shared" si="0"/>
        <v>294</v>
      </c>
      <c r="J37" s="402">
        <f t="shared" si="1"/>
        <v>28</v>
      </c>
      <c r="K37" s="63" t="s">
        <v>17</v>
      </c>
    </row>
    <row r="38" spans="1:11" ht="15" x14ac:dyDescent="0.25">
      <c r="A38" s="403" t="s">
        <v>30</v>
      </c>
      <c r="B38" s="404">
        <f t="shared" ref="B38:J38" si="2">SUM(B9:B37)</f>
        <v>34354</v>
      </c>
      <c r="C38" s="404">
        <f t="shared" si="2"/>
        <v>3241</v>
      </c>
      <c r="D38" s="424">
        <f t="shared" si="2"/>
        <v>34956</v>
      </c>
      <c r="E38" s="404">
        <f t="shared" si="2"/>
        <v>3187</v>
      </c>
      <c r="F38" s="404">
        <f t="shared" si="2"/>
        <v>0</v>
      </c>
      <c r="G38" s="404">
        <f t="shared" si="2"/>
        <v>14</v>
      </c>
      <c r="H38" s="404">
        <f t="shared" si="2"/>
        <v>0</v>
      </c>
      <c r="I38" s="404">
        <f t="shared" si="2"/>
        <v>34970</v>
      </c>
      <c r="J38" s="405">
        <f t="shared" si="2"/>
        <v>3187</v>
      </c>
      <c r="K38" s="63" t="s">
        <v>17</v>
      </c>
    </row>
    <row r="39" spans="1:11" x14ac:dyDescent="0.2">
      <c r="A39" s="406" t="s">
        <v>126</v>
      </c>
      <c r="B39" s="398">
        <v>12675</v>
      </c>
      <c r="C39" s="398">
        <v>1625</v>
      </c>
      <c r="D39" s="422">
        <v>12415</v>
      </c>
      <c r="E39" s="398">
        <v>1573</v>
      </c>
      <c r="F39" s="398">
        <v>0</v>
      </c>
      <c r="G39" s="398">
        <v>14</v>
      </c>
      <c r="H39" s="398">
        <v>0</v>
      </c>
      <c r="I39" s="398">
        <f t="shared" si="0"/>
        <v>12429</v>
      </c>
      <c r="J39" s="399">
        <f t="shared" si="1"/>
        <v>1573</v>
      </c>
      <c r="K39" s="63" t="s">
        <v>17</v>
      </c>
    </row>
    <row r="40" spans="1:11" x14ac:dyDescent="0.2">
      <c r="A40" s="407" t="s">
        <v>127</v>
      </c>
      <c r="B40" s="401">
        <v>21394</v>
      </c>
      <c r="C40" s="401">
        <v>1616</v>
      </c>
      <c r="D40" s="423">
        <v>22260</v>
      </c>
      <c r="E40" s="401">
        <v>1614</v>
      </c>
      <c r="F40" s="401">
        <v>0</v>
      </c>
      <c r="G40" s="401">
        <v>0</v>
      </c>
      <c r="H40" s="401">
        <v>0</v>
      </c>
      <c r="I40" s="401">
        <f t="shared" si="0"/>
        <v>22260</v>
      </c>
      <c r="J40" s="402">
        <f t="shared" si="1"/>
        <v>1614</v>
      </c>
      <c r="K40" s="63" t="s">
        <v>17</v>
      </c>
    </row>
    <row r="41" spans="1:11" x14ac:dyDescent="0.2">
      <c r="A41" s="407" t="s">
        <v>128</v>
      </c>
      <c r="B41" s="401">
        <v>285</v>
      </c>
      <c r="C41" s="401">
        <v>0</v>
      </c>
      <c r="D41" s="423">
        <v>281</v>
      </c>
      <c r="E41" s="401">
        <v>0</v>
      </c>
      <c r="F41" s="401">
        <v>0</v>
      </c>
      <c r="G41" s="401">
        <v>0</v>
      </c>
      <c r="H41" s="401">
        <v>0</v>
      </c>
      <c r="I41" s="401">
        <f t="shared" si="0"/>
        <v>281</v>
      </c>
      <c r="J41" s="402">
        <f t="shared" si="1"/>
        <v>0</v>
      </c>
      <c r="K41" s="63" t="s">
        <v>17</v>
      </c>
    </row>
    <row r="42" spans="1:11" ht="15" x14ac:dyDescent="0.25">
      <c r="A42" s="403" t="s">
        <v>30</v>
      </c>
      <c r="B42" s="404">
        <f>SUM(B39:B41)</f>
        <v>34354</v>
      </c>
      <c r="C42" s="404">
        <f t="shared" ref="C42:J42" si="3">SUM(C39:C41)</f>
        <v>3241</v>
      </c>
      <c r="D42" s="424">
        <f t="shared" si="3"/>
        <v>34956</v>
      </c>
      <c r="E42" s="404">
        <f t="shared" si="3"/>
        <v>3187</v>
      </c>
      <c r="F42" s="404">
        <f t="shared" si="3"/>
        <v>0</v>
      </c>
      <c r="G42" s="404">
        <f t="shared" si="3"/>
        <v>14</v>
      </c>
      <c r="H42" s="404">
        <f t="shared" si="3"/>
        <v>0</v>
      </c>
      <c r="I42" s="404">
        <f t="shared" si="3"/>
        <v>34970</v>
      </c>
      <c r="J42" s="405">
        <f t="shared" si="3"/>
        <v>3187</v>
      </c>
      <c r="K42" s="63" t="s">
        <v>17</v>
      </c>
    </row>
    <row r="43" spans="1:11" x14ac:dyDescent="0.2">
      <c r="A43" s="408"/>
      <c r="B43" s="408"/>
      <c r="C43" s="408"/>
      <c r="D43" s="425"/>
      <c r="E43" s="408"/>
      <c r="F43" s="408"/>
      <c r="G43" s="408"/>
      <c r="H43" s="408"/>
      <c r="I43" s="408"/>
      <c r="J43" s="408"/>
      <c r="K43" s="63" t="s">
        <v>18</v>
      </c>
    </row>
  </sheetData>
  <mergeCells count="10">
    <mergeCell ref="A7:A8"/>
    <mergeCell ref="B7:C7"/>
    <mergeCell ref="D7:E7"/>
    <mergeCell ref="F7:J7"/>
    <mergeCell ref="A1:J1"/>
    <mergeCell ref="A2:J2"/>
    <mergeCell ref="A3:J3"/>
    <mergeCell ref="A4:J4"/>
    <mergeCell ref="A5:J5"/>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0"/>
  <sheetViews>
    <sheetView view="pageBreakPreview" zoomScale="50" zoomScaleNormal="100" zoomScaleSheetLayoutView="50" workbookViewId="0">
      <selection activeCell="R25" sqref="R25"/>
    </sheetView>
  </sheetViews>
  <sheetFormatPr defaultColWidth="9.140625" defaultRowHeight="14.25" x14ac:dyDescent="0.2"/>
  <cols>
    <col min="1" max="1" width="63.5703125" style="165" customWidth="1"/>
    <col min="2" max="2" width="8.7109375" style="165" customWidth="1"/>
    <col min="3" max="3" width="12.7109375" style="165" customWidth="1"/>
    <col min="4" max="4" width="8.7109375" style="165" customWidth="1"/>
    <col min="5" max="5" width="12.7109375" style="165" customWidth="1"/>
    <col min="6" max="6" width="8.7109375" style="165" customWidth="1"/>
    <col min="7" max="7" width="15.7109375" style="165" bestFit="1" customWidth="1"/>
    <col min="8" max="8" width="8.7109375" style="165" customWidth="1"/>
    <col min="9" max="9" width="12.7109375" style="165" customWidth="1"/>
    <col min="10" max="10" width="8.7109375" style="165" customWidth="1"/>
    <col min="11" max="11" width="12.7109375" style="165" customWidth="1"/>
    <col min="12" max="12" width="8.7109375" style="165" customWidth="1"/>
    <col min="13" max="14" width="12.7109375" style="165" customWidth="1"/>
    <col min="15" max="15" width="14.28515625" style="165" bestFit="1" customWidth="1"/>
    <col min="16" max="16" width="14" style="4" bestFit="1" customWidth="1"/>
    <col min="17" max="17" width="4.5703125" style="165" customWidth="1"/>
    <col min="18" max="18" width="122.85546875" style="165" customWidth="1"/>
    <col min="19" max="20" width="8.28515625" style="165" customWidth="1"/>
    <col min="21" max="21" width="12.7109375" style="165" customWidth="1"/>
    <col min="22" max="23" width="8.28515625" style="165" customWidth="1"/>
    <col min="24" max="24" width="12.7109375" style="165" customWidth="1"/>
    <col min="25" max="16384" width="9.140625" style="165"/>
  </cols>
  <sheetData>
    <row r="1" spans="1:24" ht="18" x14ac:dyDescent="0.25">
      <c r="A1" s="511" t="s">
        <v>161</v>
      </c>
      <c r="B1" s="511"/>
      <c r="C1" s="511"/>
      <c r="D1" s="511"/>
      <c r="E1" s="511"/>
      <c r="F1" s="511"/>
      <c r="G1" s="511"/>
      <c r="H1" s="511"/>
      <c r="I1" s="511"/>
      <c r="J1" s="511"/>
      <c r="K1" s="511"/>
      <c r="L1" s="511"/>
      <c r="M1" s="511"/>
      <c r="N1" s="511"/>
      <c r="O1" s="511"/>
      <c r="P1" s="63" t="s">
        <v>17</v>
      </c>
      <c r="Q1" s="6"/>
      <c r="R1" s="108" t="s">
        <v>25</v>
      </c>
      <c r="S1" s="6"/>
      <c r="T1" s="6"/>
      <c r="U1" s="6"/>
      <c r="V1" s="6"/>
      <c r="W1" s="6"/>
      <c r="X1" s="6"/>
    </row>
    <row r="2" spans="1:24" ht="15" x14ac:dyDescent="0.2">
      <c r="A2" s="512" t="s">
        <v>305</v>
      </c>
      <c r="B2" s="512"/>
      <c r="C2" s="512"/>
      <c r="D2" s="512"/>
      <c r="E2" s="512"/>
      <c r="F2" s="512"/>
      <c r="G2" s="512"/>
      <c r="H2" s="512"/>
      <c r="I2" s="512"/>
      <c r="J2" s="512"/>
      <c r="K2" s="512"/>
      <c r="L2" s="512"/>
      <c r="M2" s="512"/>
      <c r="N2" s="512"/>
      <c r="O2" s="512"/>
      <c r="P2" s="63" t="s">
        <v>17</v>
      </c>
      <c r="Q2" s="7"/>
      <c r="R2" s="109"/>
      <c r="S2" s="7"/>
      <c r="T2" s="7"/>
      <c r="U2" s="7"/>
      <c r="V2" s="7"/>
      <c r="W2" s="7"/>
      <c r="X2" s="7"/>
    </row>
    <row r="3" spans="1:24" ht="15" x14ac:dyDescent="0.25">
      <c r="A3" s="472" t="s">
        <v>1</v>
      </c>
      <c r="B3" s="472"/>
      <c r="C3" s="472"/>
      <c r="D3" s="472"/>
      <c r="E3" s="472"/>
      <c r="F3" s="472"/>
      <c r="G3" s="472"/>
      <c r="H3" s="472"/>
      <c r="I3" s="472"/>
      <c r="J3" s="472"/>
      <c r="K3" s="472"/>
      <c r="L3" s="472"/>
      <c r="M3" s="472"/>
      <c r="N3" s="472"/>
      <c r="O3" s="472"/>
      <c r="P3" s="63" t="s">
        <v>17</v>
      </c>
      <c r="Q3" s="189"/>
      <c r="R3" s="109" t="s">
        <v>201</v>
      </c>
      <c r="S3" s="189"/>
      <c r="T3" s="189"/>
      <c r="U3" s="189"/>
      <c r="V3" s="189"/>
      <c r="W3" s="189"/>
      <c r="X3" s="189"/>
    </row>
    <row r="4" spans="1:24" x14ac:dyDescent="0.2">
      <c r="A4" s="513" t="s">
        <v>2</v>
      </c>
      <c r="B4" s="513"/>
      <c r="C4" s="513"/>
      <c r="D4" s="513"/>
      <c r="E4" s="513"/>
      <c r="F4" s="513"/>
      <c r="G4" s="513"/>
      <c r="H4" s="513"/>
      <c r="I4" s="513"/>
      <c r="J4" s="513"/>
      <c r="K4" s="513"/>
      <c r="L4" s="513"/>
      <c r="M4" s="513"/>
      <c r="N4" s="513"/>
      <c r="O4" s="513"/>
      <c r="P4" s="63" t="s">
        <v>17</v>
      </c>
      <c r="Q4" s="188"/>
      <c r="R4" s="109" t="s">
        <v>200</v>
      </c>
      <c r="S4" s="188"/>
      <c r="T4" s="188"/>
      <c r="U4" s="188"/>
      <c r="V4" s="188"/>
      <c r="W4" s="188"/>
      <c r="X4" s="188"/>
    </row>
    <row r="5" spans="1:24" ht="15.75" thickBot="1" x14ac:dyDescent="0.3">
      <c r="A5" s="513"/>
      <c r="B5" s="513"/>
      <c r="C5" s="513"/>
      <c r="D5" s="513"/>
      <c r="E5" s="513"/>
      <c r="F5" s="513"/>
      <c r="G5" s="513"/>
      <c r="H5" s="513"/>
      <c r="I5" s="513"/>
      <c r="J5" s="513"/>
      <c r="K5" s="513"/>
      <c r="L5" s="513"/>
      <c r="M5" s="513"/>
      <c r="N5" s="412"/>
      <c r="O5" s="412"/>
      <c r="P5" s="63" t="s">
        <v>17</v>
      </c>
      <c r="Q5" s="188"/>
      <c r="R5" s="110"/>
      <c r="S5" s="188"/>
      <c r="T5" s="188"/>
      <c r="U5" s="188"/>
      <c r="V5" s="188"/>
      <c r="W5" s="188"/>
      <c r="X5" s="188"/>
    </row>
    <row r="6" spans="1:24" ht="15" x14ac:dyDescent="0.2">
      <c r="A6" s="500" t="s">
        <v>162</v>
      </c>
      <c r="B6" s="514" t="s">
        <v>306</v>
      </c>
      <c r="C6" s="517"/>
      <c r="D6" s="517"/>
      <c r="E6" s="517"/>
      <c r="F6" s="517"/>
      <c r="G6" s="517"/>
      <c r="H6" s="514" t="s">
        <v>331</v>
      </c>
      <c r="I6" s="517"/>
      <c r="J6" s="517"/>
      <c r="K6" s="517"/>
      <c r="L6" s="517"/>
      <c r="M6" s="515"/>
      <c r="N6" s="65"/>
      <c r="O6" s="65"/>
      <c r="P6" s="63" t="s">
        <v>17</v>
      </c>
    </row>
    <row r="7" spans="1:24" ht="50.25" customHeight="1" x14ac:dyDescent="0.2">
      <c r="A7" s="516"/>
      <c r="B7" s="514" t="s">
        <v>414</v>
      </c>
      <c r="C7" s="515"/>
      <c r="D7" s="514" t="s">
        <v>415</v>
      </c>
      <c r="E7" s="515"/>
      <c r="F7" s="514" t="s">
        <v>416</v>
      </c>
      <c r="G7" s="515"/>
      <c r="H7" s="514" t="s">
        <v>414</v>
      </c>
      <c r="I7" s="515"/>
      <c r="J7" s="514" t="s">
        <v>415</v>
      </c>
      <c r="K7" s="515"/>
      <c r="L7" s="514" t="s">
        <v>416</v>
      </c>
      <c r="M7" s="515"/>
      <c r="N7" s="65"/>
      <c r="O7" s="65"/>
      <c r="P7" s="63" t="s">
        <v>17</v>
      </c>
    </row>
    <row r="8" spans="1:24" ht="28.5" x14ac:dyDescent="0.2">
      <c r="A8" s="501"/>
      <c r="B8" s="229" t="s">
        <v>3</v>
      </c>
      <c r="C8" s="229" t="s">
        <v>4</v>
      </c>
      <c r="D8" s="229" t="s">
        <v>3</v>
      </c>
      <c r="E8" s="229" t="s">
        <v>4</v>
      </c>
      <c r="F8" s="229" t="s">
        <v>3</v>
      </c>
      <c r="G8" s="229" t="s">
        <v>4</v>
      </c>
      <c r="H8" s="229" t="s">
        <v>3</v>
      </c>
      <c r="I8" s="229" t="s">
        <v>4</v>
      </c>
      <c r="J8" s="229" t="s">
        <v>3</v>
      </c>
      <c r="K8" s="229" t="s">
        <v>4</v>
      </c>
      <c r="L8" s="309" t="s">
        <v>3</v>
      </c>
      <c r="M8" s="229" t="s">
        <v>4</v>
      </c>
      <c r="N8" s="310"/>
      <c r="O8" s="310"/>
      <c r="P8" s="63" t="s">
        <v>17</v>
      </c>
      <c r="R8" s="165" t="s">
        <v>221</v>
      </c>
    </row>
    <row r="9" spans="1:24" x14ac:dyDescent="0.2">
      <c r="A9" s="316" t="s">
        <v>163</v>
      </c>
      <c r="B9" s="261">
        <v>0</v>
      </c>
      <c r="C9" s="261">
        <v>0</v>
      </c>
      <c r="D9" s="317">
        <v>0</v>
      </c>
      <c r="E9" s="317">
        <f>13267*2/1000</f>
        <v>26.533999999999999</v>
      </c>
      <c r="F9" s="317">
        <v>0</v>
      </c>
      <c r="G9" s="272">
        <v>0</v>
      </c>
      <c r="H9" s="261">
        <v>0</v>
      </c>
      <c r="I9" s="261">
        <v>0</v>
      </c>
      <c r="J9" s="317">
        <f>1*2</f>
        <v>2</v>
      </c>
      <c r="K9" s="317">
        <f>34494*2/1000</f>
        <v>68.988</v>
      </c>
      <c r="L9" s="317">
        <v>0</v>
      </c>
      <c r="M9" s="272">
        <v>0</v>
      </c>
      <c r="N9" s="314"/>
      <c r="O9" s="314"/>
      <c r="P9" s="63" t="s">
        <v>17</v>
      </c>
      <c r="R9" s="315"/>
    </row>
    <row r="10" spans="1:24" x14ac:dyDescent="0.2">
      <c r="A10" s="316" t="s">
        <v>164</v>
      </c>
      <c r="B10" s="261">
        <v>0</v>
      </c>
      <c r="C10" s="261">
        <v>0</v>
      </c>
      <c r="D10" s="317">
        <v>0</v>
      </c>
      <c r="E10" s="317">
        <f>9246*2/1000</f>
        <v>18.492000000000001</v>
      </c>
      <c r="F10" s="317">
        <v>0</v>
      </c>
      <c r="G10" s="272">
        <v>0</v>
      </c>
      <c r="H10" s="261">
        <v>0</v>
      </c>
      <c r="I10" s="261">
        <v>0</v>
      </c>
      <c r="J10" s="317">
        <f>1*2</f>
        <v>2</v>
      </c>
      <c r="K10" s="317">
        <f>24040*2/1000</f>
        <v>48.08</v>
      </c>
      <c r="L10" s="317">
        <v>0</v>
      </c>
      <c r="M10" s="272">
        <v>0</v>
      </c>
      <c r="N10" s="314"/>
      <c r="O10" s="314"/>
      <c r="P10" s="63" t="s">
        <v>17</v>
      </c>
      <c r="R10" s="315" t="s">
        <v>222</v>
      </c>
    </row>
    <row r="11" spans="1:24" x14ac:dyDescent="0.2">
      <c r="A11" s="316" t="s">
        <v>165</v>
      </c>
      <c r="B11" s="261">
        <v>0</v>
      </c>
      <c r="C11" s="261">
        <v>0</v>
      </c>
      <c r="D11" s="317">
        <f>2*2</f>
        <v>4</v>
      </c>
      <c r="E11" s="317">
        <f>81614*2/1000</f>
        <v>163.22800000000001</v>
      </c>
      <c r="F11" s="317">
        <v>0</v>
      </c>
      <c r="G11" s="272">
        <v>0</v>
      </c>
      <c r="H11" s="261">
        <v>0</v>
      </c>
      <c r="I11" s="261">
        <v>0</v>
      </c>
      <c r="J11" s="317">
        <f>2*2</f>
        <v>4</v>
      </c>
      <c r="K11" s="317">
        <f>48968*2/1000</f>
        <v>97.936000000000007</v>
      </c>
      <c r="L11" s="317">
        <v>0</v>
      </c>
      <c r="M11" s="272">
        <v>0</v>
      </c>
      <c r="N11" s="314"/>
      <c r="O11" s="314"/>
      <c r="P11" s="63" t="s">
        <v>17</v>
      </c>
      <c r="R11" s="315"/>
    </row>
    <row r="12" spans="1:24" x14ac:dyDescent="0.2">
      <c r="A12" s="316" t="s">
        <v>166</v>
      </c>
      <c r="B12" s="261">
        <v>0</v>
      </c>
      <c r="C12" s="261">
        <v>0</v>
      </c>
      <c r="D12" s="317">
        <f>1*2</f>
        <v>2</v>
      </c>
      <c r="E12" s="317">
        <f>43999*2/1000</f>
        <v>87.998000000000005</v>
      </c>
      <c r="F12" s="317">
        <v>0</v>
      </c>
      <c r="G12" s="272">
        <v>0</v>
      </c>
      <c r="H12" s="261">
        <v>0</v>
      </c>
      <c r="I12" s="261">
        <v>0</v>
      </c>
      <c r="J12" s="317">
        <f>4*2</f>
        <v>8</v>
      </c>
      <c r="K12" s="317">
        <f>114398*2/1000</f>
        <v>228.79599999999999</v>
      </c>
      <c r="L12" s="317">
        <v>0</v>
      </c>
      <c r="M12" s="272">
        <v>0</v>
      </c>
      <c r="N12" s="314"/>
      <c r="O12" s="314"/>
      <c r="P12" s="63" t="s">
        <v>17</v>
      </c>
      <c r="R12" s="315"/>
    </row>
    <row r="13" spans="1:24" x14ac:dyDescent="0.2">
      <c r="A13" s="311" t="s">
        <v>167</v>
      </c>
      <c r="B13" s="255">
        <f t="shared" ref="B13:M13" si="0">SUM(B9:B12)</f>
        <v>0</v>
      </c>
      <c r="C13" s="255">
        <f t="shared" si="0"/>
        <v>0</v>
      </c>
      <c r="D13" s="312">
        <f t="shared" si="0"/>
        <v>6</v>
      </c>
      <c r="E13" s="312">
        <f t="shared" si="0"/>
        <v>296.25200000000001</v>
      </c>
      <c r="F13" s="312">
        <f t="shared" si="0"/>
        <v>0</v>
      </c>
      <c r="G13" s="313">
        <f t="shared" si="0"/>
        <v>0</v>
      </c>
      <c r="H13" s="255">
        <f t="shared" si="0"/>
        <v>0</v>
      </c>
      <c r="I13" s="255">
        <f t="shared" si="0"/>
        <v>0</v>
      </c>
      <c r="J13" s="312">
        <f t="shared" si="0"/>
        <v>16</v>
      </c>
      <c r="K13" s="312">
        <f t="shared" si="0"/>
        <v>443.8</v>
      </c>
      <c r="L13" s="312">
        <f t="shared" si="0"/>
        <v>0</v>
      </c>
      <c r="M13" s="313">
        <f t="shared" si="0"/>
        <v>0</v>
      </c>
      <c r="N13" s="314"/>
      <c r="O13" s="314"/>
      <c r="P13" s="63" t="s">
        <v>17</v>
      </c>
      <c r="R13" s="315"/>
    </row>
    <row r="14" spans="1:24" x14ac:dyDescent="0.2">
      <c r="A14" s="321" t="s">
        <v>168</v>
      </c>
      <c r="B14" s="261">
        <f>-B13*0.5</f>
        <v>0</v>
      </c>
      <c r="C14" s="261">
        <f t="shared" ref="C14:L14" si="1">-C13*0.5</f>
        <v>0</v>
      </c>
      <c r="D14" s="317">
        <f>-D13*0.5</f>
        <v>-3</v>
      </c>
      <c r="E14" s="317">
        <f t="shared" si="1"/>
        <v>-148.126</v>
      </c>
      <c r="F14" s="317">
        <f t="shared" si="1"/>
        <v>0</v>
      </c>
      <c r="G14" s="272">
        <v>0</v>
      </c>
      <c r="H14" s="261">
        <f t="shared" si="1"/>
        <v>0</v>
      </c>
      <c r="I14" s="261">
        <f t="shared" si="1"/>
        <v>0</v>
      </c>
      <c r="J14" s="317">
        <f t="shared" si="1"/>
        <v>-8</v>
      </c>
      <c r="K14" s="317">
        <f t="shared" si="1"/>
        <v>-221.9</v>
      </c>
      <c r="L14" s="317">
        <f t="shared" si="1"/>
        <v>0</v>
      </c>
      <c r="M14" s="272">
        <v>0</v>
      </c>
      <c r="N14" s="314"/>
      <c r="O14" s="314"/>
      <c r="P14" s="63" t="s">
        <v>17</v>
      </c>
      <c r="R14" s="315" t="s">
        <v>223</v>
      </c>
    </row>
    <row r="15" spans="1:24" x14ac:dyDescent="0.2">
      <c r="A15" s="316" t="s">
        <v>197</v>
      </c>
      <c r="B15" s="261"/>
      <c r="C15" s="261">
        <v>0</v>
      </c>
      <c r="D15" s="317"/>
      <c r="E15" s="317">
        <f>13291/1000</f>
        <v>13.291</v>
      </c>
      <c r="F15" s="317"/>
      <c r="G15" s="272">
        <v>0</v>
      </c>
      <c r="H15" s="261"/>
      <c r="I15" s="261">
        <v>0</v>
      </c>
      <c r="J15" s="317"/>
      <c r="K15" s="317">
        <f>30622/1000</f>
        <v>30.622</v>
      </c>
      <c r="L15" s="317"/>
      <c r="M15" s="272">
        <v>0</v>
      </c>
      <c r="N15" s="314"/>
      <c r="O15" s="314"/>
      <c r="P15" s="63" t="s">
        <v>17</v>
      </c>
      <c r="R15" s="315" t="s">
        <v>224</v>
      </c>
    </row>
    <row r="16" spans="1:24" x14ac:dyDescent="0.2">
      <c r="A16" s="318" t="s">
        <v>169</v>
      </c>
      <c r="B16" s="281">
        <f>SUM(B13:B15)</f>
        <v>0</v>
      </c>
      <c r="C16" s="281">
        <f t="shared" ref="C16:M16" si="2">SUM(C13:C15)</f>
        <v>0</v>
      </c>
      <c r="D16" s="319">
        <f>SUM(D13:D15)</f>
        <v>3</v>
      </c>
      <c r="E16" s="319">
        <f>SUM(E13:E15)</f>
        <v>161.417</v>
      </c>
      <c r="F16" s="319">
        <f t="shared" si="2"/>
        <v>0</v>
      </c>
      <c r="G16" s="320">
        <f t="shared" si="2"/>
        <v>0</v>
      </c>
      <c r="H16" s="281">
        <f t="shared" si="2"/>
        <v>0</v>
      </c>
      <c r="I16" s="281">
        <f t="shared" si="2"/>
        <v>0</v>
      </c>
      <c r="J16" s="319">
        <f t="shared" si="2"/>
        <v>8</v>
      </c>
      <c r="K16" s="319">
        <f t="shared" si="2"/>
        <v>252.52199999999999</v>
      </c>
      <c r="L16" s="319">
        <f t="shared" si="2"/>
        <v>0</v>
      </c>
      <c r="M16" s="320">
        <f t="shared" si="2"/>
        <v>0</v>
      </c>
      <c r="N16" s="314"/>
      <c r="O16" s="314"/>
      <c r="P16" s="63" t="s">
        <v>17</v>
      </c>
    </row>
    <row r="17" spans="1:16" x14ac:dyDescent="0.2">
      <c r="A17" s="316" t="s">
        <v>417</v>
      </c>
      <c r="B17" s="255"/>
      <c r="C17" s="255">
        <v>0</v>
      </c>
      <c r="D17" s="255"/>
      <c r="E17" s="255">
        <f>69823/1000</f>
        <v>69.822999999999993</v>
      </c>
      <c r="F17" s="255"/>
      <c r="G17" s="255">
        <v>0</v>
      </c>
      <c r="H17" s="255"/>
      <c r="I17" s="255"/>
      <c r="J17" s="255"/>
      <c r="K17" s="255">
        <f>116251/1000</f>
        <v>116.251</v>
      </c>
      <c r="L17" s="255"/>
      <c r="M17" s="255">
        <v>0</v>
      </c>
      <c r="N17" s="314"/>
      <c r="O17" s="314"/>
      <c r="P17" s="63" t="s">
        <v>17</v>
      </c>
    </row>
    <row r="18" spans="1:16" x14ac:dyDescent="0.2">
      <c r="A18" s="316" t="s">
        <v>138</v>
      </c>
      <c r="B18" s="261"/>
      <c r="C18" s="261">
        <v>0</v>
      </c>
      <c r="D18" s="317"/>
      <c r="E18" s="261">
        <f>24996/1000</f>
        <v>24.995999999999999</v>
      </c>
      <c r="F18" s="317"/>
      <c r="G18" s="323">
        <f>-961457/1000</f>
        <v>-961.45699999999999</v>
      </c>
      <c r="H18" s="261"/>
      <c r="I18" s="261">
        <v>0</v>
      </c>
      <c r="J18" s="317"/>
      <c r="K18" s="261">
        <f>41647/1000</f>
        <v>41.646999999999998</v>
      </c>
      <c r="L18" s="317"/>
      <c r="M18" s="323">
        <f>-1508237/1000</f>
        <v>-1508.2370000000001</v>
      </c>
      <c r="N18" s="314"/>
      <c r="O18" s="314"/>
      <c r="P18" s="63" t="s">
        <v>17</v>
      </c>
    </row>
    <row r="19" spans="1:16" x14ac:dyDescent="0.2">
      <c r="A19" s="316" t="s">
        <v>198</v>
      </c>
      <c r="B19" s="261"/>
      <c r="C19" s="261">
        <v>0</v>
      </c>
      <c r="D19" s="317"/>
      <c r="E19" s="261">
        <f>8799/1000</f>
        <v>8.7989999999999995</v>
      </c>
      <c r="F19" s="317"/>
      <c r="G19" s="323">
        <f>-542057/1000</f>
        <v>-542.05700000000002</v>
      </c>
      <c r="H19" s="261"/>
      <c r="I19" s="261">
        <v>0</v>
      </c>
      <c r="J19" s="317"/>
      <c r="K19" s="317">
        <f>15502/1000</f>
        <v>15.502000000000001</v>
      </c>
      <c r="L19" s="317"/>
      <c r="M19" s="323">
        <f>-850323/1000</f>
        <v>-850.32299999999998</v>
      </c>
      <c r="N19" s="314"/>
      <c r="O19" s="314"/>
      <c r="P19" s="63" t="s">
        <v>17</v>
      </c>
    </row>
    <row r="20" spans="1:16" x14ac:dyDescent="0.2">
      <c r="A20" s="316" t="s">
        <v>141</v>
      </c>
      <c r="B20" s="261"/>
      <c r="C20" s="261">
        <v>0</v>
      </c>
      <c r="D20" s="317"/>
      <c r="E20" s="317">
        <f>3885/1000</f>
        <v>3.8849999999999998</v>
      </c>
      <c r="F20" s="317"/>
      <c r="G20" s="323">
        <f>-1028799/1000</f>
        <v>-1028.799</v>
      </c>
      <c r="H20" s="261"/>
      <c r="I20" s="261">
        <v>0</v>
      </c>
      <c r="J20" s="317"/>
      <c r="K20" s="317">
        <f>6846/1000</f>
        <v>6.8460000000000001</v>
      </c>
      <c r="L20" s="317"/>
      <c r="M20" s="323">
        <f>-1613875/1000</f>
        <v>-1613.875</v>
      </c>
      <c r="N20" s="314"/>
      <c r="O20" s="314"/>
      <c r="P20" s="63" t="s">
        <v>17</v>
      </c>
    </row>
    <row r="21" spans="1:16" x14ac:dyDescent="0.2">
      <c r="A21" s="316" t="s">
        <v>142</v>
      </c>
      <c r="B21" s="261"/>
      <c r="C21" s="261">
        <v>0</v>
      </c>
      <c r="D21" s="317"/>
      <c r="E21" s="317">
        <f>11401/1000</f>
        <v>11.401</v>
      </c>
      <c r="F21" s="317"/>
      <c r="G21" s="261">
        <v>0</v>
      </c>
      <c r="H21" s="261"/>
      <c r="I21" s="261">
        <v>0</v>
      </c>
      <c r="J21" s="317"/>
      <c r="K21" s="317">
        <f>20087/1000</f>
        <v>20.087</v>
      </c>
      <c r="L21" s="317"/>
      <c r="M21" s="261">
        <v>0</v>
      </c>
      <c r="N21" s="314"/>
      <c r="O21" s="314"/>
      <c r="P21" s="63" t="s">
        <v>17</v>
      </c>
    </row>
    <row r="22" spans="1:16" x14ac:dyDescent="0.2">
      <c r="A22" s="316" t="s">
        <v>143</v>
      </c>
      <c r="B22" s="261"/>
      <c r="C22" s="261">
        <v>0</v>
      </c>
      <c r="D22" s="317"/>
      <c r="E22" s="317">
        <f>2555/1000</f>
        <v>2.5550000000000002</v>
      </c>
      <c r="F22" s="317"/>
      <c r="G22" s="323">
        <f>-3686090/1000</f>
        <v>-3686.09</v>
      </c>
      <c r="H22" s="261"/>
      <c r="I22" s="261">
        <v>0</v>
      </c>
      <c r="J22" s="317"/>
      <c r="K22" s="317">
        <f>4496/1000</f>
        <v>4.4960000000000004</v>
      </c>
      <c r="L22" s="317"/>
      <c r="M22" s="323">
        <f>-5782362/1000</f>
        <v>-5782.3620000000001</v>
      </c>
      <c r="N22" s="314"/>
      <c r="O22" s="314"/>
      <c r="P22" s="63" t="s">
        <v>17</v>
      </c>
    </row>
    <row r="23" spans="1:16" x14ac:dyDescent="0.2">
      <c r="A23" s="316" t="s">
        <v>144</v>
      </c>
      <c r="B23" s="261"/>
      <c r="C23" s="261">
        <v>0</v>
      </c>
      <c r="D23" s="317"/>
      <c r="E23" s="317">
        <f>212633/1000</f>
        <v>212.63300000000001</v>
      </c>
      <c r="F23" s="317"/>
      <c r="G23" s="323">
        <f>-6899944/1000</f>
        <v>-6899.9440000000004</v>
      </c>
      <c r="H23" s="261"/>
      <c r="I23" s="261">
        <v>0</v>
      </c>
      <c r="J23" s="317"/>
      <c r="K23" s="317">
        <f>394769/1000</f>
        <v>394.76900000000001</v>
      </c>
      <c r="L23" s="317"/>
      <c r="M23" s="323">
        <f>-10823927/1000</f>
        <v>-10823.927</v>
      </c>
      <c r="N23" s="314"/>
      <c r="O23" s="314"/>
      <c r="P23" s="63" t="s">
        <v>17</v>
      </c>
    </row>
    <row r="24" spans="1:16" x14ac:dyDescent="0.2">
      <c r="A24" s="316" t="s">
        <v>146</v>
      </c>
      <c r="B24" s="261"/>
      <c r="C24" s="261">
        <v>0</v>
      </c>
      <c r="D24" s="317"/>
      <c r="E24" s="317">
        <f>33686/1000</f>
        <v>33.686</v>
      </c>
      <c r="F24" s="317"/>
      <c r="G24" s="261">
        <v>0</v>
      </c>
      <c r="H24" s="261"/>
      <c r="I24" s="261"/>
      <c r="J24" s="317"/>
      <c r="K24" s="317">
        <f>59353/1000</f>
        <v>59.353000000000002</v>
      </c>
      <c r="L24" s="317"/>
      <c r="M24" s="261">
        <v>0</v>
      </c>
      <c r="N24" s="314"/>
      <c r="O24" s="314"/>
      <c r="P24" s="63" t="s">
        <v>17</v>
      </c>
    </row>
    <row r="25" spans="1:16" x14ac:dyDescent="0.2">
      <c r="A25" s="316" t="s">
        <v>147</v>
      </c>
      <c r="B25" s="261"/>
      <c r="C25" s="261">
        <v>0</v>
      </c>
      <c r="D25" s="317"/>
      <c r="E25" s="317">
        <v>0</v>
      </c>
      <c r="F25" s="317"/>
      <c r="G25" s="323">
        <f>-312032/1000</f>
        <v>-312.03199999999998</v>
      </c>
      <c r="H25" s="261"/>
      <c r="I25" s="261">
        <v>0</v>
      </c>
      <c r="J25" s="317"/>
      <c r="K25" s="317">
        <v>0</v>
      </c>
      <c r="L25" s="317"/>
      <c r="M25" s="323">
        <f>-489483/1000</f>
        <v>-489.483</v>
      </c>
      <c r="N25" s="314"/>
      <c r="O25" s="314"/>
      <c r="P25" s="63" t="s">
        <v>17</v>
      </c>
    </row>
    <row r="26" spans="1:16" x14ac:dyDescent="0.2">
      <c r="A26" s="316" t="s">
        <v>148</v>
      </c>
      <c r="B26" s="261"/>
      <c r="C26" s="261">
        <v>0</v>
      </c>
      <c r="D26" s="317"/>
      <c r="E26" s="317">
        <v>0</v>
      </c>
      <c r="F26" s="317"/>
      <c r="G26" s="323">
        <f>-790828/1000</f>
        <v>-790.82799999999997</v>
      </c>
      <c r="H26" s="261"/>
      <c r="I26" s="261">
        <v>0</v>
      </c>
      <c r="J26" s="317"/>
      <c r="K26" s="317">
        <v>0</v>
      </c>
      <c r="L26" s="317"/>
      <c r="M26" s="323">
        <f>-1240568/1000</f>
        <v>-1240.568</v>
      </c>
      <c r="N26" s="314"/>
      <c r="O26" s="314"/>
      <c r="P26" s="63" t="s">
        <v>17</v>
      </c>
    </row>
    <row r="27" spans="1:16" x14ac:dyDescent="0.2">
      <c r="A27" s="316" t="s">
        <v>150</v>
      </c>
      <c r="B27" s="261"/>
      <c r="C27" s="261">
        <v>0</v>
      </c>
      <c r="D27" s="317"/>
      <c r="E27" s="317">
        <f>11240/1000</f>
        <v>11.24</v>
      </c>
      <c r="F27" s="317"/>
      <c r="G27" s="323">
        <f>-1076389/1000</f>
        <v>-1076.3889999999999</v>
      </c>
      <c r="H27" s="261"/>
      <c r="I27" s="261">
        <v>0</v>
      </c>
      <c r="J27" s="317"/>
      <c r="K27" s="317">
        <f>20174/1000</f>
        <v>20.173999999999999</v>
      </c>
      <c r="L27" s="317"/>
      <c r="M27" s="323">
        <f>-1688532/1000</f>
        <v>-1688.5319999999999</v>
      </c>
      <c r="N27" s="314"/>
      <c r="O27" s="314"/>
      <c r="P27" s="63" t="s">
        <v>17</v>
      </c>
    </row>
    <row r="28" spans="1:16" x14ac:dyDescent="0.2">
      <c r="A28" s="316" t="s">
        <v>151</v>
      </c>
      <c r="B28" s="261"/>
      <c r="C28" s="261">
        <v>3000</v>
      </c>
      <c r="D28" s="317"/>
      <c r="E28" s="317">
        <f>203108/1000</f>
        <v>203.108</v>
      </c>
      <c r="F28" s="317"/>
      <c r="G28" s="323">
        <f>-2199622/1000</f>
        <v>-2199.6219999999998</v>
      </c>
      <c r="H28" s="261"/>
      <c r="I28" s="261">
        <v>3600</v>
      </c>
      <c r="J28" s="317"/>
      <c r="K28" s="317">
        <f>617809/1000</f>
        <v>617.80899999999997</v>
      </c>
      <c r="L28" s="317"/>
      <c r="M28" s="323">
        <f>-3450542/1000</f>
        <v>-3450.5419999999999</v>
      </c>
      <c r="N28" s="314"/>
      <c r="O28" s="314"/>
      <c r="P28" s="63" t="s">
        <v>17</v>
      </c>
    </row>
    <row r="29" spans="1:16" x14ac:dyDescent="0.2">
      <c r="A29" s="316" t="s">
        <v>152</v>
      </c>
      <c r="B29" s="261"/>
      <c r="C29" s="261">
        <v>0</v>
      </c>
      <c r="D29" s="317"/>
      <c r="E29" s="317">
        <v>0</v>
      </c>
      <c r="F29" s="317"/>
      <c r="G29" s="323">
        <f>-25792/1000</f>
        <v>-25.792000000000002</v>
      </c>
      <c r="H29" s="261"/>
      <c r="I29" s="261">
        <v>0</v>
      </c>
      <c r="J29" s="317"/>
      <c r="K29" s="317">
        <v>0</v>
      </c>
      <c r="L29" s="317"/>
      <c r="M29" s="323">
        <f>-40451/1000</f>
        <v>-40.451000000000001</v>
      </c>
      <c r="N29" s="314"/>
      <c r="O29" s="314"/>
      <c r="P29" s="63" t="s">
        <v>17</v>
      </c>
    </row>
    <row r="30" spans="1:16" x14ac:dyDescent="0.2">
      <c r="A30" s="325" t="s">
        <v>418</v>
      </c>
      <c r="B30" s="322"/>
      <c r="C30" s="322">
        <v>0</v>
      </c>
      <c r="D30" s="317"/>
      <c r="E30" s="317">
        <v>0</v>
      </c>
      <c r="F30" s="317"/>
      <c r="G30" s="324">
        <f>-20696597/1000</f>
        <v>-20696.597000000002</v>
      </c>
      <c r="H30" s="322"/>
      <c r="I30" s="322">
        <v>0</v>
      </c>
      <c r="J30" s="317"/>
      <c r="K30" s="317">
        <v>0</v>
      </c>
      <c r="L30" s="317"/>
      <c r="M30" s="324">
        <f>-42943168/1000</f>
        <v>-42943.167999999998</v>
      </c>
      <c r="N30" s="314"/>
      <c r="O30" s="314"/>
      <c r="P30" s="63" t="s">
        <v>17</v>
      </c>
    </row>
    <row r="31" spans="1:16" ht="15" x14ac:dyDescent="0.25">
      <c r="A31" s="74" t="s">
        <v>196</v>
      </c>
      <c r="B31" s="137">
        <f>SUM(B16:B28)</f>
        <v>0</v>
      </c>
      <c r="C31" s="137">
        <f t="shared" ref="C31:L31" si="3">SUM(C16:C28)</f>
        <v>3000</v>
      </c>
      <c r="D31" s="326">
        <f>SUM(D16:D28)</f>
        <v>3</v>
      </c>
      <c r="E31" s="326">
        <f>SUM(E16:E28)</f>
        <v>743.54300000000012</v>
      </c>
      <c r="F31" s="326">
        <f t="shared" si="3"/>
        <v>0</v>
      </c>
      <c r="G31" s="327">
        <f>SUM(G16:G30)</f>
        <v>-38219.607000000004</v>
      </c>
      <c r="H31" s="137">
        <f t="shared" si="3"/>
        <v>0</v>
      </c>
      <c r="I31" s="137">
        <f t="shared" si="3"/>
        <v>3600</v>
      </c>
      <c r="J31" s="326">
        <f t="shared" si="3"/>
        <v>8</v>
      </c>
      <c r="K31" s="326">
        <f t="shared" si="3"/>
        <v>1549.4559999999999</v>
      </c>
      <c r="L31" s="326">
        <f t="shared" si="3"/>
        <v>0</v>
      </c>
      <c r="M31" s="327">
        <f>SUM(M16:M30)</f>
        <v>-70431.467999999993</v>
      </c>
      <c r="N31" s="72"/>
      <c r="O31" s="72"/>
      <c r="P31" s="63" t="s">
        <v>17</v>
      </c>
    </row>
    <row r="32" spans="1:16" ht="15" x14ac:dyDescent="0.25">
      <c r="A32" s="73"/>
      <c r="B32" s="72"/>
      <c r="C32" s="72"/>
      <c r="D32" s="72"/>
      <c r="E32" s="72"/>
      <c r="F32" s="72"/>
      <c r="G32" s="72"/>
      <c r="H32" s="72"/>
      <c r="I32" s="72"/>
      <c r="J32" s="72"/>
      <c r="K32" s="72"/>
      <c r="L32" s="72"/>
      <c r="M32" s="72"/>
      <c r="N32" s="72"/>
      <c r="O32" s="72"/>
      <c r="P32" s="63" t="s">
        <v>17</v>
      </c>
    </row>
    <row r="33" spans="1:16" x14ac:dyDescent="0.2">
      <c r="A33" s="314"/>
      <c r="B33" s="314"/>
      <c r="C33" s="314"/>
      <c r="D33" s="314"/>
      <c r="E33" s="314"/>
      <c r="F33" s="314"/>
      <c r="G33" s="314"/>
      <c r="H33" s="314"/>
      <c r="I33" s="314"/>
      <c r="J33" s="314"/>
      <c r="K33" s="314"/>
      <c r="L33" s="314"/>
      <c r="M33" s="314"/>
      <c r="P33" s="63" t="s">
        <v>17</v>
      </c>
    </row>
    <row r="34" spans="1:16" ht="15" x14ac:dyDescent="0.2">
      <c r="A34" s="500" t="s">
        <v>162</v>
      </c>
      <c r="B34" s="514" t="s">
        <v>332</v>
      </c>
      <c r="C34" s="517"/>
      <c r="D34" s="517"/>
      <c r="E34" s="517"/>
      <c r="F34" s="517"/>
      <c r="G34" s="517"/>
      <c r="H34" s="514" t="s">
        <v>333</v>
      </c>
      <c r="I34" s="517"/>
      <c r="J34" s="517"/>
      <c r="K34" s="517"/>
      <c r="L34" s="517"/>
      <c r="M34" s="515"/>
      <c r="N34" s="518" t="s">
        <v>16</v>
      </c>
      <c r="O34" s="519"/>
      <c r="P34" s="63" t="s">
        <v>17</v>
      </c>
    </row>
    <row r="35" spans="1:16" ht="53.25" customHeight="1" x14ac:dyDescent="0.2">
      <c r="A35" s="516"/>
      <c r="B35" s="514" t="s">
        <v>414</v>
      </c>
      <c r="C35" s="515"/>
      <c r="D35" s="514" t="s">
        <v>415</v>
      </c>
      <c r="E35" s="515"/>
      <c r="F35" s="514" t="s">
        <v>416</v>
      </c>
      <c r="G35" s="515"/>
      <c r="H35" s="514" t="s">
        <v>414</v>
      </c>
      <c r="I35" s="515"/>
      <c r="J35" s="514" t="s">
        <v>415</v>
      </c>
      <c r="K35" s="515"/>
      <c r="L35" s="514" t="s">
        <v>416</v>
      </c>
      <c r="M35" s="515"/>
      <c r="N35" s="520"/>
      <c r="O35" s="521"/>
      <c r="P35" s="63" t="s">
        <v>17</v>
      </c>
    </row>
    <row r="36" spans="1:16" ht="28.5" x14ac:dyDescent="0.2">
      <c r="A36" s="501"/>
      <c r="B36" s="229" t="s">
        <v>3</v>
      </c>
      <c r="C36" s="229" t="s">
        <v>4</v>
      </c>
      <c r="D36" s="229" t="s">
        <v>3</v>
      </c>
      <c r="E36" s="229" t="s">
        <v>4</v>
      </c>
      <c r="F36" s="229" t="s">
        <v>3</v>
      </c>
      <c r="G36" s="229" t="s">
        <v>4</v>
      </c>
      <c r="H36" s="229" t="s">
        <v>3</v>
      </c>
      <c r="I36" s="229" t="s">
        <v>4</v>
      </c>
      <c r="J36" s="229" t="s">
        <v>3</v>
      </c>
      <c r="K36" s="229" t="s">
        <v>4</v>
      </c>
      <c r="L36" s="229" t="s">
        <v>3</v>
      </c>
      <c r="M36" s="229" t="s">
        <v>4</v>
      </c>
      <c r="N36" s="229" t="s">
        <v>3</v>
      </c>
      <c r="O36" s="229" t="s">
        <v>4</v>
      </c>
      <c r="P36" s="63" t="s">
        <v>17</v>
      </c>
    </row>
    <row r="37" spans="1:16" x14ac:dyDescent="0.2">
      <c r="A37" s="316" t="s">
        <v>163</v>
      </c>
      <c r="B37" s="261">
        <v>0</v>
      </c>
      <c r="C37" s="261">
        <v>0</v>
      </c>
      <c r="D37" s="317">
        <v>0</v>
      </c>
      <c r="E37" s="317">
        <f>16584*2/1000</f>
        <v>33.167999999999999</v>
      </c>
      <c r="F37" s="317">
        <v>0</v>
      </c>
      <c r="G37" s="272">
        <v>0</v>
      </c>
      <c r="H37" s="261">
        <v>0</v>
      </c>
      <c r="I37" s="261">
        <v>0</v>
      </c>
      <c r="J37" s="317">
        <v>0</v>
      </c>
      <c r="K37" s="317">
        <f>1990*2/1000</f>
        <v>3.98</v>
      </c>
      <c r="L37" s="317">
        <v>0</v>
      </c>
      <c r="M37" s="272">
        <v>0</v>
      </c>
      <c r="N37" s="261">
        <f t="shared" ref="N37:O42" si="4">B9+D9+F9+H9+J9+L9+B37+D37+F37+H37+J37+L37</f>
        <v>2</v>
      </c>
      <c r="O37" s="261">
        <f t="shared" si="4"/>
        <v>132.66999999999999</v>
      </c>
      <c r="P37" s="63" t="s">
        <v>17</v>
      </c>
    </row>
    <row r="38" spans="1:16" x14ac:dyDescent="0.2">
      <c r="A38" s="316" t="s">
        <v>164</v>
      </c>
      <c r="B38" s="261">
        <v>0</v>
      </c>
      <c r="C38" s="261">
        <v>0</v>
      </c>
      <c r="D38" s="317">
        <v>0</v>
      </c>
      <c r="E38" s="317">
        <f>11558*2/1000</f>
        <v>23.116</v>
      </c>
      <c r="F38" s="317">
        <v>0</v>
      </c>
      <c r="G38" s="272">
        <v>0</v>
      </c>
      <c r="H38" s="261">
        <v>0</v>
      </c>
      <c r="I38" s="261">
        <v>0</v>
      </c>
      <c r="J38" s="317">
        <v>0</v>
      </c>
      <c r="K38" s="317">
        <f>1387*2/1000</f>
        <v>2.774</v>
      </c>
      <c r="L38" s="317">
        <v>0</v>
      </c>
      <c r="M38" s="272">
        <v>0</v>
      </c>
      <c r="N38" s="261">
        <f t="shared" si="4"/>
        <v>2</v>
      </c>
      <c r="O38" s="261">
        <f t="shared" si="4"/>
        <v>92.462000000000003</v>
      </c>
      <c r="P38" s="63" t="s">
        <v>17</v>
      </c>
    </row>
    <row r="39" spans="1:16" x14ac:dyDescent="0.2">
      <c r="A39" s="316" t="s">
        <v>165</v>
      </c>
      <c r="B39" s="261">
        <v>0</v>
      </c>
      <c r="C39" s="261">
        <v>0</v>
      </c>
      <c r="D39" s="317">
        <f>1*2</f>
        <v>2</v>
      </c>
      <c r="E39" s="317">
        <f>23543*2/1000</f>
        <v>47.085999999999999</v>
      </c>
      <c r="F39" s="317">
        <v>0</v>
      </c>
      <c r="G39" s="272">
        <v>0</v>
      </c>
      <c r="H39" s="261">
        <v>0</v>
      </c>
      <c r="I39" s="261">
        <v>0</v>
      </c>
      <c r="J39" s="317">
        <v>0</v>
      </c>
      <c r="K39" s="317">
        <f>2825*2/1000</f>
        <v>5.65</v>
      </c>
      <c r="L39" s="317">
        <v>0</v>
      </c>
      <c r="M39" s="272">
        <v>0</v>
      </c>
      <c r="N39" s="261">
        <f t="shared" si="4"/>
        <v>10</v>
      </c>
      <c r="O39" s="261">
        <f t="shared" si="4"/>
        <v>313.89999999999998</v>
      </c>
      <c r="P39" s="63" t="s">
        <v>17</v>
      </c>
    </row>
    <row r="40" spans="1:16" x14ac:dyDescent="0.2">
      <c r="A40" s="316" t="s">
        <v>166</v>
      </c>
      <c r="B40" s="261">
        <v>0</v>
      </c>
      <c r="C40" s="261">
        <v>0</v>
      </c>
      <c r="D40" s="317">
        <f>2*2</f>
        <v>4</v>
      </c>
      <c r="E40" s="317">
        <f>54999*2/1000</f>
        <v>109.998</v>
      </c>
      <c r="F40" s="317">
        <v>0</v>
      </c>
      <c r="G40" s="272">
        <v>0</v>
      </c>
      <c r="H40" s="261">
        <v>0</v>
      </c>
      <c r="I40" s="261">
        <v>0</v>
      </c>
      <c r="J40" s="317">
        <v>0</v>
      </c>
      <c r="K40" s="317">
        <f>6600*2/1000</f>
        <v>13.2</v>
      </c>
      <c r="L40" s="317">
        <v>0</v>
      </c>
      <c r="M40" s="272">
        <v>0</v>
      </c>
      <c r="N40" s="261">
        <f t="shared" si="4"/>
        <v>14</v>
      </c>
      <c r="O40" s="261">
        <f t="shared" si="4"/>
        <v>439.99199999999996</v>
      </c>
      <c r="P40" s="63" t="s">
        <v>17</v>
      </c>
    </row>
    <row r="41" spans="1:16" x14ac:dyDescent="0.2">
      <c r="A41" s="311" t="s">
        <v>167</v>
      </c>
      <c r="B41" s="255">
        <f t="shared" ref="B41:M41" si="5">SUM(B37:B40)</f>
        <v>0</v>
      </c>
      <c r="C41" s="255">
        <f t="shared" si="5"/>
        <v>0</v>
      </c>
      <c r="D41" s="312">
        <f t="shared" si="5"/>
        <v>6</v>
      </c>
      <c r="E41" s="312">
        <f t="shared" si="5"/>
        <v>213.36799999999999</v>
      </c>
      <c r="F41" s="312">
        <f t="shared" si="5"/>
        <v>0</v>
      </c>
      <c r="G41" s="313">
        <f t="shared" si="5"/>
        <v>0</v>
      </c>
      <c r="H41" s="255">
        <f t="shared" si="5"/>
        <v>0</v>
      </c>
      <c r="I41" s="255">
        <f t="shared" si="5"/>
        <v>0</v>
      </c>
      <c r="J41" s="312">
        <f t="shared" si="5"/>
        <v>0</v>
      </c>
      <c r="K41" s="312">
        <f t="shared" si="5"/>
        <v>25.603999999999999</v>
      </c>
      <c r="L41" s="312">
        <f t="shared" si="5"/>
        <v>0</v>
      </c>
      <c r="M41" s="313">
        <f t="shared" si="5"/>
        <v>0</v>
      </c>
      <c r="N41" s="255">
        <f t="shared" si="4"/>
        <v>28</v>
      </c>
      <c r="O41" s="255">
        <f t="shared" si="4"/>
        <v>979.02400000000011</v>
      </c>
      <c r="P41" s="63" t="s">
        <v>17</v>
      </c>
    </row>
    <row r="42" spans="1:16" x14ac:dyDescent="0.2">
      <c r="A42" s="321" t="s">
        <v>168</v>
      </c>
      <c r="B42" s="261">
        <f>-B41*0.5</f>
        <v>0</v>
      </c>
      <c r="C42" s="261">
        <f t="shared" ref="C42:L42" si="6">-C41*0.5</f>
        <v>0</v>
      </c>
      <c r="D42" s="317">
        <f t="shared" si="6"/>
        <v>-3</v>
      </c>
      <c r="E42" s="317">
        <f t="shared" si="6"/>
        <v>-106.684</v>
      </c>
      <c r="F42" s="317">
        <f t="shared" si="6"/>
        <v>0</v>
      </c>
      <c r="G42" s="272"/>
      <c r="H42" s="261">
        <f t="shared" si="6"/>
        <v>0</v>
      </c>
      <c r="I42" s="261">
        <f t="shared" si="6"/>
        <v>0</v>
      </c>
      <c r="J42" s="317">
        <f t="shared" si="6"/>
        <v>0</v>
      </c>
      <c r="K42" s="317">
        <f t="shared" si="6"/>
        <v>-12.802</v>
      </c>
      <c r="L42" s="317">
        <f t="shared" si="6"/>
        <v>0</v>
      </c>
      <c r="M42" s="272">
        <v>0</v>
      </c>
      <c r="N42" s="261">
        <f t="shared" si="4"/>
        <v>-14</v>
      </c>
      <c r="O42" s="261">
        <f t="shared" si="4"/>
        <v>-489.51200000000006</v>
      </c>
      <c r="P42" s="63" t="s">
        <v>17</v>
      </c>
    </row>
    <row r="43" spans="1:16" x14ac:dyDescent="0.2">
      <c r="A43" s="316" t="s">
        <v>197</v>
      </c>
      <c r="B43" s="261"/>
      <c r="C43" s="261">
        <v>0</v>
      </c>
      <c r="D43" s="317"/>
      <c r="E43" s="317">
        <f>14722/1000</f>
        <v>14.722</v>
      </c>
      <c r="F43" s="317"/>
      <c r="G43" s="272">
        <v>0</v>
      </c>
      <c r="H43" s="261"/>
      <c r="I43" s="261">
        <v>0</v>
      </c>
      <c r="J43" s="317"/>
      <c r="K43" s="317">
        <f>1766/1000</f>
        <v>1.766</v>
      </c>
      <c r="L43" s="317"/>
      <c r="M43" s="272">
        <v>0</v>
      </c>
      <c r="N43" s="261"/>
      <c r="O43" s="261">
        <f t="shared" ref="O43:O55" si="7">C15+E15+G15+I15+K15+M15+C43+E43+G43+I43+K43+M43</f>
        <v>60.400999999999996</v>
      </c>
      <c r="P43" s="63" t="s">
        <v>17</v>
      </c>
    </row>
    <row r="44" spans="1:16" x14ac:dyDescent="0.2">
      <c r="A44" s="318" t="s">
        <v>169</v>
      </c>
      <c r="B44" s="281">
        <f>SUM(B41:B43)</f>
        <v>0</v>
      </c>
      <c r="C44" s="281">
        <f t="shared" ref="C44:M44" si="8">SUM(C41:C43)</f>
        <v>0</v>
      </c>
      <c r="D44" s="319">
        <f t="shared" si="8"/>
        <v>3</v>
      </c>
      <c r="E44" s="319">
        <f t="shared" si="8"/>
        <v>121.40599999999999</v>
      </c>
      <c r="F44" s="319">
        <f t="shared" si="8"/>
        <v>0</v>
      </c>
      <c r="G44" s="320">
        <f t="shared" si="8"/>
        <v>0</v>
      </c>
      <c r="H44" s="281">
        <f t="shared" si="8"/>
        <v>0</v>
      </c>
      <c r="I44" s="281">
        <f t="shared" si="8"/>
        <v>0</v>
      </c>
      <c r="J44" s="319">
        <f t="shared" si="8"/>
        <v>0</v>
      </c>
      <c r="K44" s="319">
        <f t="shared" si="8"/>
        <v>14.568</v>
      </c>
      <c r="L44" s="319">
        <f t="shared" si="8"/>
        <v>0</v>
      </c>
      <c r="M44" s="320">
        <f t="shared" si="8"/>
        <v>0</v>
      </c>
      <c r="N44" s="281">
        <f>B16+D16+F16+H16+J16+L16+B44+D44+F44+H44+J44+L44</f>
        <v>14</v>
      </c>
      <c r="O44" s="281">
        <f t="shared" si="7"/>
        <v>549.9129999999999</v>
      </c>
      <c r="P44" s="63" t="s">
        <v>17</v>
      </c>
    </row>
    <row r="45" spans="1:16" x14ac:dyDescent="0.2">
      <c r="A45" s="316" t="s">
        <v>417</v>
      </c>
      <c r="B45" s="255"/>
      <c r="C45" s="255">
        <v>0</v>
      </c>
      <c r="D45" s="255"/>
      <c r="E45" s="255">
        <f>63843/1000</f>
        <v>63.843000000000004</v>
      </c>
      <c r="F45" s="255"/>
      <c r="G45" s="255">
        <v>0</v>
      </c>
      <c r="H45" s="255"/>
      <c r="I45" s="255">
        <v>0</v>
      </c>
      <c r="J45" s="255"/>
      <c r="K45" s="255">
        <f>8395/1000</f>
        <v>8.3949999999999996</v>
      </c>
      <c r="L45" s="255"/>
      <c r="M45" s="255">
        <v>0</v>
      </c>
      <c r="N45" s="261"/>
      <c r="O45" s="261">
        <f t="shared" si="7"/>
        <v>258.31200000000001</v>
      </c>
      <c r="P45" s="63" t="s">
        <v>17</v>
      </c>
    </row>
    <row r="46" spans="1:16" x14ac:dyDescent="0.2">
      <c r="A46" s="316" t="s">
        <v>138</v>
      </c>
      <c r="B46" s="261"/>
      <c r="C46" s="261">
        <v>0</v>
      </c>
      <c r="D46" s="261"/>
      <c r="E46" s="261">
        <f>32848/1000</f>
        <v>32.847999999999999</v>
      </c>
      <c r="F46" s="317"/>
      <c r="G46" s="323">
        <f>-947841/1000</f>
        <v>-947.84100000000001</v>
      </c>
      <c r="H46" s="261"/>
      <c r="I46" s="261">
        <v>0</v>
      </c>
      <c r="J46" s="261"/>
      <c r="K46" s="261">
        <f>5124/1000</f>
        <v>5.1239999999999997</v>
      </c>
      <c r="L46" s="317"/>
      <c r="M46" s="272">
        <v>0</v>
      </c>
      <c r="N46" s="261"/>
      <c r="O46" s="323">
        <f t="shared" si="7"/>
        <v>-3312.92</v>
      </c>
      <c r="P46" s="63" t="s">
        <v>17</v>
      </c>
    </row>
    <row r="47" spans="1:16" x14ac:dyDescent="0.2">
      <c r="A47" s="316" t="s">
        <v>198</v>
      </c>
      <c r="B47" s="261"/>
      <c r="C47" s="261">
        <v>0</v>
      </c>
      <c r="D47" s="317"/>
      <c r="E47" s="317">
        <f>15084/1000</f>
        <v>15.084</v>
      </c>
      <c r="F47" s="317"/>
      <c r="G47" s="323">
        <f>-547706/1000</f>
        <v>-547.70600000000002</v>
      </c>
      <c r="H47" s="261"/>
      <c r="I47" s="261">
        <v>0</v>
      </c>
      <c r="J47" s="261"/>
      <c r="K47" s="261">
        <f>2514/1000</f>
        <v>2.5139999999999998</v>
      </c>
      <c r="L47" s="317"/>
      <c r="M47" s="272">
        <v>0</v>
      </c>
      <c r="N47" s="261"/>
      <c r="O47" s="323">
        <f t="shared" si="7"/>
        <v>-1898.1870000000001</v>
      </c>
      <c r="P47" s="63" t="s">
        <v>17</v>
      </c>
    </row>
    <row r="48" spans="1:16" x14ac:dyDescent="0.2">
      <c r="A48" s="316" t="s">
        <v>141</v>
      </c>
      <c r="B48" s="261"/>
      <c r="C48" s="261">
        <v>0</v>
      </c>
      <c r="D48" s="317"/>
      <c r="E48" s="317">
        <f>6663/1000</f>
        <v>6.6630000000000003</v>
      </c>
      <c r="F48" s="317"/>
      <c r="G48" s="323">
        <f>-1081565/1000</f>
        <v>-1081.5650000000001</v>
      </c>
      <c r="H48" s="261"/>
      <c r="I48" s="261">
        <v>0</v>
      </c>
      <c r="J48" s="317"/>
      <c r="K48" s="261">
        <f>1110/1000</f>
        <v>1.1100000000000001</v>
      </c>
      <c r="L48" s="317"/>
      <c r="M48" s="272">
        <v>0</v>
      </c>
      <c r="N48" s="261"/>
      <c r="O48" s="323">
        <f t="shared" si="7"/>
        <v>-3705.7350000000001</v>
      </c>
      <c r="P48" s="63" t="s">
        <v>17</v>
      </c>
    </row>
    <row r="49" spans="1:16" x14ac:dyDescent="0.2">
      <c r="A49" s="316" t="s">
        <v>142</v>
      </c>
      <c r="B49" s="261"/>
      <c r="C49" s="261">
        <v>0</v>
      </c>
      <c r="D49" s="317"/>
      <c r="E49" s="317">
        <f>19546/1000</f>
        <v>19.545999999999999</v>
      </c>
      <c r="F49" s="317"/>
      <c r="G49" s="261">
        <v>0</v>
      </c>
      <c r="H49" s="261"/>
      <c r="I49" s="261">
        <v>0</v>
      </c>
      <c r="J49" s="317"/>
      <c r="K49" s="317">
        <f>3258/1000</f>
        <v>3.258</v>
      </c>
      <c r="L49" s="317"/>
      <c r="M49" s="272">
        <v>0</v>
      </c>
      <c r="N49" s="261"/>
      <c r="O49" s="261">
        <f t="shared" si="7"/>
        <v>54.292000000000002</v>
      </c>
      <c r="P49" s="63" t="s">
        <v>17</v>
      </c>
    </row>
    <row r="50" spans="1:16" x14ac:dyDescent="0.2">
      <c r="A50" s="316" t="s">
        <v>143</v>
      </c>
      <c r="B50" s="261"/>
      <c r="C50" s="261">
        <v>0</v>
      </c>
      <c r="D50" s="317"/>
      <c r="E50" s="317">
        <f>4378/1000</f>
        <v>4.3780000000000001</v>
      </c>
      <c r="F50" s="317"/>
      <c r="G50" s="323">
        <f>-3551279/1000</f>
        <v>-3551.279</v>
      </c>
      <c r="H50" s="261"/>
      <c r="I50" s="261">
        <v>0</v>
      </c>
      <c r="J50" s="317"/>
      <c r="K50" s="317">
        <f>730/1000</f>
        <v>0.73</v>
      </c>
      <c r="L50" s="317"/>
      <c r="M50" s="272">
        <v>0</v>
      </c>
      <c r="N50" s="261"/>
      <c r="O50" s="323">
        <f t="shared" si="7"/>
        <v>-13007.572</v>
      </c>
      <c r="P50" s="63" t="s">
        <v>17</v>
      </c>
    </row>
    <row r="51" spans="1:16" x14ac:dyDescent="0.2">
      <c r="A51" s="316" t="s">
        <v>144</v>
      </c>
      <c r="B51" s="261"/>
      <c r="C51" s="261">
        <v>0</v>
      </c>
      <c r="D51" s="317"/>
      <c r="E51" s="317">
        <f>250076/1000</f>
        <v>250.07599999999999</v>
      </c>
      <c r="F51" s="317"/>
      <c r="G51" s="323">
        <f>-6802224/1000</f>
        <v>-6802.2240000000002</v>
      </c>
      <c r="H51" s="261"/>
      <c r="I51" s="261">
        <v>0</v>
      </c>
      <c r="J51" s="317"/>
      <c r="K51" s="317">
        <f>35566/1000</f>
        <v>35.566000000000003</v>
      </c>
      <c r="L51" s="317"/>
      <c r="M51" s="272">
        <v>0</v>
      </c>
      <c r="N51" s="261"/>
      <c r="O51" s="323">
        <f t="shared" si="7"/>
        <v>-23633.050999999999</v>
      </c>
      <c r="P51" s="63" t="s">
        <v>17</v>
      </c>
    </row>
    <row r="52" spans="1:16" x14ac:dyDescent="0.2">
      <c r="A52" s="316" t="s">
        <v>146</v>
      </c>
      <c r="B52" s="261"/>
      <c r="C52" s="261">
        <v>0</v>
      </c>
      <c r="D52" s="317"/>
      <c r="E52" s="317">
        <f>57750/1000</f>
        <v>57.75</v>
      </c>
      <c r="F52" s="317"/>
      <c r="G52" s="261">
        <v>0</v>
      </c>
      <c r="H52" s="261"/>
      <c r="I52" s="261">
        <v>0</v>
      </c>
      <c r="J52" s="317"/>
      <c r="K52" s="317">
        <f>9624/1000</f>
        <v>9.6240000000000006</v>
      </c>
      <c r="L52" s="317"/>
      <c r="M52" s="272">
        <v>0</v>
      </c>
      <c r="N52" s="261"/>
      <c r="O52" s="261">
        <f t="shared" si="7"/>
        <v>160.41299999999998</v>
      </c>
      <c r="P52" s="63" t="s">
        <v>17</v>
      </c>
    </row>
    <row r="53" spans="1:16" x14ac:dyDescent="0.2">
      <c r="A53" s="316" t="s">
        <v>147</v>
      </c>
      <c r="B53" s="261"/>
      <c r="C53" s="261">
        <v>0</v>
      </c>
      <c r="D53" s="317"/>
      <c r="E53" s="317">
        <v>0</v>
      </c>
      <c r="F53" s="317"/>
      <c r="G53" s="323">
        <f>-307613/1000</f>
        <v>-307.613</v>
      </c>
      <c r="H53" s="261"/>
      <c r="I53" s="261">
        <v>0</v>
      </c>
      <c r="J53" s="317"/>
      <c r="K53" s="317">
        <v>0</v>
      </c>
      <c r="L53" s="317"/>
      <c r="M53" s="272">
        <v>0</v>
      </c>
      <c r="N53" s="261"/>
      <c r="O53" s="323">
        <f t="shared" si="7"/>
        <v>-1109.1279999999999</v>
      </c>
      <c r="P53" s="63" t="s">
        <v>17</v>
      </c>
    </row>
    <row r="54" spans="1:16" x14ac:dyDescent="0.2">
      <c r="A54" s="316" t="s">
        <v>148</v>
      </c>
      <c r="B54" s="261"/>
      <c r="C54" s="261">
        <v>0</v>
      </c>
      <c r="D54" s="317"/>
      <c r="E54" s="317">
        <v>0</v>
      </c>
      <c r="F54" s="317"/>
      <c r="G54" s="323">
        <f>-779626/1000</f>
        <v>-779.62599999999998</v>
      </c>
      <c r="H54" s="261"/>
      <c r="I54" s="261">
        <v>0</v>
      </c>
      <c r="J54" s="317"/>
      <c r="K54" s="317">
        <v>0</v>
      </c>
      <c r="L54" s="317"/>
      <c r="M54" s="272">
        <v>0</v>
      </c>
      <c r="N54" s="261"/>
      <c r="O54" s="323">
        <f t="shared" si="7"/>
        <v>-2811.0219999999999</v>
      </c>
      <c r="P54" s="63" t="s">
        <v>17</v>
      </c>
    </row>
    <row r="55" spans="1:16" x14ac:dyDescent="0.2">
      <c r="A55" s="316" t="s">
        <v>150</v>
      </c>
      <c r="B55" s="261"/>
      <c r="C55" s="261">
        <v>0</v>
      </c>
      <c r="D55" s="317"/>
      <c r="E55" s="317">
        <f>19114/1000</f>
        <v>19.114000000000001</v>
      </c>
      <c r="F55" s="317"/>
      <c r="G55" s="323">
        <f>-1061148/1000</f>
        <v>-1061.1479999999999</v>
      </c>
      <c r="H55" s="261"/>
      <c r="I55" s="261">
        <v>0</v>
      </c>
      <c r="J55" s="317"/>
      <c r="K55" s="317">
        <f>3912/1000</f>
        <v>3.9119999999999999</v>
      </c>
      <c r="L55" s="317"/>
      <c r="M55" s="272">
        <v>0</v>
      </c>
      <c r="N55" s="261"/>
      <c r="O55" s="323">
        <f t="shared" si="7"/>
        <v>-3771.6289999999995</v>
      </c>
      <c r="P55" s="63" t="s">
        <v>17</v>
      </c>
    </row>
    <row r="56" spans="1:16" x14ac:dyDescent="0.2">
      <c r="A56" s="316" t="s">
        <v>151</v>
      </c>
      <c r="B56" s="261"/>
      <c r="C56" s="261">
        <v>6150</v>
      </c>
      <c r="D56" s="317"/>
      <c r="E56" s="317">
        <f>221745/1000</f>
        <v>221.745</v>
      </c>
      <c r="F56" s="317"/>
      <c r="G56" s="317">
        <f>-2168471/1000</f>
        <v>-2168.471</v>
      </c>
      <c r="H56" s="261"/>
      <c r="I56" s="261">
        <v>2250</v>
      </c>
      <c r="J56" s="317"/>
      <c r="K56" s="317">
        <f>17747/1000</f>
        <v>17.747</v>
      </c>
      <c r="L56" s="317"/>
      <c r="M56" s="272">
        <v>0</v>
      </c>
      <c r="N56" s="317"/>
      <c r="O56" s="317">
        <f>C30+E30+G30+I30+K30+M30+C56+E56+G56+I56+K56+M56</f>
        <v>-57168.743999999992</v>
      </c>
      <c r="P56" s="63" t="s">
        <v>17</v>
      </c>
    </row>
    <row r="57" spans="1:16" x14ac:dyDescent="0.2">
      <c r="A57" s="316" t="s">
        <v>152</v>
      </c>
      <c r="B57" s="261"/>
      <c r="C57" s="261">
        <v>0</v>
      </c>
      <c r="D57" s="317"/>
      <c r="E57" s="317">
        <v>0</v>
      </c>
      <c r="F57" s="317"/>
      <c r="G57" s="317">
        <f>-27366/1000</f>
        <v>-27.366</v>
      </c>
      <c r="H57" s="261"/>
      <c r="I57" s="261">
        <v>0</v>
      </c>
      <c r="J57" s="317"/>
      <c r="K57" s="317">
        <v>0</v>
      </c>
      <c r="L57" s="317"/>
      <c r="M57" s="272">
        <v>0</v>
      </c>
      <c r="N57" s="317"/>
      <c r="O57" s="317">
        <f>C28+E28+G28+I28+K28+M28+C57+E57+G57+I57+K57+M57</f>
        <v>1743.3870000000011</v>
      </c>
      <c r="P57" s="63" t="s">
        <v>17</v>
      </c>
    </row>
    <row r="58" spans="1:16" x14ac:dyDescent="0.2">
      <c r="A58" s="325" t="s">
        <v>418</v>
      </c>
      <c r="B58" s="322"/>
      <c r="C58" s="322">
        <v>0</v>
      </c>
      <c r="D58" s="317"/>
      <c r="E58" s="317">
        <v>0</v>
      </c>
      <c r="F58" s="317"/>
      <c r="G58" s="324">
        <f>-36195976/1000</f>
        <v>-36195.976000000002</v>
      </c>
      <c r="H58" s="322"/>
      <c r="I58" s="322">
        <v>0</v>
      </c>
      <c r="J58" s="317"/>
      <c r="K58" s="317">
        <v>0</v>
      </c>
      <c r="L58" s="317"/>
      <c r="M58" s="324">
        <f>-6255110/1000</f>
        <v>-6255.11</v>
      </c>
      <c r="N58" s="314"/>
      <c r="O58" s="324">
        <f>C29+E29+G29+I29+K29+M29+C58+E58+G58+I58+K58+M58</f>
        <v>-42517.329000000005</v>
      </c>
      <c r="P58" s="63" t="s">
        <v>17</v>
      </c>
    </row>
    <row r="59" spans="1:16" ht="15" x14ac:dyDescent="0.25">
      <c r="A59" s="74" t="s">
        <v>196</v>
      </c>
      <c r="B59" s="137">
        <f>SUM(B44:B56)</f>
        <v>0</v>
      </c>
      <c r="C59" s="137">
        <f>SUM(C44:C58)</f>
        <v>6150</v>
      </c>
      <c r="D59" s="137">
        <f t="shared" ref="D59:M59" si="9">SUM(D44:D58)</f>
        <v>3</v>
      </c>
      <c r="E59" s="137">
        <f t="shared" si="9"/>
        <v>812.45299999999997</v>
      </c>
      <c r="F59" s="137">
        <f t="shared" si="9"/>
        <v>0</v>
      </c>
      <c r="G59" s="327">
        <f>SUM(G44:G58)</f>
        <v>-53470.815000000002</v>
      </c>
      <c r="H59" s="137">
        <f t="shared" si="9"/>
        <v>0</v>
      </c>
      <c r="I59" s="137">
        <f t="shared" si="9"/>
        <v>2250</v>
      </c>
      <c r="J59" s="137">
        <f t="shared" si="9"/>
        <v>0</v>
      </c>
      <c r="K59" s="137">
        <f t="shared" si="9"/>
        <v>102.548</v>
      </c>
      <c r="L59" s="137">
        <f t="shared" si="9"/>
        <v>0</v>
      </c>
      <c r="M59" s="327">
        <f t="shared" si="9"/>
        <v>-6255.11</v>
      </c>
      <c r="N59" s="137">
        <f>SUM(N44:N56)</f>
        <v>14</v>
      </c>
      <c r="O59" s="327">
        <f>SUM(O44:O58)</f>
        <v>-150169</v>
      </c>
      <c r="P59" s="63" t="s">
        <v>17</v>
      </c>
    </row>
    <row r="60" spans="1:16" x14ac:dyDescent="0.2">
      <c r="P60" s="63" t="s">
        <v>18</v>
      </c>
    </row>
  </sheetData>
  <mergeCells count="24">
    <mergeCell ref="N34:O35"/>
    <mergeCell ref="B35:C35"/>
    <mergeCell ref="D35:E35"/>
    <mergeCell ref="F35:G35"/>
    <mergeCell ref="H35:I35"/>
    <mergeCell ref="J35:K35"/>
    <mergeCell ref="L35:M35"/>
    <mergeCell ref="F7:G7"/>
    <mergeCell ref="H7:I7"/>
    <mergeCell ref="J7:K7"/>
    <mergeCell ref="L7:M7"/>
    <mergeCell ref="A34:A36"/>
    <mergeCell ref="B34:G34"/>
    <mergeCell ref="H34:M34"/>
    <mergeCell ref="A6:A8"/>
    <mergeCell ref="B6:G6"/>
    <mergeCell ref="H6:M6"/>
    <mergeCell ref="B7:C7"/>
    <mergeCell ref="D7:E7"/>
    <mergeCell ref="A1:O1"/>
    <mergeCell ref="A2:O2"/>
    <mergeCell ref="A3:O3"/>
    <mergeCell ref="A4:O4"/>
    <mergeCell ref="A5:M5"/>
  </mergeCells>
  <printOptions horizontalCentered="1"/>
  <pageMargins left="0.7" right="0.7" top="0.52" bottom="0.39" header="0.3" footer="0.23"/>
  <pageSetup scale="55" fitToHeight="0"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32"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view="pageBreakPreview" zoomScale="90" zoomScaleNormal="70" zoomScaleSheetLayoutView="90" workbookViewId="0">
      <pane xSplit="1" ySplit="7" topLeftCell="D11" activePane="bottomRight" state="frozen"/>
      <selection activeCell="A31" sqref="A31:XFD32"/>
      <selection pane="topRight" activeCell="A31" sqref="A31:XFD32"/>
      <selection pane="bottomLeft" activeCell="A31" sqref="A31:XFD32"/>
      <selection pane="bottomRight" activeCell="A46" sqref="A46"/>
    </sheetView>
  </sheetViews>
  <sheetFormatPr defaultColWidth="9.140625" defaultRowHeight="14.25" x14ac:dyDescent="0.2"/>
  <cols>
    <col min="1" max="1" width="63.5703125" style="165" customWidth="1"/>
    <col min="2" max="2" width="8.28515625" style="165" customWidth="1"/>
    <col min="3" max="3" width="12.7109375" style="165" customWidth="1"/>
    <col min="4" max="4" width="8.28515625" style="165" customWidth="1"/>
    <col min="5" max="5" width="12.7109375" style="165" customWidth="1"/>
    <col min="6" max="6" width="8.28515625" style="165" customWidth="1"/>
    <col min="7" max="7" width="12.7109375" style="165" customWidth="1"/>
    <col min="8" max="8" width="8.28515625" style="165" customWidth="1"/>
    <col min="9" max="9" width="12.7109375" style="165" customWidth="1"/>
    <col min="10" max="10" width="14" style="4" bestFit="1" customWidth="1"/>
    <col min="11" max="11" width="4.5703125" style="165" customWidth="1"/>
    <col min="12" max="12" width="21.7109375" style="185" customWidth="1"/>
    <col min="13" max="14" width="8.28515625" style="165" customWidth="1"/>
    <col min="15" max="15" width="12.7109375" style="165" customWidth="1"/>
    <col min="16" max="17" width="8.28515625" style="165" customWidth="1"/>
    <col min="18" max="18" width="12.7109375" style="165" customWidth="1"/>
    <col min="19" max="16384" width="9.140625" style="165"/>
  </cols>
  <sheetData>
    <row r="1" spans="1:18" ht="18" x14ac:dyDescent="0.25">
      <c r="A1" s="433" t="s">
        <v>129</v>
      </c>
      <c r="B1" s="433"/>
      <c r="C1" s="433"/>
      <c r="D1" s="433"/>
      <c r="E1" s="433"/>
      <c r="F1" s="433"/>
      <c r="G1" s="433"/>
      <c r="H1" s="433"/>
      <c r="I1" s="433"/>
      <c r="J1" s="63" t="s">
        <v>17</v>
      </c>
      <c r="K1" s="6"/>
      <c r="L1" s="108" t="s">
        <v>25</v>
      </c>
      <c r="M1" s="6"/>
      <c r="N1" s="6"/>
      <c r="O1" s="6"/>
      <c r="P1" s="6"/>
      <c r="Q1" s="6"/>
      <c r="R1" s="6"/>
    </row>
    <row r="2" spans="1:18" ht="15" x14ac:dyDescent="0.2">
      <c r="A2" s="434" t="s">
        <v>305</v>
      </c>
      <c r="B2" s="434"/>
      <c r="C2" s="434"/>
      <c r="D2" s="434"/>
      <c r="E2" s="434"/>
      <c r="F2" s="434"/>
      <c r="G2" s="434"/>
      <c r="H2" s="434"/>
      <c r="I2" s="434"/>
      <c r="J2" s="63" t="s">
        <v>17</v>
      </c>
      <c r="K2" s="7"/>
      <c r="L2" s="109"/>
      <c r="M2" s="7"/>
      <c r="N2" s="7"/>
      <c r="O2" s="7"/>
      <c r="P2" s="7"/>
      <c r="Q2" s="7"/>
      <c r="R2" s="7"/>
    </row>
    <row r="3" spans="1:18" ht="15" x14ac:dyDescent="0.25">
      <c r="A3" s="435" t="s">
        <v>1</v>
      </c>
      <c r="B3" s="435"/>
      <c r="C3" s="435"/>
      <c r="D3" s="435"/>
      <c r="E3" s="435"/>
      <c r="F3" s="435"/>
      <c r="G3" s="435"/>
      <c r="H3" s="435"/>
      <c r="I3" s="435"/>
      <c r="J3" s="63" t="s">
        <v>17</v>
      </c>
      <c r="K3" s="189"/>
      <c r="L3" s="109" t="s">
        <v>201</v>
      </c>
      <c r="M3" s="189"/>
      <c r="N3" s="189"/>
      <c r="O3" s="189"/>
      <c r="P3" s="189"/>
      <c r="Q3" s="189"/>
      <c r="R3" s="189"/>
    </row>
    <row r="4" spans="1:18" x14ac:dyDescent="0.2">
      <c r="A4" s="450" t="s">
        <v>2</v>
      </c>
      <c r="B4" s="450"/>
      <c r="C4" s="450"/>
      <c r="D4" s="450"/>
      <c r="E4" s="450"/>
      <c r="F4" s="450"/>
      <c r="G4" s="450"/>
      <c r="H4" s="450"/>
      <c r="I4" s="450"/>
      <c r="J4" s="63" t="s">
        <v>17</v>
      </c>
      <c r="K4" s="188"/>
      <c r="L4" s="109" t="s">
        <v>200</v>
      </c>
      <c r="M4" s="188"/>
      <c r="N4" s="188"/>
      <c r="O4" s="188"/>
      <c r="P4" s="188"/>
      <c r="Q4" s="188"/>
      <c r="R4" s="188"/>
    </row>
    <row r="5" spans="1:18" ht="15.75" thickBot="1" x14ac:dyDescent="0.3">
      <c r="A5" s="450"/>
      <c r="B5" s="450"/>
      <c r="C5" s="450"/>
      <c r="D5" s="450"/>
      <c r="E5" s="450"/>
      <c r="F5" s="450"/>
      <c r="G5" s="450"/>
      <c r="H5" s="450"/>
      <c r="I5" s="450"/>
      <c r="J5" s="63" t="s">
        <v>17</v>
      </c>
      <c r="K5" s="188"/>
      <c r="L5" s="110"/>
      <c r="M5" s="188"/>
      <c r="N5" s="188"/>
      <c r="O5" s="188"/>
      <c r="P5" s="188"/>
      <c r="Q5" s="188"/>
      <c r="R5" s="188"/>
    </row>
    <row r="6" spans="1:18" ht="15" x14ac:dyDescent="0.2">
      <c r="A6" s="441" t="s">
        <v>130</v>
      </c>
      <c r="B6" s="444" t="s">
        <v>268</v>
      </c>
      <c r="C6" s="444"/>
      <c r="D6" s="444" t="s">
        <v>270</v>
      </c>
      <c r="E6" s="444"/>
      <c r="F6" s="444" t="s">
        <v>263</v>
      </c>
      <c r="G6" s="444"/>
      <c r="H6" s="444" t="s">
        <v>106</v>
      </c>
      <c r="I6" s="445"/>
      <c r="J6" s="63" t="s">
        <v>17</v>
      </c>
      <c r="L6" s="62"/>
    </row>
    <row r="7" spans="1:18" ht="28.5" x14ac:dyDescent="0.2">
      <c r="A7" s="442"/>
      <c r="B7" s="229" t="s">
        <v>35</v>
      </c>
      <c r="C7" s="229" t="s">
        <v>4</v>
      </c>
      <c r="D7" s="229" t="s">
        <v>35</v>
      </c>
      <c r="E7" s="229" t="s">
        <v>4</v>
      </c>
      <c r="F7" s="229" t="s">
        <v>35</v>
      </c>
      <c r="G7" s="229" t="s">
        <v>4</v>
      </c>
      <c r="H7" s="229" t="s">
        <v>35</v>
      </c>
      <c r="I7" s="230" t="s">
        <v>4</v>
      </c>
      <c r="J7" s="63" t="s">
        <v>17</v>
      </c>
      <c r="L7" s="275"/>
    </row>
    <row r="8" spans="1:18" x14ac:dyDescent="0.2">
      <c r="A8" s="292" t="s">
        <v>131</v>
      </c>
      <c r="B8" s="255">
        <v>32628</v>
      </c>
      <c r="C8" s="255">
        <v>2930950</v>
      </c>
      <c r="D8" s="255">
        <v>32957</v>
      </c>
      <c r="E8" s="255">
        <v>3078413</v>
      </c>
      <c r="F8" s="255">
        <v>33237</v>
      </c>
      <c r="G8" s="255">
        <v>3431021</v>
      </c>
      <c r="H8" s="255">
        <f t="shared" ref="H8:I13" si="0">F8-D8</f>
        <v>280</v>
      </c>
      <c r="I8" s="256">
        <f t="shared" si="0"/>
        <v>352608</v>
      </c>
      <c r="J8" s="63" t="s">
        <v>17</v>
      </c>
      <c r="L8" s="62"/>
    </row>
    <row r="9" spans="1:18" x14ac:dyDescent="0.2">
      <c r="A9" s="163" t="s">
        <v>132</v>
      </c>
      <c r="B9" s="177">
        <v>0</v>
      </c>
      <c r="C9" s="177">
        <v>13462</v>
      </c>
      <c r="D9" s="177">
        <v>0</v>
      </c>
      <c r="E9" s="177">
        <v>0</v>
      </c>
      <c r="F9" s="177">
        <v>0</v>
      </c>
      <c r="G9" s="177">
        <v>0</v>
      </c>
      <c r="H9" s="177">
        <f t="shared" si="0"/>
        <v>0</v>
      </c>
      <c r="I9" s="173">
        <f t="shared" si="0"/>
        <v>0</v>
      </c>
      <c r="J9" s="63" t="s">
        <v>17</v>
      </c>
    </row>
    <row r="10" spans="1:18" x14ac:dyDescent="0.2">
      <c r="A10" s="163" t="s">
        <v>197</v>
      </c>
      <c r="B10" s="177">
        <f>SUM(B11:B12)</f>
        <v>0</v>
      </c>
      <c r="C10" s="177">
        <v>358499</v>
      </c>
      <c r="D10" s="177">
        <f>SUM(D11:D12)</f>
        <v>0</v>
      </c>
      <c r="E10" s="177">
        <v>412610</v>
      </c>
      <c r="F10" s="177">
        <f>SUM(F11:F12)</f>
        <v>0</v>
      </c>
      <c r="G10" s="177">
        <v>106708</v>
      </c>
      <c r="H10" s="177">
        <f t="shared" si="0"/>
        <v>0</v>
      </c>
      <c r="I10" s="173">
        <f t="shared" si="0"/>
        <v>-305902</v>
      </c>
      <c r="J10" s="63" t="s">
        <v>17</v>
      </c>
    </row>
    <row r="11" spans="1:18" x14ac:dyDescent="0.2">
      <c r="A11" s="66" t="s">
        <v>34</v>
      </c>
      <c r="B11" s="157">
        <v>0</v>
      </c>
      <c r="C11" s="157">
        <v>0</v>
      </c>
      <c r="D11" s="157">
        <v>0</v>
      </c>
      <c r="E11" s="157">
        <v>0</v>
      </c>
      <c r="F11" s="157">
        <v>0</v>
      </c>
      <c r="G11" s="157">
        <v>0</v>
      </c>
      <c r="H11" s="157">
        <f t="shared" si="0"/>
        <v>0</v>
      </c>
      <c r="I11" s="158">
        <f t="shared" si="0"/>
        <v>0</v>
      </c>
      <c r="J11" s="63" t="s">
        <v>17</v>
      </c>
    </row>
    <row r="12" spans="1:18" x14ac:dyDescent="0.2">
      <c r="A12" s="66" t="s">
        <v>133</v>
      </c>
      <c r="B12" s="157">
        <v>0</v>
      </c>
      <c r="C12" s="157">
        <v>0</v>
      </c>
      <c r="D12" s="157">
        <v>0</v>
      </c>
      <c r="E12" s="157">
        <v>0</v>
      </c>
      <c r="F12" s="157">
        <v>0</v>
      </c>
      <c r="G12" s="157">
        <v>0</v>
      </c>
      <c r="H12" s="157">
        <f t="shared" si="0"/>
        <v>0</v>
      </c>
      <c r="I12" s="158">
        <f t="shared" si="0"/>
        <v>0</v>
      </c>
      <c r="J12" s="63" t="s">
        <v>17</v>
      </c>
    </row>
    <row r="13" spans="1:18" x14ac:dyDescent="0.2">
      <c r="A13" s="163" t="s">
        <v>134</v>
      </c>
      <c r="B13" s="281">
        <v>0</v>
      </c>
      <c r="C13" s="281">
        <v>0</v>
      </c>
      <c r="D13" s="281">
        <v>0</v>
      </c>
      <c r="E13" s="281">
        <v>0</v>
      </c>
      <c r="F13" s="281">
        <v>0</v>
      </c>
      <c r="G13" s="281">
        <v>0</v>
      </c>
      <c r="H13" s="281">
        <f t="shared" si="0"/>
        <v>0</v>
      </c>
      <c r="I13" s="282">
        <f t="shared" si="0"/>
        <v>0</v>
      </c>
      <c r="J13" s="63" t="s">
        <v>17</v>
      </c>
    </row>
    <row r="14" spans="1:18" ht="15" x14ac:dyDescent="0.25">
      <c r="A14" s="68" t="s">
        <v>30</v>
      </c>
      <c r="B14" s="122">
        <v>32628</v>
      </c>
      <c r="C14" s="122">
        <f>SUM(C8:C10,C13)</f>
        <v>3302911</v>
      </c>
      <c r="D14" s="122">
        <v>32957</v>
      </c>
      <c r="E14" s="122">
        <f>SUM(E8:E10,E13)</f>
        <v>3491023</v>
      </c>
      <c r="F14" s="122">
        <v>33237</v>
      </c>
      <c r="G14" s="122">
        <f>SUM(G8:G10,G13)</f>
        <v>3537729</v>
      </c>
      <c r="H14" s="122">
        <f>SUM(H8:H10,H13)</f>
        <v>280</v>
      </c>
      <c r="I14" s="126">
        <f>SUM(I8:I10,I13)</f>
        <v>46706</v>
      </c>
      <c r="J14" s="63" t="s">
        <v>17</v>
      </c>
    </row>
    <row r="15" spans="1:18" ht="15" x14ac:dyDescent="0.25">
      <c r="A15" s="67" t="s">
        <v>135</v>
      </c>
      <c r="B15" s="177"/>
      <c r="C15" s="177"/>
      <c r="D15" s="177"/>
      <c r="E15" s="177"/>
      <c r="F15" s="177"/>
      <c r="G15" s="177"/>
      <c r="H15" s="177"/>
      <c r="I15" s="173"/>
      <c r="J15" s="63" t="s">
        <v>17</v>
      </c>
    </row>
    <row r="16" spans="1:18" x14ac:dyDescent="0.2">
      <c r="A16" s="163" t="s">
        <v>136</v>
      </c>
      <c r="B16" s="177"/>
      <c r="C16" s="177">
        <v>1284273</v>
      </c>
      <c r="D16" s="177"/>
      <c r="E16" s="177">
        <v>1370574</v>
      </c>
      <c r="F16" s="177"/>
      <c r="G16" s="177">
        <v>1436514</v>
      </c>
      <c r="H16" s="177"/>
      <c r="I16" s="173">
        <f t="shared" ref="I16:I37" si="1">G16-E16</f>
        <v>65940</v>
      </c>
      <c r="J16" s="63" t="s">
        <v>17</v>
      </c>
    </row>
    <row r="17" spans="1:10" x14ac:dyDescent="0.2">
      <c r="A17" s="163" t="s">
        <v>137</v>
      </c>
      <c r="B17" s="177"/>
      <c r="C17" s="177">
        <v>64</v>
      </c>
      <c r="D17" s="177"/>
      <c r="E17" s="177">
        <v>0</v>
      </c>
      <c r="F17" s="177"/>
      <c r="G17" s="177">
        <v>0</v>
      </c>
      <c r="H17" s="177"/>
      <c r="I17" s="173">
        <f t="shared" si="1"/>
        <v>0</v>
      </c>
      <c r="J17" s="63" t="s">
        <v>17</v>
      </c>
    </row>
    <row r="18" spans="1:10" x14ac:dyDescent="0.2">
      <c r="A18" s="163" t="s">
        <v>138</v>
      </c>
      <c r="B18" s="177"/>
      <c r="C18" s="177">
        <v>152207</v>
      </c>
      <c r="D18" s="177"/>
      <c r="E18" s="177">
        <v>141777</v>
      </c>
      <c r="F18" s="177"/>
      <c r="G18" s="177">
        <v>134256</v>
      </c>
      <c r="H18" s="177"/>
      <c r="I18" s="173">
        <f t="shared" si="1"/>
        <v>-7521</v>
      </c>
      <c r="J18" s="63" t="s">
        <v>17</v>
      </c>
    </row>
    <row r="19" spans="1:10" x14ac:dyDescent="0.2">
      <c r="A19" s="163" t="s">
        <v>198</v>
      </c>
      <c r="B19" s="177"/>
      <c r="C19" s="177">
        <v>8511</v>
      </c>
      <c r="D19" s="177"/>
      <c r="E19" s="177">
        <v>79460</v>
      </c>
      <c r="F19" s="177"/>
      <c r="G19" s="177">
        <v>75692</v>
      </c>
      <c r="H19" s="177"/>
      <c r="I19" s="173">
        <f t="shared" si="1"/>
        <v>-3768</v>
      </c>
      <c r="J19" s="63" t="s">
        <v>17</v>
      </c>
    </row>
    <row r="20" spans="1:10" x14ac:dyDescent="0.2">
      <c r="A20" s="163" t="s">
        <v>139</v>
      </c>
      <c r="B20" s="177"/>
      <c r="C20" s="177">
        <v>598698</v>
      </c>
      <c r="D20" s="177"/>
      <c r="E20" s="177">
        <v>715741</v>
      </c>
      <c r="F20" s="177"/>
      <c r="G20" s="177">
        <v>704157</v>
      </c>
      <c r="H20" s="177"/>
      <c r="I20" s="173">
        <f t="shared" si="1"/>
        <v>-11584</v>
      </c>
      <c r="J20" s="63" t="s">
        <v>17</v>
      </c>
    </row>
    <row r="21" spans="1:10" x14ac:dyDescent="0.2">
      <c r="A21" s="163" t="s">
        <v>140</v>
      </c>
      <c r="B21" s="177"/>
      <c r="C21" s="177">
        <v>92450</v>
      </c>
      <c r="D21" s="177"/>
      <c r="E21" s="177">
        <v>71775</v>
      </c>
      <c r="F21" s="177"/>
      <c r="G21" s="177">
        <v>68263</v>
      </c>
      <c r="H21" s="177"/>
      <c r="I21" s="173">
        <f t="shared" si="1"/>
        <v>-3512</v>
      </c>
      <c r="J21" s="63" t="s">
        <v>17</v>
      </c>
    </row>
    <row r="22" spans="1:10" x14ac:dyDescent="0.2">
      <c r="A22" s="163" t="s">
        <v>141</v>
      </c>
      <c r="B22" s="177"/>
      <c r="C22" s="177">
        <v>174348</v>
      </c>
      <c r="D22" s="177"/>
      <c r="E22" s="177">
        <v>178407</v>
      </c>
      <c r="F22" s="177"/>
      <c r="G22" s="177">
        <v>143660</v>
      </c>
      <c r="H22" s="177"/>
      <c r="I22" s="173">
        <f t="shared" si="1"/>
        <v>-34747</v>
      </c>
      <c r="J22" s="63" t="s">
        <v>17</v>
      </c>
    </row>
    <row r="23" spans="1:10" x14ac:dyDescent="0.2">
      <c r="A23" s="163" t="s">
        <v>142</v>
      </c>
      <c r="B23" s="177"/>
      <c r="C23" s="177">
        <v>2002</v>
      </c>
      <c r="D23" s="177"/>
      <c r="E23" s="177">
        <v>1245</v>
      </c>
      <c r="F23" s="177"/>
      <c r="G23" s="177">
        <v>1150</v>
      </c>
      <c r="H23" s="177"/>
      <c r="I23" s="173">
        <f t="shared" si="1"/>
        <v>-95</v>
      </c>
      <c r="J23" s="63" t="s">
        <v>17</v>
      </c>
    </row>
    <row r="24" spans="1:10" x14ac:dyDescent="0.2">
      <c r="A24" s="163" t="s">
        <v>342</v>
      </c>
      <c r="B24" s="177"/>
      <c r="C24" s="177">
        <v>1510019</v>
      </c>
      <c r="D24" s="177"/>
      <c r="E24" s="177">
        <v>102432</v>
      </c>
      <c r="F24" s="177"/>
      <c r="G24" s="177"/>
      <c r="H24" s="177"/>
      <c r="I24" s="173">
        <f t="shared" si="1"/>
        <v>-102432</v>
      </c>
      <c r="J24" s="63"/>
    </row>
    <row r="25" spans="1:10" x14ac:dyDescent="0.2">
      <c r="A25" s="163" t="s">
        <v>143</v>
      </c>
      <c r="B25" s="177"/>
      <c r="C25" s="177">
        <v>0</v>
      </c>
      <c r="D25" s="177"/>
      <c r="E25" s="236">
        <v>540339</v>
      </c>
      <c r="F25" s="236"/>
      <c r="G25" s="236">
        <v>514719</v>
      </c>
      <c r="H25" s="177"/>
      <c r="I25" s="173">
        <f t="shared" si="1"/>
        <v>-25620</v>
      </c>
      <c r="J25" s="63" t="s">
        <v>17</v>
      </c>
    </row>
    <row r="26" spans="1:10" x14ac:dyDescent="0.2">
      <c r="A26" s="163" t="s">
        <v>144</v>
      </c>
      <c r="B26" s="177"/>
      <c r="C26" s="177">
        <v>0</v>
      </c>
      <c r="D26" s="177"/>
      <c r="E26" s="177">
        <v>990964</v>
      </c>
      <c r="F26" s="177"/>
      <c r="G26" s="177">
        <v>963496</v>
      </c>
      <c r="H26" s="177"/>
      <c r="I26" s="173">
        <f t="shared" si="1"/>
        <v>-27468</v>
      </c>
      <c r="J26" s="63" t="s">
        <v>17</v>
      </c>
    </row>
    <row r="27" spans="1:10" x14ac:dyDescent="0.2">
      <c r="A27" s="163" t="s">
        <v>145</v>
      </c>
      <c r="B27" s="177"/>
      <c r="C27" s="177">
        <v>0</v>
      </c>
      <c r="D27" s="177"/>
      <c r="E27" s="177">
        <v>28953</v>
      </c>
      <c r="F27" s="177"/>
      <c r="G27" s="177">
        <v>28484</v>
      </c>
      <c r="H27" s="177"/>
      <c r="I27" s="173">
        <f t="shared" si="1"/>
        <v>-469</v>
      </c>
      <c r="J27" s="63" t="s">
        <v>17</v>
      </c>
    </row>
    <row r="28" spans="1:10" x14ac:dyDescent="0.2">
      <c r="A28" s="163" t="s">
        <v>146</v>
      </c>
      <c r="B28" s="177"/>
      <c r="C28" s="177">
        <v>0</v>
      </c>
      <c r="D28" s="177"/>
      <c r="E28" s="177">
        <v>36450</v>
      </c>
      <c r="F28" s="177"/>
      <c r="G28" s="177">
        <v>35860</v>
      </c>
      <c r="H28" s="177"/>
      <c r="I28" s="173">
        <f t="shared" si="1"/>
        <v>-590</v>
      </c>
      <c r="J28" s="63" t="s">
        <v>17</v>
      </c>
    </row>
    <row r="29" spans="1:10" x14ac:dyDescent="0.2">
      <c r="A29" s="163" t="s">
        <v>147</v>
      </c>
      <c r="B29" s="177"/>
      <c r="C29" s="177">
        <v>0</v>
      </c>
      <c r="D29" s="177"/>
      <c r="E29" s="177">
        <v>45740</v>
      </c>
      <c r="F29" s="177"/>
      <c r="G29" s="177">
        <v>43572</v>
      </c>
      <c r="H29" s="177"/>
      <c r="I29" s="173">
        <f t="shared" si="1"/>
        <v>-2168</v>
      </c>
      <c r="J29" s="63" t="s">
        <v>17</v>
      </c>
    </row>
    <row r="30" spans="1:10" x14ac:dyDescent="0.2">
      <c r="A30" s="163" t="s">
        <v>77</v>
      </c>
      <c r="B30" s="177"/>
      <c r="C30" s="177">
        <v>0</v>
      </c>
      <c r="D30" s="177"/>
      <c r="E30" s="177">
        <v>0</v>
      </c>
      <c r="F30" s="177"/>
      <c r="G30" s="177">
        <v>0</v>
      </c>
      <c r="H30" s="177"/>
      <c r="I30" s="173">
        <f t="shared" si="1"/>
        <v>0</v>
      </c>
      <c r="J30" s="63" t="s">
        <v>17</v>
      </c>
    </row>
    <row r="31" spans="1:10" x14ac:dyDescent="0.2">
      <c r="A31" s="163" t="s">
        <v>148</v>
      </c>
      <c r="B31" s="177"/>
      <c r="C31" s="177">
        <v>0</v>
      </c>
      <c r="D31" s="177"/>
      <c r="E31" s="177">
        <v>115926</v>
      </c>
      <c r="F31" s="177"/>
      <c r="G31" s="177">
        <v>110430</v>
      </c>
      <c r="H31" s="177"/>
      <c r="I31" s="173">
        <f t="shared" si="1"/>
        <v>-5496</v>
      </c>
      <c r="J31" s="63" t="s">
        <v>17</v>
      </c>
    </row>
    <row r="32" spans="1:10" x14ac:dyDescent="0.2">
      <c r="A32" s="163" t="s">
        <v>149</v>
      </c>
      <c r="B32" s="177"/>
      <c r="C32" s="177">
        <v>0</v>
      </c>
      <c r="D32" s="177"/>
      <c r="E32" s="177">
        <v>16703</v>
      </c>
      <c r="F32" s="177"/>
      <c r="G32" s="177">
        <v>16432</v>
      </c>
      <c r="H32" s="177"/>
      <c r="I32" s="173">
        <f t="shared" si="1"/>
        <v>-271</v>
      </c>
      <c r="J32" s="63" t="s">
        <v>17</v>
      </c>
    </row>
    <row r="33" spans="1:12" x14ac:dyDescent="0.2">
      <c r="A33" s="163" t="s">
        <v>150</v>
      </c>
      <c r="B33" s="177"/>
      <c r="C33" s="177">
        <v>146788</v>
      </c>
      <c r="D33" s="177"/>
      <c r="E33" s="177">
        <v>158380</v>
      </c>
      <c r="F33" s="177"/>
      <c r="G33" s="177">
        <v>150303</v>
      </c>
      <c r="H33" s="177"/>
      <c r="I33" s="173">
        <f t="shared" si="1"/>
        <v>-8077</v>
      </c>
      <c r="J33" s="63" t="s">
        <v>17</v>
      </c>
    </row>
    <row r="34" spans="1:12" x14ac:dyDescent="0.2">
      <c r="A34" s="163" t="s">
        <v>151</v>
      </c>
      <c r="B34" s="177"/>
      <c r="C34" s="177">
        <v>286598</v>
      </c>
      <c r="D34" s="177"/>
      <c r="E34" s="177">
        <v>409682</v>
      </c>
      <c r="F34" s="177"/>
      <c r="G34" s="177">
        <v>307151</v>
      </c>
      <c r="H34" s="177"/>
      <c r="I34" s="173">
        <f t="shared" si="1"/>
        <v>-102531</v>
      </c>
      <c r="J34" s="291"/>
    </row>
    <row r="35" spans="1:12" x14ac:dyDescent="0.2">
      <c r="A35" s="163" t="s">
        <v>152</v>
      </c>
      <c r="B35" s="177"/>
      <c r="C35" s="177">
        <v>23155</v>
      </c>
      <c r="D35" s="177"/>
      <c r="E35" s="177">
        <v>40567</v>
      </c>
      <c r="F35" s="177"/>
      <c r="G35" s="177">
        <v>3601</v>
      </c>
      <c r="H35" s="177"/>
      <c r="I35" s="173">
        <f t="shared" si="1"/>
        <v>-36966</v>
      </c>
      <c r="J35" s="63" t="s">
        <v>17</v>
      </c>
    </row>
    <row r="36" spans="1:12" x14ac:dyDescent="0.2">
      <c r="A36" s="163" t="s">
        <v>153</v>
      </c>
      <c r="B36" s="177"/>
      <c r="C36" s="177">
        <v>3026</v>
      </c>
      <c r="D36" s="177"/>
      <c r="E36" s="177">
        <v>0</v>
      </c>
      <c r="F36" s="177"/>
      <c r="G36" s="177">
        <v>0</v>
      </c>
      <c r="H36" s="177"/>
      <c r="I36" s="173">
        <f t="shared" si="1"/>
        <v>0</v>
      </c>
      <c r="J36" s="63" t="s">
        <v>17</v>
      </c>
    </row>
    <row r="37" spans="1:12" x14ac:dyDescent="0.2">
      <c r="A37" s="163" t="s">
        <v>154</v>
      </c>
      <c r="B37" s="177"/>
      <c r="C37" s="177">
        <v>190</v>
      </c>
      <c r="D37" s="177"/>
      <c r="E37" s="177">
        <v>2794</v>
      </c>
      <c r="F37" s="177"/>
      <c r="G37" s="177">
        <v>2750</v>
      </c>
      <c r="H37" s="177"/>
      <c r="I37" s="173">
        <f t="shared" si="1"/>
        <v>-44</v>
      </c>
      <c r="J37" s="63" t="s">
        <v>17</v>
      </c>
    </row>
    <row r="38" spans="1:12" ht="15" x14ac:dyDescent="0.25">
      <c r="A38" s="68" t="s">
        <v>155</v>
      </c>
      <c r="B38" s="77">
        <f>B14</f>
        <v>32628</v>
      </c>
      <c r="C38" s="77">
        <f>SUM(C14:C37)</f>
        <v>7585240</v>
      </c>
      <c r="D38" s="77">
        <f>D14</f>
        <v>32957</v>
      </c>
      <c r="E38" s="77">
        <f>SUM(E14:E37)</f>
        <v>8538932</v>
      </c>
      <c r="F38" s="77">
        <f>F14</f>
        <v>33237</v>
      </c>
      <c r="G38" s="77">
        <f>SUM(G14:G37)</f>
        <v>8278219</v>
      </c>
      <c r="H38" s="77">
        <f>H14</f>
        <v>280</v>
      </c>
      <c r="I38" s="79">
        <f>SUM(I14:I37)</f>
        <v>-260713</v>
      </c>
      <c r="J38" s="63" t="s">
        <v>17</v>
      </c>
      <c r="L38" s="62"/>
    </row>
    <row r="39" spans="1:12" x14ac:dyDescent="0.2">
      <c r="A39" s="163" t="s">
        <v>199</v>
      </c>
      <c r="B39" s="177"/>
      <c r="C39" s="177">
        <v>-285540</v>
      </c>
      <c r="D39" s="177"/>
      <c r="E39" s="177">
        <v>-253783</v>
      </c>
      <c r="F39" s="177"/>
      <c r="G39" s="177">
        <v>0</v>
      </c>
      <c r="H39" s="177"/>
      <c r="I39" s="173">
        <f>G39-E39</f>
        <v>253783</v>
      </c>
      <c r="J39" s="63" t="s">
        <v>17</v>
      </c>
      <c r="L39" s="62"/>
    </row>
    <row r="40" spans="1:12" x14ac:dyDescent="0.2">
      <c r="A40" s="163" t="s">
        <v>246</v>
      </c>
      <c r="B40" s="177"/>
      <c r="C40" s="177">
        <v>-144750</v>
      </c>
      <c r="D40" s="177"/>
      <c r="E40" s="177">
        <v>-797</v>
      </c>
      <c r="F40" s="177"/>
      <c r="G40" s="177">
        <v>0</v>
      </c>
      <c r="H40" s="177"/>
      <c r="I40" s="173">
        <f>G40-E40</f>
        <v>797</v>
      </c>
      <c r="J40" s="63" t="s">
        <v>17</v>
      </c>
      <c r="L40" s="62"/>
    </row>
    <row r="41" spans="1:12" x14ac:dyDescent="0.2">
      <c r="A41" s="163" t="s">
        <v>247</v>
      </c>
      <c r="B41" s="177"/>
      <c r="C41" s="177">
        <v>-18507</v>
      </c>
      <c r="D41" s="177"/>
      <c r="E41" s="177">
        <v>-38550</v>
      </c>
      <c r="F41" s="177"/>
      <c r="G41" s="177">
        <v>0</v>
      </c>
      <c r="H41" s="177"/>
      <c r="I41" s="173">
        <f>G41-E41</f>
        <v>38550</v>
      </c>
      <c r="J41" s="63" t="s">
        <v>17</v>
      </c>
      <c r="L41" s="62"/>
    </row>
    <row r="42" spans="1:12" x14ac:dyDescent="0.2">
      <c r="A42" s="163" t="s">
        <v>156</v>
      </c>
      <c r="B42" s="177"/>
      <c r="C42" s="236">
        <v>253783</v>
      </c>
      <c r="D42" s="177"/>
      <c r="E42" s="177">
        <v>0</v>
      </c>
      <c r="F42" s="177"/>
      <c r="G42" s="177">
        <v>0</v>
      </c>
      <c r="H42" s="177"/>
      <c r="I42" s="173">
        <f>G42-E42</f>
        <v>0</v>
      </c>
      <c r="J42" s="63" t="s">
        <v>17</v>
      </c>
      <c r="L42" s="62"/>
    </row>
    <row r="43" spans="1:12" x14ac:dyDescent="0.2">
      <c r="A43" s="163" t="s">
        <v>227</v>
      </c>
      <c r="B43" s="177"/>
      <c r="C43" s="177">
        <f>79855+334</f>
        <v>80189</v>
      </c>
      <c r="D43" s="177"/>
      <c r="E43" s="177">
        <v>0</v>
      </c>
      <c r="F43" s="177"/>
      <c r="G43" s="177">
        <v>0</v>
      </c>
      <c r="H43" s="177"/>
      <c r="I43" s="173">
        <f>G43-E43</f>
        <v>0</v>
      </c>
      <c r="J43" s="63" t="s">
        <v>17</v>
      </c>
      <c r="L43" s="62"/>
    </row>
    <row r="44" spans="1:12" ht="15.75" thickBot="1" x14ac:dyDescent="0.3">
      <c r="A44" s="69" t="s">
        <v>157</v>
      </c>
      <c r="B44" s="159">
        <f t="shared" ref="B44:I44" si="2">SUM(B38:B43)</f>
        <v>32628</v>
      </c>
      <c r="C44" s="159">
        <f t="shared" si="2"/>
        <v>7470415</v>
      </c>
      <c r="D44" s="159">
        <f t="shared" si="2"/>
        <v>32957</v>
      </c>
      <c r="E44" s="159">
        <f t="shared" si="2"/>
        <v>8245802</v>
      </c>
      <c r="F44" s="159">
        <f t="shared" si="2"/>
        <v>33237</v>
      </c>
      <c r="G44" s="159">
        <f t="shared" si="2"/>
        <v>8278219</v>
      </c>
      <c r="H44" s="159">
        <f t="shared" si="2"/>
        <v>280</v>
      </c>
      <c r="I44" s="160">
        <f t="shared" si="2"/>
        <v>32417</v>
      </c>
      <c r="J44" s="63" t="s">
        <v>17</v>
      </c>
      <c r="L44" s="62"/>
    </row>
    <row r="45" spans="1:12" x14ac:dyDescent="0.2">
      <c r="A45" s="290" t="s">
        <v>31</v>
      </c>
      <c r="B45" s="289"/>
      <c r="C45" s="289"/>
      <c r="D45" s="289"/>
      <c r="E45" s="289"/>
      <c r="F45" s="289"/>
      <c r="G45" s="289"/>
      <c r="H45" s="289"/>
      <c r="I45" s="288"/>
      <c r="J45" s="63" t="s">
        <v>17</v>
      </c>
    </row>
    <row r="46" spans="1:12" x14ac:dyDescent="0.2">
      <c r="A46" s="163" t="s">
        <v>158</v>
      </c>
      <c r="B46" s="177">
        <v>3062</v>
      </c>
      <c r="C46" s="177"/>
      <c r="D46" s="177">
        <v>3167</v>
      </c>
      <c r="E46" s="177"/>
      <c r="F46" s="177">
        <v>3167</v>
      </c>
      <c r="G46" s="177"/>
      <c r="H46" s="177">
        <f>F46-D46</f>
        <v>0</v>
      </c>
      <c r="I46" s="173"/>
      <c r="J46" s="63" t="s">
        <v>17</v>
      </c>
    </row>
    <row r="47" spans="1:12" x14ac:dyDescent="0.2">
      <c r="A47" s="163"/>
      <c r="B47" s="177"/>
      <c r="C47" s="177"/>
      <c r="D47" s="177"/>
      <c r="E47" s="177"/>
      <c r="F47" s="177"/>
      <c r="G47" s="177"/>
      <c r="H47" s="177"/>
      <c r="I47" s="173"/>
      <c r="J47" s="63" t="s">
        <v>17</v>
      </c>
      <c r="L47" s="62"/>
    </row>
    <row r="48" spans="1:12" x14ac:dyDescent="0.2">
      <c r="A48" s="163" t="s">
        <v>159</v>
      </c>
      <c r="B48" s="177"/>
      <c r="C48" s="177">
        <v>0</v>
      </c>
      <c r="D48" s="177"/>
      <c r="E48" s="177">
        <v>0</v>
      </c>
      <c r="F48" s="177"/>
      <c r="G48" s="177">
        <v>0</v>
      </c>
      <c r="H48" s="177"/>
      <c r="I48" s="173">
        <f>G48-E48</f>
        <v>0</v>
      </c>
      <c r="J48" s="63" t="s">
        <v>17</v>
      </c>
    </row>
    <row r="49" spans="1:10" s="165" customFormat="1" ht="29.25" thickBot="1" x14ac:dyDescent="0.25">
      <c r="A49" s="287" t="s">
        <v>160</v>
      </c>
      <c r="B49" s="286"/>
      <c r="C49" s="286">
        <v>0</v>
      </c>
      <c r="D49" s="286"/>
      <c r="E49" s="286">
        <v>0</v>
      </c>
      <c r="F49" s="286"/>
      <c r="G49" s="286">
        <v>0</v>
      </c>
      <c r="H49" s="286"/>
      <c r="I49" s="285">
        <f>G49-E49</f>
        <v>0</v>
      </c>
      <c r="J49" s="63" t="s">
        <v>17</v>
      </c>
    </row>
    <row r="50" spans="1:10" s="165" customFormat="1" x14ac:dyDescent="0.2">
      <c r="J50" s="4" t="s">
        <v>18</v>
      </c>
    </row>
    <row r="51" spans="1:10" s="165" customFormat="1" x14ac:dyDescent="0.2">
      <c r="A51" s="284"/>
      <c r="J51" s="4"/>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view="pageBreakPreview" zoomScale="60" zoomScaleNormal="100" workbookViewId="0">
      <selection activeCell="Q37" sqref="Q37"/>
    </sheetView>
  </sheetViews>
  <sheetFormatPr defaultRowHeight="15" x14ac:dyDescent="0.2"/>
  <cols>
    <col min="1" max="9" width="9.140625" style="200"/>
    <col min="10" max="10" width="43.28515625" style="200" customWidth="1"/>
    <col min="11" max="265" width="9.140625" style="200"/>
    <col min="266" max="266" width="43.28515625" style="200" customWidth="1"/>
    <col min="267" max="521" width="9.140625" style="200"/>
    <col min="522" max="522" width="43.28515625" style="200" customWidth="1"/>
    <col min="523" max="777" width="9.140625" style="200"/>
    <col min="778" max="778" width="43.28515625" style="200" customWidth="1"/>
    <col min="779" max="1033" width="9.140625" style="200"/>
    <col min="1034" max="1034" width="43.28515625" style="200" customWidth="1"/>
    <col min="1035" max="1289" width="9.140625" style="200"/>
    <col min="1290" max="1290" width="43.28515625" style="200" customWidth="1"/>
    <col min="1291" max="1545" width="9.140625" style="200"/>
    <col min="1546" max="1546" width="43.28515625" style="200" customWidth="1"/>
    <col min="1547" max="1801" width="9.140625" style="200"/>
    <col min="1802" max="1802" width="43.28515625" style="200" customWidth="1"/>
    <col min="1803" max="2057" width="9.140625" style="200"/>
    <col min="2058" max="2058" width="43.28515625" style="200" customWidth="1"/>
    <col min="2059" max="2313" width="9.140625" style="200"/>
    <col min="2314" max="2314" width="43.28515625" style="200" customWidth="1"/>
    <col min="2315" max="2569" width="9.140625" style="200"/>
    <col min="2570" max="2570" width="43.28515625" style="200" customWidth="1"/>
    <col min="2571" max="2825" width="9.140625" style="200"/>
    <col min="2826" max="2826" width="43.28515625" style="200" customWidth="1"/>
    <col min="2827" max="3081" width="9.140625" style="200"/>
    <col min="3082" max="3082" width="43.28515625" style="200" customWidth="1"/>
    <col min="3083" max="3337" width="9.140625" style="200"/>
    <col min="3338" max="3338" width="43.28515625" style="200" customWidth="1"/>
    <col min="3339" max="3593" width="9.140625" style="200"/>
    <col min="3594" max="3594" width="43.28515625" style="200" customWidth="1"/>
    <col min="3595" max="3849" width="9.140625" style="200"/>
    <col min="3850" max="3850" width="43.28515625" style="200" customWidth="1"/>
    <col min="3851" max="4105" width="9.140625" style="200"/>
    <col min="4106" max="4106" width="43.28515625" style="200" customWidth="1"/>
    <col min="4107" max="4361" width="9.140625" style="200"/>
    <col min="4362" max="4362" width="43.28515625" style="200" customWidth="1"/>
    <col min="4363" max="4617" width="9.140625" style="200"/>
    <col min="4618" max="4618" width="43.28515625" style="200" customWidth="1"/>
    <col min="4619" max="4873" width="9.140625" style="200"/>
    <col min="4874" max="4874" width="43.28515625" style="200" customWidth="1"/>
    <col min="4875" max="5129" width="9.140625" style="200"/>
    <col min="5130" max="5130" width="43.28515625" style="200" customWidth="1"/>
    <col min="5131" max="5385" width="9.140625" style="200"/>
    <col min="5386" max="5386" width="43.28515625" style="200" customWidth="1"/>
    <col min="5387" max="5641" width="9.140625" style="200"/>
    <col min="5642" max="5642" width="43.28515625" style="200" customWidth="1"/>
    <col min="5643" max="5897" width="9.140625" style="200"/>
    <col min="5898" max="5898" width="43.28515625" style="200" customWidth="1"/>
    <col min="5899" max="6153" width="9.140625" style="200"/>
    <col min="6154" max="6154" width="43.28515625" style="200" customWidth="1"/>
    <col min="6155" max="6409" width="9.140625" style="200"/>
    <col min="6410" max="6410" width="43.28515625" style="200" customWidth="1"/>
    <col min="6411" max="6665" width="9.140625" style="200"/>
    <col min="6666" max="6666" width="43.28515625" style="200" customWidth="1"/>
    <col min="6667" max="6921" width="9.140625" style="200"/>
    <col min="6922" max="6922" width="43.28515625" style="200" customWidth="1"/>
    <col min="6923" max="7177" width="9.140625" style="200"/>
    <col min="7178" max="7178" width="43.28515625" style="200" customWidth="1"/>
    <col min="7179" max="7433" width="9.140625" style="200"/>
    <col min="7434" max="7434" width="43.28515625" style="200" customWidth="1"/>
    <col min="7435" max="7689" width="9.140625" style="200"/>
    <col min="7690" max="7690" width="43.28515625" style="200" customWidth="1"/>
    <col min="7691" max="7945" width="9.140625" style="200"/>
    <col min="7946" max="7946" width="43.28515625" style="200" customWidth="1"/>
    <col min="7947" max="8201" width="9.140625" style="200"/>
    <col min="8202" max="8202" width="43.28515625" style="200" customWidth="1"/>
    <col min="8203" max="8457" width="9.140625" style="200"/>
    <col min="8458" max="8458" width="43.28515625" style="200" customWidth="1"/>
    <col min="8459" max="8713" width="9.140625" style="200"/>
    <col min="8714" max="8714" width="43.28515625" style="200" customWidth="1"/>
    <col min="8715" max="8969" width="9.140625" style="200"/>
    <col min="8970" max="8970" width="43.28515625" style="200" customWidth="1"/>
    <col min="8971" max="9225" width="9.140625" style="200"/>
    <col min="9226" max="9226" width="43.28515625" style="200" customWidth="1"/>
    <col min="9227" max="9481" width="9.140625" style="200"/>
    <col min="9482" max="9482" width="43.28515625" style="200" customWidth="1"/>
    <col min="9483" max="9737" width="9.140625" style="200"/>
    <col min="9738" max="9738" width="43.28515625" style="200" customWidth="1"/>
    <col min="9739" max="9993" width="9.140625" style="200"/>
    <col min="9994" max="9994" width="43.28515625" style="200" customWidth="1"/>
    <col min="9995" max="10249" width="9.140625" style="200"/>
    <col min="10250" max="10250" width="43.28515625" style="200" customWidth="1"/>
    <col min="10251" max="10505" width="9.140625" style="200"/>
    <col min="10506" max="10506" width="43.28515625" style="200" customWidth="1"/>
    <col min="10507" max="10761" width="9.140625" style="200"/>
    <col min="10762" max="10762" width="43.28515625" style="200" customWidth="1"/>
    <col min="10763" max="11017" width="9.140625" style="200"/>
    <col min="11018" max="11018" width="43.28515625" style="200" customWidth="1"/>
    <col min="11019" max="11273" width="9.140625" style="200"/>
    <col min="11274" max="11274" width="43.28515625" style="200" customWidth="1"/>
    <col min="11275" max="11529" width="9.140625" style="200"/>
    <col min="11530" max="11530" width="43.28515625" style="200" customWidth="1"/>
    <col min="11531" max="11785" width="9.140625" style="200"/>
    <col min="11786" max="11786" width="43.28515625" style="200" customWidth="1"/>
    <col min="11787" max="12041" width="9.140625" style="200"/>
    <col min="12042" max="12042" width="43.28515625" style="200" customWidth="1"/>
    <col min="12043" max="12297" width="9.140625" style="200"/>
    <col min="12298" max="12298" width="43.28515625" style="200" customWidth="1"/>
    <col min="12299" max="12553" width="9.140625" style="200"/>
    <col min="12554" max="12554" width="43.28515625" style="200" customWidth="1"/>
    <col min="12555" max="12809" width="9.140625" style="200"/>
    <col min="12810" max="12810" width="43.28515625" style="200" customWidth="1"/>
    <col min="12811" max="13065" width="9.140625" style="200"/>
    <col min="13066" max="13066" width="43.28515625" style="200" customWidth="1"/>
    <col min="13067" max="13321" width="9.140625" style="200"/>
    <col min="13322" max="13322" width="43.28515625" style="200" customWidth="1"/>
    <col min="13323" max="13577" width="9.140625" style="200"/>
    <col min="13578" max="13578" width="43.28515625" style="200" customWidth="1"/>
    <col min="13579" max="13833" width="9.140625" style="200"/>
    <col min="13834" max="13834" width="43.28515625" style="200" customWidth="1"/>
    <col min="13835" max="14089" width="9.140625" style="200"/>
    <col min="14090" max="14090" width="43.28515625" style="200" customWidth="1"/>
    <col min="14091" max="14345" width="9.140625" style="200"/>
    <col min="14346" max="14346" width="43.28515625" style="200" customWidth="1"/>
    <col min="14347" max="14601" width="9.140625" style="200"/>
    <col min="14602" max="14602" width="43.28515625" style="200" customWidth="1"/>
    <col min="14603" max="14857" width="9.140625" style="200"/>
    <col min="14858" max="14858" width="43.28515625" style="200" customWidth="1"/>
    <col min="14859" max="15113" width="9.140625" style="200"/>
    <col min="15114" max="15114" width="43.28515625" style="200" customWidth="1"/>
    <col min="15115" max="15369" width="9.140625" style="200"/>
    <col min="15370" max="15370" width="43.28515625" style="200" customWidth="1"/>
    <col min="15371" max="15625" width="9.140625" style="200"/>
    <col min="15626" max="15626" width="43.28515625" style="200" customWidth="1"/>
    <col min="15627" max="15881" width="9.140625" style="200"/>
    <col min="15882" max="15882" width="43.28515625" style="200" customWidth="1"/>
    <col min="15883" max="16137" width="9.140625" style="200"/>
    <col min="16138" max="16138" width="43.28515625" style="200" customWidth="1"/>
    <col min="16139" max="16384" width="9.140625" style="200"/>
  </cols>
  <sheetData>
    <row r="1" spans="1:11" s="194" customFormat="1" ht="15.75" x14ac:dyDescent="0.25">
      <c r="A1" s="193"/>
      <c r="K1" s="195" t="s">
        <v>17</v>
      </c>
    </row>
    <row r="2" spans="1:11" s="194" customFormat="1" x14ac:dyDescent="0.2">
      <c r="K2" s="195" t="s">
        <v>17</v>
      </c>
    </row>
    <row r="3" spans="1:11" s="194" customFormat="1" ht="20.25" x14ac:dyDescent="0.3">
      <c r="A3" s="196"/>
      <c r="B3" s="197"/>
      <c r="C3" s="197"/>
      <c r="D3" s="197"/>
      <c r="E3" s="197"/>
      <c r="F3" s="197"/>
      <c r="G3" s="197"/>
      <c r="H3" s="197"/>
      <c r="I3" s="197"/>
      <c r="J3" s="197"/>
      <c r="K3" s="195" t="s">
        <v>17</v>
      </c>
    </row>
    <row r="4" spans="1:11" s="194" customFormat="1" ht="20.25" x14ac:dyDescent="0.3">
      <c r="A4" s="196"/>
      <c r="B4" s="197"/>
      <c r="C4" s="197"/>
      <c r="D4" s="197"/>
      <c r="E4" s="197"/>
      <c r="F4" s="197"/>
      <c r="G4" s="197"/>
      <c r="H4" s="197"/>
      <c r="I4" s="197"/>
      <c r="J4" s="197"/>
      <c r="K4" s="195" t="s">
        <v>17</v>
      </c>
    </row>
    <row r="5" spans="1:11" s="194" customFormat="1" ht="20.25" x14ac:dyDescent="0.3">
      <c r="A5" s="524" t="s">
        <v>305</v>
      </c>
      <c r="B5" s="525"/>
      <c r="C5" s="525"/>
      <c r="D5" s="525"/>
      <c r="E5" s="525"/>
      <c r="F5" s="525"/>
      <c r="G5" s="525"/>
      <c r="H5" s="525"/>
      <c r="I5" s="525"/>
      <c r="J5" s="525"/>
      <c r="K5" s="195" t="s">
        <v>17</v>
      </c>
    </row>
    <row r="6" spans="1:11" s="194" customFormat="1" x14ac:dyDescent="0.2">
      <c r="A6" s="197"/>
      <c r="B6" s="197"/>
      <c r="C6" s="197"/>
      <c r="D6" s="197"/>
      <c r="E6" s="197"/>
      <c r="F6" s="197"/>
      <c r="G6" s="197"/>
      <c r="H6" s="197"/>
      <c r="I6" s="197"/>
      <c r="J6" s="197"/>
      <c r="K6" s="195" t="s">
        <v>17</v>
      </c>
    </row>
    <row r="7" spans="1:11" s="194" customFormat="1" ht="15.75" x14ac:dyDescent="0.25">
      <c r="A7" s="526" t="s">
        <v>1</v>
      </c>
      <c r="B7" s="527"/>
      <c r="C7" s="527"/>
      <c r="D7" s="527"/>
      <c r="E7" s="527"/>
      <c r="F7" s="527"/>
      <c r="G7" s="527"/>
      <c r="H7" s="527"/>
      <c r="I7" s="527"/>
      <c r="J7" s="527"/>
      <c r="K7" s="195" t="s">
        <v>17</v>
      </c>
    </row>
    <row r="8" spans="1:11" s="194" customFormat="1" x14ac:dyDescent="0.2">
      <c r="A8" s="528" t="s">
        <v>2</v>
      </c>
      <c r="B8" s="529"/>
      <c r="C8" s="529"/>
      <c r="D8" s="529"/>
      <c r="E8" s="529"/>
      <c r="F8" s="529"/>
      <c r="G8" s="529"/>
      <c r="H8" s="529"/>
      <c r="I8" s="529"/>
      <c r="J8" s="529"/>
      <c r="K8" s="195" t="s">
        <v>17</v>
      </c>
    </row>
    <row r="9" spans="1:11" s="194" customFormat="1" x14ac:dyDescent="0.2">
      <c r="A9" s="223"/>
      <c r="B9" s="223"/>
      <c r="C9" s="223"/>
      <c r="D9" s="223"/>
      <c r="E9" s="223"/>
      <c r="F9" s="223"/>
      <c r="G9" s="223"/>
      <c r="H9" s="223"/>
      <c r="I9" s="223"/>
      <c r="J9" s="223"/>
      <c r="K9" s="195" t="s">
        <v>17</v>
      </c>
    </row>
    <row r="10" spans="1:11" s="194" customFormat="1" ht="15.75" x14ac:dyDescent="0.25">
      <c r="A10" s="198"/>
      <c r="B10" s="198"/>
      <c r="C10" s="198"/>
      <c r="D10" s="198"/>
      <c r="E10" s="199"/>
      <c r="F10" s="199"/>
      <c r="G10" s="199"/>
      <c r="H10" s="199"/>
      <c r="I10" s="199"/>
      <c r="J10" s="198"/>
      <c r="K10" s="195" t="s">
        <v>17</v>
      </c>
    </row>
    <row r="11" spans="1:11" s="194" customFormat="1" ht="15.75" x14ac:dyDescent="0.25">
      <c r="A11" s="530" t="s">
        <v>272</v>
      </c>
      <c r="B11" s="530"/>
      <c r="C11" s="530"/>
      <c r="D11" s="530"/>
      <c r="E11" s="530"/>
      <c r="F11" s="530"/>
      <c r="G11" s="530"/>
      <c r="H11" s="530"/>
      <c r="I11" s="530"/>
      <c r="J11" s="530"/>
      <c r="K11" s="195" t="s">
        <v>17</v>
      </c>
    </row>
    <row r="12" spans="1:11" s="194" customFormat="1" ht="15.75" x14ac:dyDescent="0.25">
      <c r="A12" s="224"/>
      <c r="B12" s="224"/>
      <c r="C12" s="224"/>
      <c r="D12" s="224"/>
      <c r="E12" s="224"/>
      <c r="F12" s="224"/>
      <c r="G12" s="224"/>
      <c r="H12" s="224"/>
      <c r="I12" s="224"/>
      <c r="J12" s="224"/>
      <c r="K12" s="195"/>
    </row>
    <row r="13" spans="1:11" s="194" customFormat="1" ht="26.25" customHeight="1" x14ac:dyDescent="0.2">
      <c r="A13" s="522" t="s">
        <v>349</v>
      </c>
      <c r="B13" s="522"/>
      <c r="C13" s="522"/>
      <c r="D13" s="522"/>
      <c r="E13" s="522"/>
      <c r="F13" s="522"/>
      <c r="G13" s="522"/>
      <c r="H13" s="522"/>
      <c r="I13" s="522"/>
      <c r="J13" s="522"/>
      <c r="K13" s="195" t="s">
        <v>17</v>
      </c>
    </row>
    <row r="14" spans="1:11" s="194" customFormat="1" x14ac:dyDescent="0.2">
      <c r="A14" s="522"/>
      <c r="B14" s="522"/>
      <c r="C14" s="522"/>
      <c r="D14" s="522"/>
      <c r="E14" s="522"/>
      <c r="F14" s="522"/>
      <c r="G14" s="522"/>
      <c r="H14" s="522"/>
      <c r="I14" s="522"/>
      <c r="J14" s="522"/>
      <c r="K14" s="195" t="s">
        <v>17</v>
      </c>
    </row>
    <row r="15" spans="1:11" s="194" customFormat="1" ht="40.5" customHeight="1" x14ac:dyDescent="0.2">
      <c r="A15" s="522"/>
      <c r="B15" s="522"/>
      <c r="C15" s="522"/>
      <c r="D15" s="522"/>
      <c r="E15" s="522"/>
      <c r="F15" s="522"/>
      <c r="G15" s="522"/>
      <c r="H15" s="522"/>
      <c r="I15" s="522"/>
      <c r="J15" s="522"/>
      <c r="K15" s="195" t="s">
        <v>17</v>
      </c>
    </row>
    <row r="16" spans="1:11" s="194" customFormat="1" x14ac:dyDescent="0.2">
      <c r="A16" s="225"/>
      <c r="B16" s="225"/>
      <c r="C16" s="225"/>
      <c r="D16" s="225"/>
      <c r="E16" s="225"/>
      <c r="F16" s="225"/>
      <c r="G16" s="225"/>
      <c r="H16" s="225"/>
      <c r="I16" s="225"/>
      <c r="J16" s="225"/>
      <c r="K16" s="195"/>
    </row>
    <row r="17" spans="1:11" x14ac:dyDescent="0.2">
      <c r="A17" s="522" t="s">
        <v>350</v>
      </c>
      <c r="B17" s="522"/>
      <c r="C17" s="522"/>
      <c r="D17" s="522"/>
      <c r="E17" s="522"/>
      <c r="F17" s="522"/>
      <c r="G17" s="522"/>
      <c r="H17" s="522"/>
      <c r="I17" s="522"/>
      <c r="J17" s="522"/>
      <c r="K17" s="201"/>
    </row>
    <row r="18" spans="1:11" x14ac:dyDescent="0.2">
      <c r="A18" s="522"/>
      <c r="B18" s="522"/>
      <c r="C18" s="522"/>
      <c r="D18" s="522"/>
      <c r="E18" s="522"/>
      <c r="F18" s="522"/>
      <c r="G18" s="522"/>
      <c r="H18" s="522"/>
      <c r="I18" s="522"/>
      <c r="J18" s="522"/>
      <c r="K18" s="201"/>
    </row>
    <row r="19" spans="1:11" s="193" customFormat="1" ht="15.75" x14ac:dyDescent="0.25">
      <c r="A19" s="522"/>
      <c r="B19" s="522"/>
      <c r="C19" s="522"/>
      <c r="D19" s="522"/>
      <c r="E19" s="522"/>
      <c r="F19" s="522"/>
      <c r="G19" s="522"/>
      <c r="H19" s="522"/>
      <c r="I19" s="522"/>
      <c r="J19" s="522"/>
    </row>
    <row r="20" spans="1:11" s="194" customFormat="1" x14ac:dyDescent="0.2">
      <c r="A20" s="522" t="s">
        <v>351</v>
      </c>
      <c r="B20" s="522"/>
      <c r="C20" s="522"/>
      <c r="D20" s="522"/>
      <c r="E20" s="522"/>
      <c r="F20" s="522"/>
      <c r="G20" s="522"/>
      <c r="H20" s="522"/>
      <c r="I20" s="522"/>
      <c r="J20" s="522"/>
    </row>
    <row r="21" spans="1:11" s="194" customFormat="1" x14ac:dyDescent="0.2">
      <c r="A21" s="522"/>
      <c r="B21" s="522"/>
      <c r="C21" s="522"/>
      <c r="D21" s="522"/>
      <c r="E21" s="522"/>
      <c r="F21" s="522"/>
      <c r="G21" s="522"/>
      <c r="H21" s="522"/>
      <c r="I21" s="522"/>
      <c r="J21" s="522"/>
    </row>
    <row r="22" spans="1:11" s="194" customFormat="1" x14ac:dyDescent="0.2">
      <c r="A22" s="522"/>
      <c r="B22" s="522"/>
      <c r="C22" s="522"/>
      <c r="D22" s="522"/>
      <c r="E22" s="522"/>
      <c r="F22" s="522"/>
      <c r="G22" s="522"/>
      <c r="H22" s="522"/>
      <c r="I22" s="522"/>
      <c r="J22" s="522"/>
    </row>
    <row r="23" spans="1:11" s="194" customFormat="1" x14ac:dyDescent="0.2">
      <c r="A23" s="225"/>
      <c r="B23" s="225"/>
      <c r="C23" s="225"/>
      <c r="D23" s="225"/>
      <c r="E23" s="225"/>
      <c r="F23" s="225"/>
      <c r="G23" s="225"/>
      <c r="H23" s="225"/>
      <c r="I23" s="225"/>
      <c r="J23" s="225"/>
    </row>
    <row r="24" spans="1:11" s="194" customFormat="1" ht="12.75" customHeight="1" x14ac:dyDescent="0.2">
      <c r="A24" s="522" t="s">
        <v>352</v>
      </c>
      <c r="B24" s="522"/>
      <c r="C24" s="522"/>
      <c r="D24" s="522"/>
      <c r="E24" s="522"/>
      <c r="F24" s="522"/>
      <c r="G24" s="522"/>
      <c r="H24" s="522"/>
      <c r="I24" s="522"/>
      <c r="J24" s="522"/>
    </row>
    <row r="25" spans="1:11" ht="31.5" customHeight="1" x14ac:dyDescent="0.2">
      <c r="A25" s="522"/>
      <c r="B25" s="522"/>
      <c r="C25" s="522"/>
      <c r="D25" s="522"/>
      <c r="E25" s="522"/>
      <c r="F25" s="522"/>
      <c r="G25" s="522"/>
      <c r="H25" s="522"/>
      <c r="I25" s="522"/>
      <c r="J25" s="522"/>
      <c r="K25" s="201"/>
    </row>
    <row r="26" spans="1:11" x14ac:dyDescent="0.2">
      <c r="A26" s="225"/>
      <c r="B26" s="225"/>
      <c r="C26" s="225"/>
      <c r="D26" s="225"/>
      <c r="E26" s="225"/>
      <c r="F26" s="225"/>
      <c r="G26" s="225"/>
      <c r="H26" s="225"/>
      <c r="I26" s="225"/>
      <c r="J26" s="225"/>
      <c r="K26" s="201"/>
    </row>
    <row r="27" spans="1:11" x14ac:dyDescent="0.2">
      <c r="A27" s="522" t="s">
        <v>353</v>
      </c>
      <c r="B27" s="522"/>
      <c r="C27" s="522"/>
      <c r="D27" s="522"/>
      <c r="E27" s="522"/>
      <c r="F27" s="522"/>
      <c r="G27" s="522"/>
      <c r="H27" s="522"/>
      <c r="I27" s="522"/>
      <c r="J27" s="522"/>
      <c r="K27" s="201"/>
    </row>
    <row r="28" spans="1:11" x14ac:dyDescent="0.2">
      <c r="A28" s="522"/>
      <c r="B28" s="522"/>
      <c r="C28" s="522"/>
      <c r="D28" s="522"/>
      <c r="E28" s="522"/>
      <c r="F28" s="522"/>
      <c r="G28" s="522"/>
      <c r="H28" s="522"/>
      <c r="I28" s="522"/>
      <c r="J28" s="522"/>
      <c r="K28" s="201"/>
    </row>
    <row r="29" spans="1:11" ht="12" customHeight="1" x14ac:dyDescent="0.2">
      <c r="A29" s="522"/>
      <c r="B29" s="522"/>
      <c r="C29" s="522"/>
      <c r="D29" s="522"/>
      <c r="E29" s="522"/>
      <c r="F29" s="522"/>
      <c r="G29" s="522"/>
      <c r="H29" s="522"/>
      <c r="I29" s="522"/>
      <c r="J29" s="522"/>
    </row>
    <row r="30" spans="1:11" x14ac:dyDescent="0.2">
      <c r="A30" s="522" t="s">
        <v>442</v>
      </c>
      <c r="B30" s="522"/>
      <c r="C30" s="522"/>
      <c r="D30" s="522"/>
      <c r="E30" s="522"/>
      <c r="F30" s="522"/>
      <c r="G30" s="522"/>
      <c r="H30" s="522"/>
      <c r="I30" s="522"/>
      <c r="J30" s="522"/>
    </row>
    <row r="31" spans="1:11" x14ac:dyDescent="0.2">
      <c r="A31" s="522"/>
      <c r="B31" s="522"/>
      <c r="C31" s="522"/>
      <c r="D31" s="522"/>
      <c r="E31" s="522"/>
      <c r="F31" s="522"/>
      <c r="G31" s="522"/>
      <c r="H31" s="522"/>
      <c r="I31" s="522"/>
      <c r="J31" s="522"/>
    </row>
    <row r="32" spans="1:11" ht="31.5" customHeight="1" x14ac:dyDescent="0.2">
      <c r="A32" s="522"/>
      <c r="B32" s="522"/>
      <c r="C32" s="522"/>
      <c r="D32" s="522"/>
      <c r="E32" s="522"/>
      <c r="F32" s="522"/>
      <c r="G32" s="522"/>
      <c r="H32" s="522"/>
      <c r="I32" s="522"/>
      <c r="J32" s="522"/>
    </row>
    <row r="33" spans="1:10" x14ac:dyDescent="0.2">
      <c r="A33" s="225"/>
      <c r="B33" s="225"/>
      <c r="C33" s="225"/>
      <c r="D33" s="225"/>
      <c r="E33" s="225"/>
      <c r="F33" s="225"/>
      <c r="G33" s="225"/>
      <c r="H33" s="225"/>
      <c r="I33" s="225"/>
      <c r="J33" s="225"/>
    </row>
    <row r="34" spans="1:10" ht="15" customHeight="1" x14ac:dyDescent="0.2">
      <c r="A34" s="523" t="s">
        <v>354</v>
      </c>
      <c r="B34" s="523"/>
      <c r="C34" s="523"/>
      <c r="D34" s="523"/>
      <c r="E34" s="523"/>
      <c r="F34" s="523"/>
      <c r="G34" s="523"/>
      <c r="H34" s="523"/>
      <c r="I34" s="523"/>
      <c r="J34" s="523"/>
    </row>
    <row r="35" spans="1:10" ht="44.25" customHeight="1" x14ac:dyDescent="0.2">
      <c r="A35" s="523"/>
      <c r="B35" s="523"/>
      <c r="C35" s="523"/>
      <c r="D35" s="523"/>
      <c r="E35" s="523"/>
      <c r="F35" s="523"/>
      <c r="G35" s="523"/>
      <c r="H35" s="523"/>
      <c r="I35" s="523"/>
      <c r="J35" s="523"/>
    </row>
    <row r="36" spans="1:10" x14ac:dyDescent="0.2">
      <c r="A36" s="225"/>
      <c r="B36" s="225"/>
      <c r="C36" s="225"/>
      <c r="D36" s="225"/>
      <c r="E36" s="225"/>
      <c r="F36" s="225"/>
      <c r="G36" s="225"/>
      <c r="H36" s="225"/>
      <c r="I36" s="225"/>
      <c r="J36" s="225"/>
    </row>
    <row r="37" spans="1:10" ht="18" customHeight="1" x14ac:dyDescent="0.2">
      <c r="A37" s="522" t="s">
        <v>355</v>
      </c>
      <c r="B37" s="522"/>
      <c r="C37" s="522"/>
      <c r="D37" s="522"/>
      <c r="E37" s="522"/>
      <c r="F37" s="522"/>
      <c r="G37" s="522"/>
      <c r="H37" s="522"/>
      <c r="I37" s="522"/>
      <c r="J37" s="522"/>
    </row>
    <row r="38" spans="1:10" ht="28.5" customHeight="1" x14ac:dyDescent="0.2">
      <c r="A38" s="522"/>
      <c r="B38" s="522"/>
      <c r="C38" s="522"/>
      <c r="D38" s="522"/>
      <c r="E38" s="522"/>
      <c r="F38" s="522"/>
      <c r="G38" s="522"/>
      <c r="H38" s="522"/>
      <c r="I38" s="522"/>
      <c r="J38" s="522"/>
    </row>
    <row r="39" spans="1:10" x14ac:dyDescent="0.2">
      <c r="A39" s="225"/>
      <c r="B39" s="225"/>
      <c r="C39" s="225"/>
      <c r="D39" s="225"/>
      <c r="E39" s="225"/>
      <c r="F39" s="225"/>
      <c r="G39" s="225"/>
      <c r="H39" s="225"/>
      <c r="I39" s="225"/>
      <c r="J39" s="225"/>
    </row>
    <row r="40" spans="1:10" x14ac:dyDescent="0.2">
      <c r="A40" s="522" t="s">
        <v>443</v>
      </c>
      <c r="B40" s="522"/>
      <c r="C40" s="522"/>
      <c r="D40" s="522"/>
      <c r="E40" s="522"/>
      <c r="F40" s="522"/>
      <c r="G40" s="522"/>
      <c r="H40" s="522"/>
      <c r="I40" s="522"/>
      <c r="J40" s="522"/>
    </row>
    <row r="41" spans="1:10" ht="47.25" customHeight="1" x14ac:dyDescent="0.2">
      <c r="A41" s="522"/>
      <c r="B41" s="522"/>
      <c r="C41" s="522"/>
      <c r="D41" s="522"/>
      <c r="E41" s="522"/>
      <c r="F41" s="522"/>
      <c r="G41" s="522"/>
      <c r="H41" s="522"/>
      <c r="I41" s="522"/>
      <c r="J41" s="522"/>
    </row>
    <row r="42" spans="1:10" x14ac:dyDescent="0.2">
      <c r="A42" s="225"/>
      <c r="B42" s="225"/>
      <c r="C42" s="225"/>
      <c r="D42" s="225"/>
      <c r="E42" s="225"/>
      <c r="F42" s="225"/>
      <c r="G42" s="225"/>
      <c r="H42" s="225"/>
      <c r="I42" s="225"/>
      <c r="J42" s="225"/>
    </row>
    <row r="43" spans="1:10" ht="18" customHeight="1" x14ac:dyDescent="0.2">
      <c r="A43" s="522" t="s">
        <v>356</v>
      </c>
      <c r="B43" s="522"/>
      <c r="C43" s="522"/>
      <c r="D43" s="522"/>
      <c r="E43" s="522"/>
      <c r="F43" s="522"/>
      <c r="G43" s="522"/>
      <c r="H43" s="522"/>
      <c r="I43" s="522"/>
      <c r="J43" s="522"/>
    </row>
    <row r="44" spans="1:10" ht="30" customHeight="1" x14ac:dyDescent="0.2">
      <c r="A44" s="522"/>
      <c r="B44" s="522"/>
      <c r="C44" s="522"/>
      <c r="D44" s="522"/>
      <c r="E44" s="522"/>
      <c r="F44" s="522"/>
      <c r="G44" s="522"/>
      <c r="H44" s="522"/>
      <c r="I44" s="522"/>
      <c r="J44" s="522"/>
    </row>
  </sheetData>
  <mergeCells count="14">
    <mergeCell ref="A17:J19"/>
    <mergeCell ref="A5:J5"/>
    <mergeCell ref="A7:J7"/>
    <mergeCell ref="A8:J8"/>
    <mergeCell ref="A11:J11"/>
    <mergeCell ref="A13:J15"/>
    <mergeCell ref="A40:J41"/>
    <mergeCell ref="A43:J44"/>
    <mergeCell ref="A20:J22"/>
    <mergeCell ref="A24:J25"/>
    <mergeCell ref="A27:J29"/>
    <mergeCell ref="A30:J32"/>
    <mergeCell ref="A34:J35"/>
    <mergeCell ref="A37:J38"/>
  </mergeCells>
  <printOptions horizontalCentered="1"/>
  <pageMargins left="0.75" right="0.75" top="1" bottom="1" header="0.5" footer="0.5"/>
  <pageSetup scale="56" orientation="landscape" r:id="rId1"/>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view="pageBreakPreview" zoomScale="90" zoomScaleNormal="100" zoomScaleSheetLayoutView="90" workbookViewId="0">
      <selection activeCell="A23" sqref="A23"/>
    </sheetView>
  </sheetViews>
  <sheetFormatPr defaultColWidth="9.140625" defaultRowHeight="14.25" x14ac:dyDescent="0.2"/>
  <cols>
    <col min="1" max="1" width="113.5703125" style="165" customWidth="1"/>
    <col min="2" max="2" width="17.5703125" style="169" customWidth="1"/>
    <col min="3" max="3" width="11.42578125" style="169" customWidth="1"/>
    <col min="4" max="4" width="14.5703125" style="170" customWidth="1"/>
    <col min="5" max="5" width="11.5703125" style="4" bestFit="1" customWidth="1"/>
    <col min="6" max="6" width="4.85546875" style="165" customWidth="1"/>
    <col min="7" max="7" width="140.28515625" style="165" customWidth="1"/>
    <col min="8" max="16384" width="9.140625" style="165"/>
  </cols>
  <sheetData>
    <row r="1" spans="1:7" ht="18" x14ac:dyDescent="0.25">
      <c r="A1" s="433" t="s">
        <v>0</v>
      </c>
      <c r="B1" s="433"/>
      <c r="C1" s="433"/>
      <c r="D1" s="433"/>
      <c r="E1" s="4" t="s">
        <v>17</v>
      </c>
      <c r="G1" s="108" t="s">
        <v>25</v>
      </c>
    </row>
    <row r="2" spans="1:7" ht="15" x14ac:dyDescent="0.2">
      <c r="A2" s="434" t="s">
        <v>305</v>
      </c>
      <c r="B2" s="434"/>
      <c r="C2" s="434"/>
      <c r="D2" s="434"/>
      <c r="E2" s="4" t="s">
        <v>17</v>
      </c>
      <c r="G2" s="109" t="s">
        <v>231</v>
      </c>
    </row>
    <row r="3" spans="1:7" x14ac:dyDescent="0.2">
      <c r="A3" s="435" t="s">
        <v>422</v>
      </c>
      <c r="B3" s="435"/>
      <c r="C3" s="435"/>
      <c r="D3" s="435"/>
      <c r="E3" s="4" t="s">
        <v>17</v>
      </c>
      <c r="G3" s="109" t="s">
        <v>232</v>
      </c>
    </row>
    <row r="4" spans="1:7" x14ac:dyDescent="0.2">
      <c r="A4" s="450" t="s">
        <v>2</v>
      </c>
      <c r="B4" s="450"/>
      <c r="C4" s="450"/>
      <c r="D4" s="450"/>
      <c r="E4" s="4" t="s">
        <v>17</v>
      </c>
      <c r="G4" s="109" t="s">
        <v>200</v>
      </c>
    </row>
    <row r="5" spans="1:7" ht="15" thickBot="1" x14ac:dyDescent="0.25">
      <c r="E5" s="4" t="s">
        <v>17</v>
      </c>
      <c r="G5" s="119" t="s">
        <v>233</v>
      </c>
    </row>
    <row r="6" spans="1:7" ht="15" x14ac:dyDescent="0.25">
      <c r="B6" s="437" t="s">
        <v>254</v>
      </c>
      <c r="C6" s="438"/>
      <c r="D6" s="439"/>
      <c r="E6" s="4" t="s">
        <v>17</v>
      </c>
    </row>
    <row r="7" spans="1:7" ht="15.75" thickBot="1" x14ac:dyDescent="0.25">
      <c r="B7" s="1" t="s">
        <v>293</v>
      </c>
      <c r="C7" s="2" t="s">
        <v>294</v>
      </c>
      <c r="D7" s="3" t="s">
        <v>4</v>
      </c>
      <c r="E7" s="4" t="s">
        <v>17</v>
      </c>
      <c r="G7" s="111" t="s">
        <v>211</v>
      </c>
    </row>
    <row r="8" spans="1:7" ht="15" x14ac:dyDescent="0.25">
      <c r="A8" s="87" t="s">
        <v>252</v>
      </c>
      <c r="B8" s="88">
        <v>0</v>
      </c>
      <c r="C8" s="89">
        <v>0</v>
      </c>
      <c r="D8" s="366">
        <v>80982</v>
      </c>
      <c r="E8" s="4" t="s">
        <v>17</v>
      </c>
      <c r="G8" s="112" t="s">
        <v>202</v>
      </c>
    </row>
    <row r="9" spans="1:7" ht="15" x14ac:dyDescent="0.25">
      <c r="A9" s="190" t="s">
        <v>253</v>
      </c>
      <c r="B9" s="76" t="s">
        <v>82</v>
      </c>
      <c r="C9" s="77"/>
      <c r="D9" s="382">
        <v>-1679</v>
      </c>
      <c r="G9" s="112"/>
    </row>
    <row r="10" spans="1:7" ht="15" x14ac:dyDescent="0.25">
      <c r="A10" s="190" t="s">
        <v>289</v>
      </c>
      <c r="B10" s="76"/>
      <c r="C10" s="77"/>
      <c r="D10" s="382">
        <v>-4074</v>
      </c>
      <c r="G10" s="112"/>
    </row>
    <row r="11" spans="1:7" ht="15" x14ac:dyDescent="0.25">
      <c r="A11" s="171" t="s">
        <v>290</v>
      </c>
      <c r="B11" s="76"/>
      <c r="C11" s="77"/>
      <c r="D11" s="382">
        <v>0</v>
      </c>
      <c r="E11" s="4" t="s">
        <v>17</v>
      </c>
      <c r="G11" s="112" t="s">
        <v>19</v>
      </c>
    </row>
    <row r="12" spans="1:7" ht="15" x14ac:dyDescent="0.25">
      <c r="A12" s="204" t="s">
        <v>277</v>
      </c>
      <c r="B12" s="205"/>
      <c r="C12" s="203"/>
      <c r="D12" s="331"/>
      <c r="G12" s="112" t="s">
        <v>278</v>
      </c>
    </row>
    <row r="13" spans="1:7" ht="15" x14ac:dyDescent="0.25">
      <c r="A13" s="86" t="s">
        <v>255</v>
      </c>
      <c r="B13" s="121">
        <f>SUM(B8:B11)</f>
        <v>0</v>
      </c>
      <c r="C13" s="122">
        <f>SUM(C8:C11)</f>
        <v>0</v>
      </c>
      <c r="D13" s="358">
        <f>SUM(D8:D11)</f>
        <v>75229</v>
      </c>
      <c r="E13" s="4" t="s">
        <v>17</v>
      </c>
      <c r="G13" s="113" t="s">
        <v>20</v>
      </c>
    </row>
    <row r="14" spans="1:7" ht="15" x14ac:dyDescent="0.25">
      <c r="A14" s="86"/>
      <c r="B14" s="121"/>
      <c r="C14" s="122"/>
      <c r="D14" s="332"/>
      <c r="G14" s="113"/>
    </row>
    <row r="15" spans="1:7" ht="15" x14ac:dyDescent="0.25">
      <c r="A15" s="75" t="s">
        <v>297</v>
      </c>
      <c r="B15" s="121">
        <v>0</v>
      </c>
      <c r="C15" s="122">
        <v>0</v>
      </c>
      <c r="D15" s="358">
        <v>97482</v>
      </c>
      <c r="E15" s="4" t="s">
        <v>17</v>
      </c>
      <c r="G15" s="112" t="s">
        <v>203</v>
      </c>
    </row>
    <row r="16" spans="1:7" ht="15" x14ac:dyDescent="0.25">
      <c r="A16" s="171" t="s">
        <v>291</v>
      </c>
      <c r="B16" s="161">
        <v>0</v>
      </c>
      <c r="C16" s="162">
        <v>0</v>
      </c>
      <c r="D16" s="330">
        <v>0</v>
      </c>
      <c r="G16" s="112"/>
    </row>
    <row r="17" spans="1:7" ht="15" x14ac:dyDescent="0.25">
      <c r="A17" s="78" t="s">
        <v>298</v>
      </c>
      <c r="B17" s="192">
        <f>SUM(B15:B16)+B13</f>
        <v>0</v>
      </c>
      <c r="C17" s="139">
        <f>SUM(C15:C16)+C13</f>
        <v>0</v>
      </c>
      <c r="D17" s="359">
        <f>D15+D16</f>
        <v>97482</v>
      </c>
      <c r="E17" s="4" t="s">
        <v>17</v>
      </c>
      <c r="G17" s="113" t="s">
        <v>21</v>
      </c>
    </row>
    <row r="18" spans="1:7" ht="15" x14ac:dyDescent="0.25">
      <c r="A18" s="78"/>
      <c r="B18" s="76"/>
      <c r="C18" s="77"/>
      <c r="D18" s="333"/>
      <c r="E18" s="4" t="s">
        <v>17</v>
      </c>
      <c r="G18" s="112"/>
    </row>
    <row r="19" spans="1:7" ht="15" x14ac:dyDescent="0.25">
      <c r="A19" s="80" t="s">
        <v>423</v>
      </c>
      <c r="B19" s="76"/>
      <c r="C19" s="77"/>
      <c r="D19" s="333"/>
      <c r="E19" s="4" t="s">
        <v>17</v>
      </c>
      <c r="G19" s="112" t="s">
        <v>424</v>
      </c>
    </row>
    <row r="20" spans="1:7" ht="15" x14ac:dyDescent="0.25">
      <c r="A20" s="81" t="s">
        <v>425</v>
      </c>
      <c r="B20" s="76">
        <f>SUM(B22:B22)</f>
        <v>0</v>
      </c>
      <c r="C20" s="77">
        <f>SUM(C22:C22)</f>
        <v>0</v>
      </c>
      <c r="D20" s="333">
        <v>0</v>
      </c>
      <c r="E20" s="4" t="s">
        <v>17</v>
      </c>
      <c r="G20" s="112"/>
    </row>
    <row r="21" spans="1:7" ht="15" x14ac:dyDescent="0.25">
      <c r="A21" s="80" t="s">
        <v>171</v>
      </c>
      <c r="B21" s="76"/>
      <c r="C21" s="77"/>
      <c r="D21" s="333"/>
      <c r="E21" s="4" t="s">
        <v>17</v>
      </c>
      <c r="G21" s="112"/>
    </row>
    <row r="22" spans="1:7" ht="16.5" customHeight="1" x14ac:dyDescent="0.25">
      <c r="A22" s="175" t="s">
        <v>426</v>
      </c>
      <c r="B22" s="129">
        <v>0</v>
      </c>
      <c r="C22" s="130">
        <v>0</v>
      </c>
      <c r="D22" s="334">
        <v>-16500</v>
      </c>
      <c r="E22" s="4" t="s">
        <v>17</v>
      </c>
      <c r="G22" s="113"/>
    </row>
    <row r="23" spans="1:7" ht="15" x14ac:dyDescent="0.25">
      <c r="A23" s="81" t="s">
        <v>172</v>
      </c>
      <c r="B23" s="76">
        <f>B21</f>
        <v>0</v>
      </c>
      <c r="C23" s="77">
        <f>C21</f>
        <v>0</v>
      </c>
      <c r="D23" s="333">
        <f>D22</f>
        <v>-16500</v>
      </c>
      <c r="E23" s="4" t="s">
        <v>17</v>
      </c>
      <c r="G23" s="113" t="s">
        <v>22</v>
      </c>
    </row>
    <row r="24" spans="1:7" ht="15" x14ac:dyDescent="0.25">
      <c r="A24" s="78" t="s">
        <v>173</v>
      </c>
      <c r="B24" s="127">
        <f>B23+B20</f>
        <v>0</v>
      </c>
      <c r="C24" s="31">
        <f>C23+C20</f>
        <v>0</v>
      </c>
      <c r="D24" s="335">
        <f>D23+D20</f>
        <v>-16500</v>
      </c>
      <c r="E24" s="4" t="s">
        <v>17</v>
      </c>
      <c r="G24" s="113" t="s">
        <v>234</v>
      </c>
    </row>
    <row r="25" spans="1:7" ht="15" x14ac:dyDescent="0.25">
      <c r="A25" s="82" t="s">
        <v>256</v>
      </c>
      <c r="B25" s="125">
        <f>B17+B24</f>
        <v>0</v>
      </c>
      <c r="C25" s="122">
        <f>C17+C24</f>
        <v>0</v>
      </c>
      <c r="D25" s="360">
        <f>D17+D24</f>
        <v>80982</v>
      </c>
      <c r="E25" s="4" t="s">
        <v>17</v>
      </c>
      <c r="G25" s="113" t="s">
        <v>235</v>
      </c>
    </row>
    <row r="26" spans="1:7" ht="15" x14ac:dyDescent="0.25">
      <c r="A26" s="82" t="s">
        <v>10</v>
      </c>
      <c r="B26" s="125"/>
      <c r="C26" s="122"/>
      <c r="D26" s="336"/>
      <c r="E26" s="4" t="s">
        <v>17</v>
      </c>
      <c r="G26" s="112"/>
    </row>
    <row r="27" spans="1:7" ht="15" x14ac:dyDescent="0.25">
      <c r="A27" s="178" t="s">
        <v>427</v>
      </c>
      <c r="B27" s="83"/>
      <c r="C27" s="77"/>
      <c r="D27" s="337"/>
      <c r="E27" s="4" t="s">
        <v>17</v>
      </c>
      <c r="G27" s="112"/>
    </row>
    <row r="28" spans="1:7" x14ac:dyDescent="0.2">
      <c r="A28" s="179" t="s">
        <v>428</v>
      </c>
      <c r="B28" s="180">
        <v>0</v>
      </c>
      <c r="C28" s="177">
        <v>0</v>
      </c>
      <c r="D28" s="338">
        <v>-12000</v>
      </c>
      <c r="E28" s="4" t="s">
        <v>17</v>
      </c>
      <c r="G28" s="112"/>
    </row>
    <row r="29" spans="1:7" x14ac:dyDescent="0.2">
      <c r="A29" s="179" t="s">
        <v>15</v>
      </c>
      <c r="B29" s="180">
        <f>SUM(B28:B28)</f>
        <v>0</v>
      </c>
      <c r="C29" s="177">
        <f>SUM(C28:C28)</f>
        <v>0</v>
      </c>
      <c r="D29" s="338">
        <f>SUM(D28:D28)</f>
        <v>-12000</v>
      </c>
      <c r="E29" s="4" t="s">
        <v>17</v>
      </c>
      <c r="G29" s="112"/>
    </row>
    <row r="30" spans="1:7" ht="15" x14ac:dyDescent="0.25">
      <c r="A30" s="78" t="s">
        <v>16</v>
      </c>
      <c r="B30" s="124">
        <f>B29</f>
        <v>0</v>
      </c>
      <c r="C30" s="31">
        <f>C29</f>
        <v>0</v>
      </c>
      <c r="D30" s="339">
        <f>D29</f>
        <v>-12000</v>
      </c>
      <c r="E30" s="4" t="s">
        <v>17</v>
      </c>
      <c r="G30" s="113" t="s">
        <v>23</v>
      </c>
    </row>
    <row r="31" spans="1:7" ht="15" x14ac:dyDescent="0.25">
      <c r="A31" s="85" t="s">
        <v>257</v>
      </c>
      <c r="B31" s="121">
        <f>B25+B30</f>
        <v>0</v>
      </c>
      <c r="C31" s="122">
        <f>C25+C30</f>
        <v>0</v>
      </c>
      <c r="D31" s="358">
        <f>D25+D30</f>
        <v>68982</v>
      </c>
      <c r="E31" s="4" t="s">
        <v>17</v>
      </c>
      <c r="G31" s="113" t="s">
        <v>24</v>
      </c>
    </row>
    <row r="32" spans="1:7" ht="15" x14ac:dyDescent="0.25">
      <c r="A32" s="171" t="s">
        <v>292</v>
      </c>
      <c r="B32" s="124"/>
      <c r="C32" s="31"/>
      <c r="D32" s="340">
        <v>0</v>
      </c>
      <c r="E32" s="4" t="s">
        <v>17</v>
      </c>
      <c r="G32" s="112"/>
    </row>
    <row r="33" spans="1:7" s="5" customFormat="1" ht="15" x14ac:dyDescent="0.25">
      <c r="A33" s="97" t="s">
        <v>258</v>
      </c>
      <c r="B33" s="383">
        <f t="shared" ref="B33:C33" si="0">SUM(B31:B32)</f>
        <v>0</v>
      </c>
      <c r="C33" s="385">
        <f t="shared" si="0"/>
        <v>0</v>
      </c>
      <c r="D33" s="361">
        <f>SUM(D31:D32)</f>
        <v>68982</v>
      </c>
      <c r="E33" s="4" t="s">
        <v>17</v>
      </c>
      <c r="G33" s="113" t="s">
        <v>210</v>
      </c>
    </row>
    <row r="34" spans="1:7" ht="15.75" thickBot="1" x14ac:dyDescent="0.3">
      <c r="A34" s="182" t="s">
        <v>303</v>
      </c>
      <c r="B34" s="384">
        <f>B31-B15</f>
        <v>0</v>
      </c>
      <c r="C34" s="386">
        <f>C31-C15</f>
        <v>0</v>
      </c>
      <c r="D34" s="367">
        <f>D31-D15</f>
        <v>-28500</v>
      </c>
      <c r="E34" s="4" t="s">
        <v>17</v>
      </c>
      <c r="G34" s="113" t="s">
        <v>273</v>
      </c>
    </row>
    <row r="35" spans="1:7" x14ac:dyDescent="0.2">
      <c r="A35" s="4"/>
      <c r="E35" s="4" t="s">
        <v>17</v>
      </c>
    </row>
    <row r="36" spans="1:7" ht="17.25" x14ac:dyDescent="0.2">
      <c r="A36" s="431"/>
      <c r="B36" s="432"/>
      <c r="C36" s="432"/>
      <c r="D36" s="432"/>
      <c r="E36" s="4" t="s">
        <v>17</v>
      </c>
    </row>
    <row r="37" spans="1:7" x14ac:dyDescent="0.2">
      <c r="E37" s="4" t="s">
        <v>18</v>
      </c>
    </row>
  </sheetData>
  <mergeCells count="6">
    <mergeCell ref="A36:D36"/>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6"/>
  <sheetViews>
    <sheetView view="pageBreakPreview" zoomScale="60" zoomScaleNormal="100" workbookViewId="0">
      <selection activeCell="N47" sqref="N47"/>
    </sheetView>
  </sheetViews>
  <sheetFormatPr defaultColWidth="9.140625" defaultRowHeight="14.25" x14ac:dyDescent="0.2"/>
  <cols>
    <col min="1" max="1" width="37.140625" style="165" customWidth="1"/>
    <col min="2" max="3" width="8.28515625" style="165" customWidth="1"/>
    <col min="4" max="4" width="12.7109375" style="165" customWidth="1"/>
    <col min="5" max="6" width="8.28515625" style="165" customWidth="1"/>
    <col min="7" max="7" width="12.7109375" style="165" customWidth="1"/>
    <col min="8" max="9" width="8.28515625" style="165" customWidth="1"/>
    <col min="10" max="10" width="12.7109375" style="165" customWidth="1"/>
    <col min="11" max="12" width="8.28515625" style="165" customWidth="1"/>
    <col min="13" max="13" width="12.7109375" style="165" customWidth="1"/>
    <col min="14" max="14" width="14" style="4" bestFit="1" customWidth="1"/>
    <col min="15" max="15" width="4.5703125" style="165" customWidth="1"/>
    <col min="16" max="16" width="116.7109375" style="165" customWidth="1"/>
    <col min="17" max="18" width="8.28515625" style="165" customWidth="1"/>
    <col min="19" max="19" width="12.7109375" style="165" customWidth="1"/>
    <col min="20" max="21" width="8.28515625" style="165" customWidth="1"/>
    <col min="22" max="22" width="12.7109375" style="165" customWidth="1"/>
    <col min="23" max="16384" width="9.140625" style="165"/>
  </cols>
  <sheetData>
    <row r="1" spans="1:22" ht="18" x14ac:dyDescent="0.25">
      <c r="A1" s="433" t="s">
        <v>0</v>
      </c>
      <c r="B1" s="433"/>
      <c r="C1" s="433"/>
      <c r="D1" s="433"/>
      <c r="E1" s="433"/>
      <c r="F1" s="433"/>
      <c r="G1" s="433"/>
      <c r="H1" s="433"/>
      <c r="I1" s="433"/>
      <c r="J1" s="433"/>
      <c r="K1" s="433"/>
      <c r="L1" s="433"/>
      <c r="M1" s="433"/>
      <c r="N1" s="63" t="s">
        <v>17</v>
      </c>
      <c r="O1" s="6"/>
      <c r="P1" s="108" t="s">
        <v>25</v>
      </c>
      <c r="Q1" s="6"/>
      <c r="R1" s="6"/>
      <c r="S1" s="6"/>
      <c r="T1" s="6"/>
      <c r="U1" s="6"/>
      <c r="V1" s="6"/>
    </row>
    <row r="2" spans="1:22" ht="15" x14ac:dyDescent="0.2">
      <c r="A2" s="434" t="s">
        <v>305</v>
      </c>
      <c r="B2" s="434"/>
      <c r="C2" s="434"/>
      <c r="D2" s="434"/>
      <c r="E2" s="434"/>
      <c r="F2" s="434"/>
      <c r="G2" s="434"/>
      <c r="H2" s="434"/>
      <c r="I2" s="434"/>
      <c r="J2" s="434"/>
      <c r="K2" s="434"/>
      <c r="L2" s="434"/>
      <c r="M2" s="434"/>
      <c r="N2" s="63" t="s">
        <v>17</v>
      </c>
      <c r="O2" s="7"/>
      <c r="P2" s="109"/>
      <c r="Q2" s="7"/>
      <c r="R2" s="7"/>
      <c r="S2" s="7"/>
      <c r="T2" s="7"/>
      <c r="U2" s="7"/>
      <c r="V2" s="7"/>
    </row>
    <row r="3" spans="1:22" ht="15" x14ac:dyDescent="0.25">
      <c r="A3" s="435" t="s">
        <v>422</v>
      </c>
      <c r="B3" s="435"/>
      <c r="C3" s="435"/>
      <c r="D3" s="435"/>
      <c r="E3" s="435"/>
      <c r="F3" s="435"/>
      <c r="G3" s="435"/>
      <c r="H3" s="435"/>
      <c r="I3" s="435"/>
      <c r="J3" s="435"/>
      <c r="K3" s="435"/>
      <c r="L3" s="435"/>
      <c r="M3" s="435"/>
      <c r="N3" s="63" t="s">
        <v>17</v>
      </c>
      <c r="O3" s="189"/>
      <c r="P3" s="109" t="s">
        <v>201</v>
      </c>
      <c r="Q3" s="189"/>
      <c r="R3" s="189"/>
      <c r="S3" s="189"/>
      <c r="T3" s="189"/>
      <c r="U3" s="189"/>
      <c r="V3" s="189"/>
    </row>
    <row r="4" spans="1:22" x14ac:dyDescent="0.2">
      <c r="A4" s="450" t="s">
        <v>2</v>
      </c>
      <c r="B4" s="450"/>
      <c r="C4" s="450"/>
      <c r="D4" s="450"/>
      <c r="E4" s="450"/>
      <c r="F4" s="450"/>
      <c r="G4" s="450"/>
      <c r="H4" s="450"/>
      <c r="I4" s="450"/>
      <c r="J4" s="450"/>
      <c r="K4" s="450"/>
      <c r="L4" s="450"/>
      <c r="M4" s="450"/>
      <c r="N4" s="63" t="s">
        <v>17</v>
      </c>
      <c r="O4" s="188"/>
      <c r="P4" s="109" t="s">
        <v>200</v>
      </c>
      <c r="Q4" s="188"/>
      <c r="R4" s="188"/>
      <c r="S4" s="188"/>
      <c r="T4" s="188"/>
      <c r="U4" s="188"/>
      <c r="V4" s="188"/>
    </row>
    <row r="5" spans="1:22" ht="15.75" thickBot="1" x14ac:dyDescent="0.3">
      <c r="A5" s="450"/>
      <c r="B5" s="450"/>
      <c r="C5" s="450"/>
      <c r="D5" s="450"/>
      <c r="E5" s="450"/>
      <c r="F5" s="450"/>
      <c r="G5" s="450"/>
      <c r="H5" s="450"/>
      <c r="I5" s="450"/>
      <c r="J5" s="450"/>
      <c r="K5" s="450"/>
      <c r="L5" s="450"/>
      <c r="M5" s="450"/>
      <c r="N5" s="63" t="s">
        <v>17</v>
      </c>
      <c r="O5" s="188"/>
      <c r="P5" s="110"/>
      <c r="Q5" s="188"/>
      <c r="R5" s="188"/>
      <c r="S5" s="188"/>
      <c r="T5" s="188"/>
      <c r="U5" s="188"/>
      <c r="V5" s="188"/>
    </row>
    <row r="6" spans="1:22" ht="15" thickBot="1" x14ac:dyDescent="0.25">
      <c r="A6" s="450"/>
      <c r="B6" s="450"/>
      <c r="C6" s="450"/>
      <c r="D6" s="450"/>
      <c r="E6" s="450"/>
      <c r="F6" s="450"/>
      <c r="G6" s="450"/>
      <c r="H6" s="450"/>
      <c r="I6" s="450"/>
      <c r="J6" s="450"/>
      <c r="K6" s="450"/>
      <c r="L6" s="450"/>
      <c r="M6" s="450"/>
      <c r="N6" s="63" t="s">
        <v>17</v>
      </c>
      <c r="O6" s="188"/>
      <c r="P6" s="188"/>
      <c r="Q6" s="188"/>
      <c r="R6" s="188"/>
      <c r="S6" s="188"/>
      <c r="T6" s="188"/>
      <c r="U6" s="188"/>
      <c r="V6" s="188"/>
    </row>
    <row r="7" spans="1:22" ht="45.75" customHeight="1" x14ac:dyDescent="0.2">
      <c r="A7" s="441" t="s">
        <v>180</v>
      </c>
      <c r="B7" s="444" t="s">
        <v>259</v>
      </c>
      <c r="C7" s="444"/>
      <c r="D7" s="444"/>
      <c r="E7" s="444" t="s">
        <v>297</v>
      </c>
      <c r="F7" s="444"/>
      <c r="G7" s="444"/>
      <c r="H7" s="444" t="s">
        <v>260</v>
      </c>
      <c r="I7" s="444"/>
      <c r="J7" s="444"/>
      <c r="K7" s="444" t="s">
        <v>256</v>
      </c>
      <c r="L7" s="444"/>
      <c r="M7" s="445"/>
      <c r="N7" s="63" t="s">
        <v>17</v>
      </c>
      <c r="P7" s="165" t="s">
        <v>212</v>
      </c>
    </row>
    <row r="8" spans="1:22" ht="28.5" x14ac:dyDescent="0.25">
      <c r="A8" s="442"/>
      <c r="B8" s="229" t="s">
        <v>3</v>
      </c>
      <c r="C8" s="229" t="s">
        <v>174</v>
      </c>
      <c r="D8" s="229" t="s">
        <v>4</v>
      </c>
      <c r="E8" s="229" t="s">
        <v>3</v>
      </c>
      <c r="F8" s="229" t="s">
        <v>225</v>
      </c>
      <c r="G8" s="229" t="s">
        <v>4</v>
      </c>
      <c r="H8" s="229" t="s">
        <v>3</v>
      </c>
      <c r="I8" s="229" t="s">
        <v>225</v>
      </c>
      <c r="J8" s="229" t="s">
        <v>4</v>
      </c>
      <c r="K8" s="229" t="s">
        <v>3</v>
      </c>
      <c r="L8" s="229" t="s">
        <v>225</v>
      </c>
      <c r="M8" s="230" t="s">
        <v>4</v>
      </c>
      <c r="N8" s="63" t="s">
        <v>17</v>
      </c>
      <c r="P8" s="21" t="s">
        <v>181</v>
      </c>
    </row>
    <row r="9" spans="1:22" ht="15" x14ac:dyDescent="0.25">
      <c r="A9" s="215" t="s">
        <v>422</v>
      </c>
      <c r="B9" s="255">
        <v>0</v>
      </c>
      <c r="C9" s="255">
        <v>0</v>
      </c>
      <c r="D9" s="368">
        <v>75229</v>
      </c>
      <c r="E9" s="255">
        <v>0</v>
      </c>
      <c r="F9" s="255">
        <v>0</v>
      </c>
      <c r="G9" s="368">
        <v>97482</v>
      </c>
      <c r="H9" s="255">
        <v>0</v>
      </c>
      <c r="I9" s="255">
        <v>0</v>
      </c>
      <c r="J9" s="368">
        <v>-16500</v>
      </c>
      <c r="K9" s="255">
        <f>E9+H9</f>
        <v>0</v>
      </c>
      <c r="L9" s="255">
        <f t="shared" ref="L9:M12" si="0">F9+I9</f>
        <v>0</v>
      </c>
      <c r="M9" s="371">
        <f t="shared" si="0"/>
        <v>80982</v>
      </c>
      <c r="N9" s="63" t="s">
        <v>17</v>
      </c>
      <c r="P9" s="165" t="s">
        <v>36</v>
      </c>
    </row>
    <row r="10" spans="1:22" ht="15" x14ac:dyDescent="0.25">
      <c r="A10" s="13" t="s">
        <v>177</v>
      </c>
      <c r="B10" s="137">
        <f t="shared" ref="B10:M10" si="1">SUM(B9:B9)</f>
        <v>0</v>
      </c>
      <c r="C10" s="137">
        <f t="shared" si="1"/>
        <v>0</v>
      </c>
      <c r="D10" s="369">
        <f t="shared" si="1"/>
        <v>75229</v>
      </c>
      <c r="E10" s="137">
        <f t="shared" si="1"/>
        <v>0</v>
      </c>
      <c r="F10" s="137">
        <f t="shared" si="1"/>
        <v>0</v>
      </c>
      <c r="G10" s="369">
        <f t="shared" si="1"/>
        <v>97482</v>
      </c>
      <c r="H10" s="137">
        <f t="shared" si="1"/>
        <v>0</v>
      </c>
      <c r="I10" s="137">
        <f t="shared" si="1"/>
        <v>0</v>
      </c>
      <c r="J10" s="369">
        <f t="shared" si="1"/>
        <v>-16500</v>
      </c>
      <c r="K10" s="137">
        <f t="shared" si="1"/>
        <v>0</v>
      </c>
      <c r="L10" s="137">
        <f t="shared" si="1"/>
        <v>0</v>
      </c>
      <c r="M10" s="372">
        <f t="shared" si="1"/>
        <v>80982</v>
      </c>
      <c r="N10" s="63" t="s">
        <v>17</v>
      </c>
      <c r="P10" s="5" t="s">
        <v>37</v>
      </c>
    </row>
    <row r="11" spans="1:22" ht="15" x14ac:dyDescent="0.25">
      <c r="A11" s="292" t="s">
        <v>176</v>
      </c>
      <c r="B11" s="139"/>
      <c r="C11" s="139"/>
      <c r="D11" s="368">
        <v>0</v>
      </c>
      <c r="E11" s="139"/>
      <c r="F11" s="139"/>
      <c r="G11" s="368">
        <v>0</v>
      </c>
      <c r="H11" s="139"/>
      <c r="I11" s="139"/>
      <c r="J11" s="368">
        <v>0</v>
      </c>
      <c r="K11" s="139"/>
      <c r="L11" s="139"/>
      <c r="M11" s="371">
        <f t="shared" si="0"/>
        <v>0</v>
      </c>
      <c r="N11" s="63" t="s">
        <v>17</v>
      </c>
      <c r="P11" s="5"/>
    </row>
    <row r="12" spans="1:22" ht="15" x14ac:dyDescent="0.25">
      <c r="A12" s="343" t="s">
        <v>226</v>
      </c>
      <c r="B12" s="31"/>
      <c r="C12" s="31"/>
      <c r="D12" s="370">
        <f>SUM(D10:D11)</f>
        <v>75229</v>
      </c>
      <c r="E12" s="31"/>
      <c r="F12" s="31"/>
      <c r="G12" s="370">
        <f>SUM(G10:G11)</f>
        <v>97482</v>
      </c>
      <c r="H12" s="31"/>
      <c r="I12" s="31"/>
      <c r="J12" s="370">
        <f>SUM(J10:J11)</f>
        <v>-16500</v>
      </c>
      <c r="K12" s="31"/>
      <c r="L12" s="31"/>
      <c r="M12" s="373">
        <f t="shared" si="0"/>
        <v>80982</v>
      </c>
      <c r="N12" s="63" t="s">
        <v>17</v>
      </c>
      <c r="P12" s="5"/>
    </row>
    <row r="13" spans="1:22" x14ac:dyDescent="0.2">
      <c r="A13" s="260" t="s">
        <v>31</v>
      </c>
      <c r="B13" s="261"/>
      <c r="C13" s="261">
        <v>0</v>
      </c>
      <c r="D13" s="261"/>
      <c r="E13" s="261"/>
      <c r="F13" s="261">
        <v>0</v>
      </c>
      <c r="G13" s="344"/>
      <c r="H13" s="261"/>
      <c r="I13" s="261">
        <v>0</v>
      </c>
      <c r="J13" s="344"/>
      <c r="K13" s="261"/>
      <c r="L13" s="261">
        <f t="shared" ref="L13:L14" si="2">F13+I13</f>
        <v>0</v>
      </c>
      <c r="M13" s="262"/>
      <c r="N13" s="63" t="s">
        <v>17</v>
      </c>
      <c r="P13" s="165" t="s">
        <v>236</v>
      </c>
    </row>
    <row r="14" spans="1:22" x14ac:dyDescent="0.2">
      <c r="A14" s="216" t="s">
        <v>178</v>
      </c>
      <c r="B14" s="177"/>
      <c r="C14" s="177">
        <f>C10+C13</f>
        <v>0</v>
      </c>
      <c r="D14" s="177"/>
      <c r="E14" s="177"/>
      <c r="F14" s="177">
        <f>F10+F13</f>
        <v>0</v>
      </c>
      <c r="G14" s="177"/>
      <c r="H14" s="177"/>
      <c r="I14" s="177">
        <f>I10+I13</f>
        <v>0</v>
      </c>
      <c r="J14" s="177"/>
      <c r="K14" s="177"/>
      <c r="L14" s="177">
        <f t="shared" si="2"/>
        <v>0</v>
      </c>
      <c r="M14" s="173"/>
      <c r="N14" s="63" t="s">
        <v>17</v>
      </c>
      <c r="P14" s="165" t="s">
        <v>237</v>
      </c>
    </row>
    <row r="15" spans="1:22" x14ac:dyDescent="0.2">
      <c r="A15" s="216"/>
      <c r="B15" s="177"/>
      <c r="C15" s="177"/>
      <c r="D15" s="177"/>
      <c r="E15" s="177"/>
      <c r="F15" s="177"/>
      <c r="G15" s="177"/>
      <c r="H15" s="177"/>
      <c r="I15" s="177"/>
      <c r="J15" s="177"/>
      <c r="K15" s="177"/>
      <c r="L15" s="177"/>
      <c r="M15" s="173"/>
      <c r="N15" s="63" t="s">
        <v>17</v>
      </c>
      <c r="P15" s="165" t="s">
        <v>238</v>
      </c>
    </row>
    <row r="16" spans="1:22" x14ac:dyDescent="0.2">
      <c r="A16" s="216" t="s">
        <v>32</v>
      </c>
      <c r="B16" s="177"/>
      <c r="C16" s="177"/>
      <c r="D16" s="177"/>
      <c r="E16" s="177"/>
      <c r="F16" s="177"/>
      <c r="G16" s="177"/>
      <c r="H16" s="177"/>
      <c r="I16" s="177"/>
      <c r="J16" s="177"/>
      <c r="K16" s="177"/>
      <c r="L16" s="177"/>
      <c r="M16" s="173"/>
      <c r="N16" s="63" t="s">
        <v>17</v>
      </c>
      <c r="P16" s="165" t="s">
        <v>239</v>
      </c>
    </row>
    <row r="17" spans="1:16" x14ac:dyDescent="0.2">
      <c r="A17" s="263" t="s">
        <v>33</v>
      </c>
      <c r="B17" s="177"/>
      <c r="C17" s="177">
        <v>0</v>
      </c>
      <c r="D17" s="177"/>
      <c r="E17" s="177"/>
      <c r="F17" s="177">
        <v>0</v>
      </c>
      <c r="G17" s="177"/>
      <c r="H17" s="177"/>
      <c r="I17" s="177">
        <v>0</v>
      </c>
      <c r="J17" s="177"/>
      <c r="K17" s="177"/>
      <c r="L17" s="177">
        <f t="shared" ref="L17:L19" si="3">F17+I17</f>
        <v>0</v>
      </c>
      <c r="M17" s="173"/>
      <c r="N17" s="63" t="s">
        <v>17</v>
      </c>
      <c r="P17" s="165" t="s">
        <v>240</v>
      </c>
    </row>
    <row r="18" spans="1:16" x14ac:dyDescent="0.2">
      <c r="A18" s="264" t="s">
        <v>34</v>
      </c>
      <c r="B18" s="265"/>
      <c r="C18" s="265">
        <v>0</v>
      </c>
      <c r="D18" s="265"/>
      <c r="E18" s="265"/>
      <c r="F18" s="265">
        <v>0</v>
      </c>
      <c r="G18" s="265"/>
      <c r="H18" s="265"/>
      <c r="I18" s="265">
        <v>0</v>
      </c>
      <c r="J18" s="265"/>
      <c r="K18" s="265"/>
      <c r="L18" s="265">
        <f t="shared" si="3"/>
        <v>0</v>
      </c>
      <c r="M18" s="266"/>
      <c r="N18" s="63" t="s">
        <v>17</v>
      </c>
      <c r="P18" s="165" t="s">
        <v>241</v>
      </c>
    </row>
    <row r="19" spans="1:16" ht="15" thickBot="1" x14ac:dyDescent="0.25">
      <c r="A19" s="267" t="s">
        <v>179</v>
      </c>
      <c r="B19" s="268"/>
      <c r="C19" s="268">
        <f>C14+C17+C18</f>
        <v>0</v>
      </c>
      <c r="D19" s="268"/>
      <c r="E19" s="268"/>
      <c r="F19" s="268">
        <f>F14+F17+F18</f>
        <v>0</v>
      </c>
      <c r="G19" s="268"/>
      <c r="H19" s="268"/>
      <c r="I19" s="268">
        <f>I14+I17+I18</f>
        <v>0</v>
      </c>
      <c r="J19" s="268"/>
      <c r="K19" s="268"/>
      <c r="L19" s="268">
        <f t="shared" si="3"/>
        <v>0</v>
      </c>
      <c r="M19" s="269"/>
      <c r="N19" s="63" t="s">
        <v>17</v>
      </c>
      <c r="P19" s="165" t="s">
        <v>242</v>
      </c>
    </row>
    <row r="20" spans="1:16" ht="15" thickBot="1" x14ac:dyDescent="0.25">
      <c r="N20" s="63" t="s">
        <v>17</v>
      </c>
      <c r="P20" s="165" t="s">
        <v>38</v>
      </c>
    </row>
    <row r="21" spans="1:16" ht="15" x14ac:dyDescent="0.2">
      <c r="A21" s="441" t="s">
        <v>180</v>
      </c>
      <c r="B21" s="444" t="s">
        <v>261</v>
      </c>
      <c r="C21" s="444"/>
      <c r="D21" s="444"/>
      <c r="E21" s="444" t="s">
        <v>262</v>
      </c>
      <c r="F21" s="444"/>
      <c r="G21" s="444"/>
      <c r="H21" s="444" t="s">
        <v>263</v>
      </c>
      <c r="I21" s="444"/>
      <c r="J21" s="445"/>
      <c r="N21" s="63" t="s">
        <v>17</v>
      </c>
    </row>
    <row r="22" spans="1:16" ht="28.5" x14ac:dyDescent="0.2">
      <c r="A22" s="442"/>
      <c r="B22" s="229" t="s">
        <v>3</v>
      </c>
      <c r="C22" s="229" t="s">
        <v>225</v>
      </c>
      <c r="D22" s="229" t="s">
        <v>4</v>
      </c>
      <c r="E22" s="229" t="s">
        <v>3</v>
      </c>
      <c r="F22" s="229" t="s">
        <v>225</v>
      </c>
      <c r="G22" s="229" t="s">
        <v>4</v>
      </c>
      <c r="H22" s="229" t="s">
        <v>3</v>
      </c>
      <c r="I22" s="229" t="s">
        <v>225</v>
      </c>
      <c r="J22" s="230" t="s">
        <v>4</v>
      </c>
      <c r="N22" s="63" t="s">
        <v>17</v>
      </c>
    </row>
    <row r="23" spans="1:16" x14ac:dyDescent="0.2">
      <c r="A23" s="215" t="str">
        <f>A9</f>
        <v>Construction</v>
      </c>
      <c r="B23" s="255">
        <v>0</v>
      </c>
      <c r="C23" s="255">
        <v>0</v>
      </c>
      <c r="D23" s="255">
        <v>0</v>
      </c>
      <c r="E23" s="255">
        <v>0</v>
      </c>
      <c r="F23" s="255">
        <v>0</v>
      </c>
      <c r="G23" s="368">
        <v>-12000</v>
      </c>
      <c r="H23" s="255">
        <f>K9+B23+E23</f>
        <v>0</v>
      </c>
      <c r="I23" s="255">
        <f>L9+C23+F23</f>
        <v>0</v>
      </c>
      <c r="J23" s="371">
        <f>M9+D23+G23</f>
        <v>68982</v>
      </c>
      <c r="N23" s="63" t="s">
        <v>17</v>
      </c>
    </row>
    <row r="24" spans="1:16" ht="15" x14ac:dyDescent="0.25">
      <c r="A24" s="13" t="s">
        <v>177</v>
      </c>
      <c r="B24" s="137">
        <f t="shared" ref="B24:J24" si="4">SUM(B23:B23)</f>
        <v>0</v>
      </c>
      <c r="C24" s="137">
        <f t="shared" si="4"/>
        <v>0</v>
      </c>
      <c r="D24" s="137">
        <f t="shared" si="4"/>
        <v>0</v>
      </c>
      <c r="E24" s="137">
        <f t="shared" si="4"/>
        <v>0</v>
      </c>
      <c r="F24" s="137">
        <f t="shared" si="4"/>
        <v>0</v>
      </c>
      <c r="G24" s="369">
        <f t="shared" si="4"/>
        <v>-12000</v>
      </c>
      <c r="H24" s="137">
        <f t="shared" si="4"/>
        <v>0</v>
      </c>
      <c r="I24" s="137">
        <f t="shared" si="4"/>
        <v>0</v>
      </c>
      <c r="J24" s="372">
        <f t="shared" si="4"/>
        <v>68982</v>
      </c>
      <c r="N24" s="63" t="s">
        <v>17</v>
      </c>
    </row>
    <row r="25" spans="1:16" ht="15" x14ac:dyDescent="0.25">
      <c r="A25" s="292" t="s">
        <v>176</v>
      </c>
      <c r="B25" s="139"/>
      <c r="C25" s="139"/>
      <c r="D25" s="255">
        <v>0</v>
      </c>
      <c r="E25" s="139"/>
      <c r="F25" s="139"/>
      <c r="G25" s="368">
        <v>0</v>
      </c>
      <c r="H25" s="139"/>
      <c r="I25" s="139"/>
      <c r="J25" s="371">
        <f>M11+D25+G25</f>
        <v>0</v>
      </c>
      <c r="N25" s="63" t="s">
        <v>17</v>
      </c>
    </row>
    <row r="26" spans="1:16" ht="15" x14ac:dyDescent="0.25">
      <c r="A26" s="343" t="s">
        <v>226</v>
      </c>
      <c r="B26" s="31"/>
      <c r="C26" s="31"/>
      <c r="D26" s="281">
        <f>SUM(D24:D25)</f>
        <v>0</v>
      </c>
      <c r="E26" s="31"/>
      <c r="F26" s="31"/>
      <c r="G26" s="370">
        <f>SUM(G24:G25)</f>
        <v>-12000</v>
      </c>
      <c r="H26" s="31"/>
      <c r="I26" s="31"/>
      <c r="J26" s="373">
        <f>M12+D26+G26</f>
        <v>68982</v>
      </c>
      <c r="N26" s="63" t="s">
        <v>17</v>
      </c>
    </row>
    <row r="27" spans="1:16" x14ac:dyDescent="0.2">
      <c r="A27" s="260" t="s">
        <v>31</v>
      </c>
      <c r="B27" s="261"/>
      <c r="C27" s="261">
        <v>0</v>
      </c>
      <c r="D27" s="261"/>
      <c r="E27" s="261"/>
      <c r="F27" s="261">
        <v>0</v>
      </c>
      <c r="G27" s="261"/>
      <c r="H27" s="261"/>
      <c r="I27" s="261">
        <f t="shared" ref="I27:I33" si="5">L13+C27+F27</f>
        <v>0</v>
      </c>
      <c r="J27" s="262"/>
      <c r="N27" s="63" t="s">
        <v>17</v>
      </c>
    </row>
    <row r="28" spans="1:16" x14ac:dyDescent="0.2">
      <c r="A28" s="216" t="s">
        <v>178</v>
      </c>
      <c r="B28" s="177"/>
      <c r="C28" s="177">
        <f>C24+C27</f>
        <v>0</v>
      </c>
      <c r="D28" s="177"/>
      <c r="E28" s="177"/>
      <c r="F28" s="177">
        <f>F24+F27</f>
        <v>0</v>
      </c>
      <c r="G28" s="177"/>
      <c r="H28" s="177"/>
      <c r="I28" s="177">
        <f t="shared" si="5"/>
        <v>0</v>
      </c>
      <c r="J28" s="173"/>
      <c r="N28" s="63" t="s">
        <v>17</v>
      </c>
    </row>
    <row r="29" spans="1:16" x14ac:dyDescent="0.2">
      <c r="A29" s="216"/>
      <c r="B29" s="177"/>
      <c r="C29" s="177"/>
      <c r="D29" s="177"/>
      <c r="E29" s="177"/>
      <c r="F29" s="177"/>
      <c r="G29" s="177"/>
      <c r="H29" s="177"/>
      <c r="I29" s="177">
        <f t="shared" si="5"/>
        <v>0</v>
      </c>
      <c r="J29" s="173"/>
      <c r="N29" s="63" t="s">
        <v>17</v>
      </c>
    </row>
    <row r="30" spans="1:16" x14ac:dyDescent="0.2">
      <c r="A30" s="216" t="s">
        <v>32</v>
      </c>
      <c r="B30" s="177"/>
      <c r="C30" s="177"/>
      <c r="D30" s="177"/>
      <c r="E30" s="177"/>
      <c r="F30" s="177"/>
      <c r="G30" s="177"/>
      <c r="H30" s="177"/>
      <c r="I30" s="177">
        <f t="shared" si="5"/>
        <v>0</v>
      </c>
      <c r="J30" s="173"/>
      <c r="N30" s="63" t="s">
        <v>17</v>
      </c>
    </row>
    <row r="31" spans="1:16" x14ac:dyDescent="0.2">
      <c r="A31" s="263" t="s">
        <v>33</v>
      </c>
      <c r="B31" s="177"/>
      <c r="C31" s="177">
        <v>0</v>
      </c>
      <c r="D31" s="177"/>
      <c r="E31" s="177"/>
      <c r="F31" s="177">
        <v>0</v>
      </c>
      <c r="G31" s="177"/>
      <c r="H31" s="177"/>
      <c r="I31" s="177">
        <f t="shared" si="5"/>
        <v>0</v>
      </c>
      <c r="J31" s="173"/>
      <c r="N31" s="63" t="s">
        <v>17</v>
      </c>
    </row>
    <row r="32" spans="1:16" x14ac:dyDescent="0.2">
      <c r="A32" s="264" t="s">
        <v>34</v>
      </c>
      <c r="B32" s="265"/>
      <c r="C32" s="265">
        <v>0</v>
      </c>
      <c r="D32" s="265"/>
      <c r="E32" s="265"/>
      <c r="F32" s="265">
        <v>0</v>
      </c>
      <c r="G32" s="265"/>
      <c r="H32" s="265"/>
      <c r="I32" s="265">
        <f t="shared" si="5"/>
        <v>0</v>
      </c>
      <c r="J32" s="266"/>
      <c r="N32" s="63" t="s">
        <v>17</v>
      </c>
    </row>
    <row r="33" spans="1:14" ht="15" thickBot="1" x14ac:dyDescent="0.25">
      <c r="A33" s="267" t="s">
        <v>179</v>
      </c>
      <c r="B33" s="268"/>
      <c r="C33" s="268">
        <f>C28+C31+C32</f>
        <v>0</v>
      </c>
      <c r="D33" s="268"/>
      <c r="E33" s="268"/>
      <c r="F33" s="268">
        <f>F28+F31+F32</f>
        <v>0</v>
      </c>
      <c r="G33" s="268"/>
      <c r="H33" s="268"/>
      <c r="I33" s="268">
        <f t="shared" si="5"/>
        <v>0</v>
      </c>
      <c r="J33" s="269"/>
      <c r="N33" s="63" t="s">
        <v>17</v>
      </c>
    </row>
    <row r="34" spans="1:14" x14ac:dyDescent="0.2">
      <c r="N34" s="4" t="s">
        <v>18</v>
      </c>
    </row>
    <row r="35" spans="1:14" x14ac:dyDescent="0.2">
      <c r="A35" s="41"/>
    </row>
    <row r="36" spans="1:14" x14ac:dyDescent="0.2">
      <c r="A36" s="184"/>
    </row>
  </sheetData>
  <mergeCells count="15">
    <mergeCell ref="A21:A22"/>
    <mergeCell ref="B21:D21"/>
    <mergeCell ref="E21:G21"/>
    <mergeCell ref="H21:J21"/>
    <mergeCell ref="A1:M1"/>
    <mergeCell ref="A2:M2"/>
    <mergeCell ref="A3:M3"/>
    <mergeCell ref="A4:M4"/>
    <mergeCell ref="A5:M5"/>
    <mergeCell ref="A6:M6"/>
    <mergeCell ref="A7:A8"/>
    <mergeCell ref="B7:D7"/>
    <mergeCell ref="E7:G7"/>
    <mergeCell ref="H7:J7"/>
    <mergeCell ref="K7:M7"/>
  </mergeCells>
  <printOptions horizontalCentered="1"/>
  <pageMargins left="0.7" right="0.7" top="0.75" bottom="0.75" header="0.3" footer="0.3"/>
  <pageSetup scale="79" fitToHeight="0" orientation="landscape" r:id="rId1"/>
  <headerFooter>
    <oddHeader>&amp;L&amp;"Arial,Bold"&amp;12B. Summary of Requirements</oddHeader>
    <oddFooter>&amp;C&amp;"Arial,Regular"Exhibit B - Summary of Requirements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view="pageBreakPreview" zoomScale="80" zoomScaleNormal="100" zoomScaleSheetLayoutView="80" workbookViewId="0">
      <selection activeCell="J27" sqref="J27"/>
    </sheetView>
  </sheetViews>
  <sheetFormatPr defaultColWidth="9.140625" defaultRowHeight="14.25" x14ac:dyDescent="0.2"/>
  <cols>
    <col min="1" max="1" width="7.42578125" style="165" bestFit="1" customWidth="1"/>
    <col min="2" max="2" width="58.140625" style="165" customWidth="1"/>
    <col min="3" max="3" width="8.7109375" style="165" customWidth="1"/>
    <col min="4" max="4" width="12.7109375" style="165" customWidth="1"/>
    <col min="5" max="5" width="8.7109375" style="165" customWidth="1"/>
    <col min="6" max="6" width="12.7109375" style="165" customWidth="1"/>
    <col min="7" max="7" width="8.7109375" style="165" customWidth="1"/>
    <col min="8" max="8" width="12.7109375" style="165" customWidth="1"/>
    <col min="9" max="9" width="8.7109375" style="165" customWidth="1"/>
    <col min="10" max="10" width="12.7109375" style="165" customWidth="1"/>
    <col min="11" max="11" width="8.7109375" style="165" customWidth="1"/>
    <col min="12" max="12" width="12.7109375" style="165" customWidth="1"/>
    <col min="13" max="13" width="8.7109375" style="165" customWidth="1"/>
    <col min="14" max="14" width="12.7109375" style="165" customWidth="1"/>
    <col min="15" max="15" width="14" style="4" bestFit="1" customWidth="1"/>
    <col min="16" max="16" width="4.5703125" style="165" customWidth="1"/>
    <col min="17" max="17" width="122.85546875" style="165" customWidth="1"/>
    <col min="18" max="19" width="8.28515625" style="165" customWidth="1"/>
    <col min="20" max="20" width="12.7109375" style="165" customWidth="1"/>
    <col min="21" max="22" width="8.28515625" style="165" customWidth="1"/>
    <col min="23" max="23" width="12.7109375" style="165" customWidth="1"/>
    <col min="24" max="16384" width="9.140625" style="165"/>
  </cols>
  <sheetData>
    <row r="1" spans="1:23" ht="18" x14ac:dyDescent="0.25">
      <c r="A1" s="433" t="s">
        <v>49</v>
      </c>
      <c r="B1" s="433"/>
      <c r="C1" s="433"/>
      <c r="D1" s="433"/>
      <c r="E1" s="433"/>
      <c r="F1" s="433"/>
      <c r="G1" s="433"/>
      <c r="H1" s="433"/>
      <c r="I1" s="433"/>
      <c r="J1" s="433"/>
      <c r="K1" s="433"/>
      <c r="L1" s="433"/>
      <c r="M1" s="433"/>
      <c r="N1" s="433"/>
      <c r="O1" s="63" t="s">
        <v>17</v>
      </c>
      <c r="P1" s="6"/>
      <c r="Q1" s="108" t="s">
        <v>25</v>
      </c>
      <c r="R1" s="6"/>
      <c r="S1" s="6"/>
      <c r="T1" s="6"/>
      <c r="U1" s="6"/>
      <c r="V1" s="6"/>
      <c r="W1" s="6"/>
    </row>
    <row r="2" spans="1:23" ht="15" x14ac:dyDescent="0.2">
      <c r="A2" s="434" t="s">
        <v>305</v>
      </c>
      <c r="B2" s="434"/>
      <c r="C2" s="434"/>
      <c r="D2" s="434"/>
      <c r="E2" s="434"/>
      <c r="F2" s="434"/>
      <c r="G2" s="434"/>
      <c r="H2" s="434"/>
      <c r="I2" s="434"/>
      <c r="J2" s="434"/>
      <c r="K2" s="434"/>
      <c r="L2" s="434"/>
      <c r="M2" s="434"/>
      <c r="N2" s="434"/>
      <c r="O2" s="63" t="s">
        <v>17</v>
      </c>
      <c r="P2" s="7"/>
      <c r="Q2" s="109"/>
      <c r="R2" s="7"/>
      <c r="S2" s="7"/>
      <c r="T2" s="7"/>
      <c r="U2" s="7"/>
      <c r="V2" s="7"/>
      <c r="W2" s="7"/>
    </row>
    <row r="3" spans="1:23" ht="15" x14ac:dyDescent="0.25">
      <c r="A3" s="435" t="s">
        <v>422</v>
      </c>
      <c r="B3" s="435"/>
      <c r="C3" s="435"/>
      <c r="D3" s="435"/>
      <c r="E3" s="435"/>
      <c r="F3" s="435"/>
      <c r="G3" s="435"/>
      <c r="H3" s="435"/>
      <c r="I3" s="435"/>
      <c r="J3" s="435"/>
      <c r="K3" s="435"/>
      <c r="L3" s="435"/>
      <c r="M3" s="435"/>
      <c r="N3" s="435"/>
      <c r="O3" s="63" t="s">
        <v>17</v>
      </c>
      <c r="P3" s="189"/>
      <c r="Q3" s="109" t="s">
        <v>201</v>
      </c>
      <c r="R3" s="189"/>
      <c r="S3" s="189"/>
      <c r="T3" s="189"/>
      <c r="U3" s="189"/>
      <c r="V3" s="189"/>
      <c r="W3" s="189"/>
    </row>
    <row r="4" spans="1:23" x14ac:dyDescent="0.2">
      <c r="A4" s="450" t="s">
        <v>2</v>
      </c>
      <c r="B4" s="450"/>
      <c r="C4" s="450"/>
      <c r="D4" s="450"/>
      <c r="E4" s="450"/>
      <c r="F4" s="450"/>
      <c r="G4" s="450"/>
      <c r="H4" s="450"/>
      <c r="I4" s="450"/>
      <c r="J4" s="450"/>
      <c r="K4" s="450"/>
      <c r="L4" s="450"/>
      <c r="M4" s="450"/>
      <c r="N4" s="450"/>
      <c r="O4" s="63" t="s">
        <v>17</v>
      </c>
      <c r="P4" s="188"/>
      <c r="Q4" s="109" t="s">
        <v>200</v>
      </c>
      <c r="R4" s="188"/>
      <c r="S4" s="188"/>
      <c r="T4" s="188"/>
      <c r="U4" s="188"/>
      <c r="V4" s="188"/>
      <c r="W4" s="188"/>
    </row>
    <row r="5" spans="1:23" ht="15.75" thickBot="1" x14ac:dyDescent="0.3">
      <c r="A5" s="435"/>
      <c r="B5" s="435"/>
      <c r="C5" s="435"/>
      <c r="D5" s="435"/>
      <c r="E5" s="435"/>
      <c r="F5" s="435"/>
      <c r="G5" s="435"/>
      <c r="H5" s="435"/>
      <c r="I5" s="435"/>
      <c r="J5" s="435"/>
      <c r="K5" s="435"/>
      <c r="L5" s="435"/>
      <c r="M5" s="435"/>
      <c r="N5" s="435"/>
      <c r="O5" s="63" t="s">
        <v>17</v>
      </c>
      <c r="P5" s="188"/>
      <c r="Q5" s="110"/>
      <c r="R5" s="188"/>
      <c r="S5" s="188"/>
      <c r="T5" s="188"/>
      <c r="U5" s="188"/>
      <c r="V5" s="188"/>
      <c r="W5" s="188"/>
    </row>
    <row r="6" spans="1:23" ht="15" thickBot="1" x14ac:dyDescent="0.25">
      <c r="A6" s="449"/>
      <c r="B6" s="449"/>
      <c r="C6" s="449"/>
      <c r="D6" s="449"/>
      <c r="E6" s="449"/>
      <c r="F6" s="449"/>
      <c r="G6" s="449"/>
      <c r="H6" s="449"/>
      <c r="I6" s="449"/>
      <c r="J6" s="449"/>
      <c r="K6" s="449"/>
      <c r="L6" s="449"/>
      <c r="M6" s="449"/>
      <c r="N6" s="449"/>
      <c r="O6" s="63" t="s">
        <v>17</v>
      </c>
      <c r="P6" s="188"/>
      <c r="Q6" s="228"/>
      <c r="R6" s="188"/>
      <c r="S6" s="188"/>
      <c r="T6" s="188"/>
      <c r="U6" s="188"/>
      <c r="V6" s="188"/>
      <c r="W6" s="188"/>
    </row>
    <row r="7" spans="1:23" ht="46.5" customHeight="1" x14ac:dyDescent="0.2">
      <c r="A7" s="452" t="s">
        <v>50</v>
      </c>
      <c r="B7" s="453"/>
      <c r="C7" s="444" t="s">
        <v>259</v>
      </c>
      <c r="D7" s="444"/>
      <c r="E7" s="444" t="s">
        <v>297</v>
      </c>
      <c r="F7" s="444"/>
      <c r="G7" s="444" t="s">
        <v>256</v>
      </c>
      <c r="H7" s="444"/>
      <c r="I7" s="444" t="s">
        <v>261</v>
      </c>
      <c r="J7" s="444"/>
      <c r="K7" s="444" t="s">
        <v>262</v>
      </c>
      <c r="L7" s="444"/>
      <c r="M7" s="444" t="s">
        <v>257</v>
      </c>
      <c r="N7" s="445"/>
      <c r="O7" s="63" t="s">
        <v>17</v>
      </c>
      <c r="Q7" s="165" t="s">
        <v>220</v>
      </c>
    </row>
    <row r="8" spans="1:23" ht="42.75" x14ac:dyDescent="0.2">
      <c r="A8" s="454"/>
      <c r="B8" s="455"/>
      <c r="C8" s="229" t="s">
        <v>52</v>
      </c>
      <c r="D8" s="229" t="s">
        <v>51</v>
      </c>
      <c r="E8" s="229" t="s">
        <v>52</v>
      </c>
      <c r="F8" s="229" t="s">
        <v>51</v>
      </c>
      <c r="G8" s="229" t="s">
        <v>52</v>
      </c>
      <c r="H8" s="229" t="s">
        <v>51</v>
      </c>
      <c r="I8" s="229" t="s">
        <v>52</v>
      </c>
      <c r="J8" s="229" t="s">
        <v>51</v>
      </c>
      <c r="K8" s="229" t="s">
        <v>52</v>
      </c>
      <c r="L8" s="229" t="s">
        <v>51</v>
      </c>
      <c r="M8" s="229" t="s">
        <v>52</v>
      </c>
      <c r="N8" s="230" t="s">
        <v>51</v>
      </c>
      <c r="O8" s="63" t="s">
        <v>17</v>
      </c>
      <c r="Q8" s="165" t="s">
        <v>64</v>
      </c>
    </row>
    <row r="9" spans="1:23" ht="45" x14ac:dyDescent="0.2">
      <c r="A9" s="34" t="s">
        <v>53</v>
      </c>
      <c r="B9" s="37" t="s">
        <v>55</v>
      </c>
      <c r="C9" s="231"/>
      <c r="D9" s="231"/>
      <c r="E9" s="231"/>
      <c r="F9" s="231"/>
      <c r="G9" s="231"/>
      <c r="H9" s="231"/>
      <c r="I9" s="231"/>
      <c r="J9" s="231"/>
      <c r="K9" s="231"/>
      <c r="L9" s="231"/>
      <c r="M9" s="231"/>
      <c r="N9" s="233"/>
      <c r="O9" s="63" t="s">
        <v>17</v>
      </c>
    </row>
    <row r="10" spans="1:23" ht="42.75" x14ac:dyDescent="0.2">
      <c r="A10" s="234">
        <v>1.1000000000000001</v>
      </c>
      <c r="B10" s="207" t="s">
        <v>279</v>
      </c>
      <c r="C10" s="177">
        <v>0</v>
      </c>
      <c r="D10" s="374">
        <v>74059</v>
      </c>
      <c r="E10" s="177">
        <v>0</v>
      </c>
      <c r="F10" s="374">
        <v>95966</v>
      </c>
      <c r="G10" s="177">
        <v>0</v>
      </c>
      <c r="H10" s="374">
        <f>D10*80982/D22</f>
        <v>79722.526392747473</v>
      </c>
      <c r="I10" s="177">
        <v>0</v>
      </c>
      <c r="J10" s="177">
        <v>0</v>
      </c>
      <c r="K10" s="177">
        <v>0</v>
      </c>
      <c r="L10" s="374">
        <f>D10*-12000/D22</f>
        <v>-11813.369844076087</v>
      </c>
      <c r="M10" s="177">
        <f>G10+I10+K10</f>
        <v>0</v>
      </c>
      <c r="N10" s="375">
        <f>H10+J10+L10</f>
        <v>67909.156548671381</v>
      </c>
      <c r="O10" s="63" t="s">
        <v>17</v>
      </c>
    </row>
    <row r="11" spans="1:23" ht="57" x14ac:dyDescent="0.2">
      <c r="A11" s="234">
        <v>1.3</v>
      </c>
      <c r="B11" s="207" t="s">
        <v>280</v>
      </c>
      <c r="C11" s="177">
        <v>0</v>
      </c>
      <c r="D11" s="177">
        <v>353</v>
      </c>
      <c r="E11" s="177">
        <v>0</v>
      </c>
      <c r="F11" s="177">
        <v>457</v>
      </c>
      <c r="G11" s="177">
        <v>0</v>
      </c>
      <c r="H11" s="177">
        <f>D11*80982/D22</f>
        <v>379.99502851294051</v>
      </c>
      <c r="I11" s="177">
        <v>0</v>
      </c>
      <c r="J11" s="177">
        <v>0</v>
      </c>
      <c r="K11" s="177">
        <v>0</v>
      </c>
      <c r="L11" s="345">
        <f>D11*-12000/D22</f>
        <v>-56.30807268473594</v>
      </c>
      <c r="M11" s="177">
        <f>G11+I11+K11</f>
        <v>0</v>
      </c>
      <c r="N11" s="173">
        <f>H11+J11+L11</f>
        <v>323.68695582820459</v>
      </c>
      <c r="O11" s="63" t="s">
        <v>17</v>
      </c>
    </row>
    <row r="12" spans="1:23" ht="15" x14ac:dyDescent="0.25">
      <c r="A12" s="238"/>
      <c r="B12" s="38" t="s">
        <v>59</v>
      </c>
      <c r="C12" s="31">
        <f t="shared" ref="C12:N12" si="0">SUM(C10:C11)</f>
        <v>0</v>
      </c>
      <c r="D12" s="31">
        <f t="shared" si="0"/>
        <v>74412</v>
      </c>
      <c r="E12" s="31">
        <f t="shared" si="0"/>
        <v>0</v>
      </c>
      <c r="F12" s="31">
        <f t="shared" si="0"/>
        <v>96423</v>
      </c>
      <c r="G12" s="31">
        <f t="shared" si="0"/>
        <v>0</v>
      </c>
      <c r="H12" s="31">
        <f t="shared" si="0"/>
        <v>80102.521421260419</v>
      </c>
      <c r="I12" s="31">
        <f t="shared" si="0"/>
        <v>0</v>
      </c>
      <c r="J12" s="31">
        <f t="shared" si="0"/>
        <v>0</v>
      </c>
      <c r="K12" s="31">
        <f t="shared" si="0"/>
        <v>0</v>
      </c>
      <c r="L12" s="346">
        <f t="shared" si="0"/>
        <v>-11869.677916760824</v>
      </c>
      <c r="M12" s="31">
        <f t="shared" si="0"/>
        <v>0</v>
      </c>
      <c r="N12" s="32">
        <f t="shared" si="0"/>
        <v>68232.843504499586</v>
      </c>
      <c r="O12" s="63" t="s">
        <v>17</v>
      </c>
    </row>
    <row r="13" spans="1:23" ht="30" x14ac:dyDescent="0.2">
      <c r="A13" s="34" t="s">
        <v>56</v>
      </c>
      <c r="B13" s="37" t="s">
        <v>57</v>
      </c>
      <c r="C13" s="231"/>
      <c r="D13" s="231"/>
      <c r="E13" s="231"/>
      <c r="F13" s="231"/>
      <c r="G13" s="231"/>
      <c r="H13" s="231"/>
      <c r="I13" s="231"/>
      <c r="J13" s="231"/>
      <c r="K13" s="231"/>
      <c r="L13" s="347"/>
      <c r="M13" s="231"/>
      <c r="N13" s="233"/>
      <c r="O13" s="63" t="s">
        <v>17</v>
      </c>
    </row>
    <row r="14" spans="1:23" ht="57" x14ac:dyDescent="0.2">
      <c r="A14" s="234">
        <v>2.1</v>
      </c>
      <c r="B14" s="207" t="s">
        <v>281</v>
      </c>
      <c r="C14" s="177">
        <v>0</v>
      </c>
      <c r="D14" s="177">
        <v>223</v>
      </c>
      <c r="E14" s="177">
        <v>0</v>
      </c>
      <c r="F14" s="177">
        <f>D14*97482/D22</f>
        <v>288.96417604913</v>
      </c>
      <c r="G14" s="177">
        <v>0</v>
      </c>
      <c r="H14" s="177">
        <f>D14*80982/D22</f>
        <v>240.05351659599356</v>
      </c>
      <c r="I14" s="177">
        <v>0</v>
      </c>
      <c r="J14" s="177">
        <v>0</v>
      </c>
      <c r="K14" s="177">
        <v>0</v>
      </c>
      <c r="L14" s="345">
        <f>D14*-12000/D22</f>
        <v>-35.571388693190123</v>
      </c>
      <c r="M14" s="177">
        <f t="shared" ref="M14:N17" si="1">G14+I14+K14</f>
        <v>0</v>
      </c>
      <c r="N14" s="173">
        <f t="shared" si="1"/>
        <v>204.48212790280343</v>
      </c>
      <c r="O14" s="63" t="s">
        <v>17</v>
      </c>
    </row>
    <row r="15" spans="1:23" ht="48.75" customHeight="1" x14ac:dyDescent="0.2">
      <c r="A15" s="234">
        <v>2.2000000000000002</v>
      </c>
      <c r="B15" s="207" t="s">
        <v>282</v>
      </c>
      <c r="C15" s="177">
        <v>0</v>
      </c>
      <c r="D15" s="177">
        <v>74</v>
      </c>
      <c r="E15" s="177">
        <v>0</v>
      </c>
      <c r="F15" s="177">
        <f>D15*97482/D22</f>
        <v>95.889457523029677</v>
      </c>
      <c r="G15" s="177">
        <v>0</v>
      </c>
      <c r="H15" s="177">
        <f>D15*80982/D22</f>
        <v>79.659014475800561</v>
      </c>
      <c r="I15" s="177">
        <v>0</v>
      </c>
      <c r="J15" s="177">
        <v>0</v>
      </c>
      <c r="K15" s="177">
        <v>0</v>
      </c>
      <c r="L15" s="345">
        <f>D15*-12000/D22</f>
        <v>-11.803958579803002</v>
      </c>
      <c r="M15" s="177">
        <f t="shared" si="1"/>
        <v>0</v>
      </c>
      <c r="N15" s="173">
        <f t="shared" si="1"/>
        <v>67.855055895997566</v>
      </c>
      <c r="O15" s="63" t="s">
        <v>17</v>
      </c>
    </row>
    <row r="16" spans="1:23" ht="28.5" x14ac:dyDescent="0.2">
      <c r="A16" s="234">
        <v>2.4</v>
      </c>
      <c r="B16" s="207" t="s">
        <v>284</v>
      </c>
      <c r="C16" s="177">
        <v>0</v>
      </c>
      <c r="D16" s="177">
        <v>334</v>
      </c>
      <c r="E16" s="177">
        <v>0</v>
      </c>
      <c r="F16" s="177">
        <f>D16*97482/D22</f>
        <v>432.7983623336745</v>
      </c>
      <c r="G16" s="177">
        <v>0</v>
      </c>
      <c r="H16" s="177">
        <f>D16*80982/D22</f>
        <v>359.54203830969442</v>
      </c>
      <c r="I16" s="177">
        <v>0</v>
      </c>
      <c r="J16" s="177">
        <v>0</v>
      </c>
      <c r="K16" s="177">
        <v>0</v>
      </c>
      <c r="L16" s="345">
        <f>D16*-12000/D22</f>
        <v>-53.277326562894629</v>
      </c>
      <c r="M16" s="177">
        <f t="shared" si="1"/>
        <v>0</v>
      </c>
      <c r="N16" s="173">
        <f t="shared" si="1"/>
        <v>306.26471174679978</v>
      </c>
      <c r="O16" s="63" t="s">
        <v>17</v>
      </c>
    </row>
    <row r="17" spans="1:17" ht="28.5" x14ac:dyDescent="0.2">
      <c r="A17" s="234">
        <v>2.5</v>
      </c>
      <c r="B17" s="207" t="s">
        <v>285</v>
      </c>
      <c r="C17" s="177">
        <v>0</v>
      </c>
      <c r="D17" s="177">
        <v>37</v>
      </c>
      <c r="E17" s="177">
        <v>0</v>
      </c>
      <c r="F17" s="177">
        <f>D17*97482/D22</f>
        <v>47.944728761514838</v>
      </c>
      <c r="G17" s="177">
        <v>0</v>
      </c>
      <c r="H17" s="177">
        <f>D17*80982/D22</f>
        <v>39.82950723790028</v>
      </c>
      <c r="I17" s="177">
        <v>0</v>
      </c>
      <c r="J17" s="177">
        <v>0</v>
      </c>
      <c r="K17" s="177">
        <v>0</v>
      </c>
      <c r="L17" s="345">
        <f>D17*-12000/D22</f>
        <v>-5.9019792899015009</v>
      </c>
      <c r="M17" s="177">
        <f t="shared" si="1"/>
        <v>0</v>
      </c>
      <c r="N17" s="173">
        <f t="shared" si="1"/>
        <v>33.927527947998783</v>
      </c>
      <c r="O17" s="63" t="s">
        <v>17</v>
      </c>
    </row>
    <row r="18" spans="1:17" ht="15" x14ac:dyDescent="0.25">
      <c r="A18" s="238"/>
      <c r="B18" s="38" t="s">
        <v>58</v>
      </c>
      <c r="C18" s="31">
        <f t="shared" ref="C18:N18" si="2">SUM(C14:C17)</f>
        <v>0</v>
      </c>
      <c r="D18" s="31">
        <f t="shared" si="2"/>
        <v>668</v>
      </c>
      <c r="E18" s="31">
        <f t="shared" si="2"/>
        <v>0</v>
      </c>
      <c r="F18" s="31">
        <f t="shared" si="2"/>
        <v>865.59672466734901</v>
      </c>
      <c r="G18" s="31">
        <f t="shared" si="2"/>
        <v>0</v>
      </c>
      <c r="H18" s="31">
        <f t="shared" si="2"/>
        <v>719.08407661938884</v>
      </c>
      <c r="I18" s="31">
        <f t="shared" si="2"/>
        <v>0</v>
      </c>
      <c r="J18" s="31">
        <f t="shared" si="2"/>
        <v>0</v>
      </c>
      <c r="K18" s="31">
        <f t="shared" si="2"/>
        <v>0</v>
      </c>
      <c r="L18" s="346">
        <f t="shared" si="2"/>
        <v>-106.55465312578926</v>
      </c>
      <c r="M18" s="31">
        <f t="shared" si="2"/>
        <v>0</v>
      </c>
      <c r="N18" s="32">
        <f t="shared" si="2"/>
        <v>612.52942349359955</v>
      </c>
      <c r="O18" s="63" t="s">
        <v>17</v>
      </c>
    </row>
    <row r="19" spans="1:17" ht="45" x14ac:dyDescent="0.2">
      <c r="A19" s="34" t="s">
        <v>60</v>
      </c>
      <c r="B19" s="37" t="s">
        <v>61</v>
      </c>
      <c r="C19" s="231"/>
      <c r="D19" s="231"/>
      <c r="E19" s="231"/>
      <c r="F19" s="231"/>
      <c r="G19" s="231"/>
      <c r="H19" s="231"/>
      <c r="I19" s="231"/>
      <c r="J19" s="231"/>
      <c r="K19" s="231"/>
      <c r="L19" s="347"/>
      <c r="M19" s="231"/>
      <c r="N19" s="233"/>
      <c r="O19" s="63" t="s">
        <v>17</v>
      </c>
    </row>
    <row r="20" spans="1:17" ht="57" x14ac:dyDescent="0.2">
      <c r="A20" s="234">
        <v>3.1</v>
      </c>
      <c r="B20" s="207" t="s">
        <v>286</v>
      </c>
      <c r="C20" s="177">
        <v>0</v>
      </c>
      <c r="D20" s="177">
        <v>149</v>
      </c>
      <c r="E20" s="177">
        <v>0</v>
      </c>
      <c r="F20" s="177">
        <f>D20*97482/D22</f>
        <v>193.0747185261003</v>
      </c>
      <c r="G20" s="177">
        <v>0</v>
      </c>
      <c r="H20" s="177">
        <f>D20*80982/D22</f>
        <v>160.39450212019301</v>
      </c>
      <c r="I20" s="177">
        <v>0</v>
      </c>
      <c r="J20" s="177">
        <v>0</v>
      </c>
      <c r="K20" s="177">
        <v>0</v>
      </c>
      <c r="L20" s="345">
        <f>D20*-12000/D22</f>
        <v>-23.767430113387125</v>
      </c>
      <c r="M20" s="177">
        <f>G20+I20+K20</f>
        <v>0</v>
      </c>
      <c r="N20" s="173">
        <f>H20+J20+L20</f>
        <v>136.62707200680589</v>
      </c>
      <c r="O20" s="63" t="s">
        <v>17</v>
      </c>
    </row>
    <row r="21" spans="1:17" ht="15" x14ac:dyDescent="0.25">
      <c r="A21" s="238"/>
      <c r="B21" s="33" t="s">
        <v>62</v>
      </c>
      <c r="C21" s="31">
        <f t="shared" ref="C21:N21" si="3">SUM(C20:C20)</f>
        <v>0</v>
      </c>
      <c r="D21" s="31">
        <f t="shared" si="3"/>
        <v>149</v>
      </c>
      <c r="E21" s="31">
        <f t="shared" si="3"/>
        <v>0</v>
      </c>
      <c r="F21" s="31">
        <f t="shared" si="3"/>
        <v>193.0747185261003</v>
      </c>
      <c r="G21" s="31">
        <f t="shared" si="3"/>
        <v>0</v>
      </c>
      <c r="H21" s="31">
        <f t="shared" si="3"/>
        <v>160.39450212019301</v>
      </c>
      <c r="I21" s="31">
        <f t="shared" si="3"/>
        <v>0</v>
      </c>
      <c r="J21" s="31">
        <f t="shared" si="3"/>
        <v>0</v>
      </c>
      <c r="K21" s="31">
        <f t="shared" si="3"/>
        <v>0</v>
      </c>
      <c r="L21" s="346">
        <f t="shared" si="3"/>
        <v>-23.767430113387125</v>
      </c>
      <c r="M21" s="31">
        <f t="shared" si="3"/>
        <v>0</v>
      </c>
      <c r="N21" s="32">
        <f t="shared" si="3"/>
        <v>136.62707200680589</v>
      </c>
      <c r="O21" s="63" t="s">
        <v>17</v>
      </c>
    </row>
    <row r="22" spans="1:17" ht="15.75" thickBot="1" x14ac:dyDescent="0.3">
      <c r="A22" s="240"/>
      <c r="B22" s="35" t="s">
        <v>63</v>
      </c>
      <c r="C22" s="36">
        <f t="shared" ref="C22:N22" si="4">C21+C18+C12</f>
        <v>0</v>
      </c>
      <c r="D22" s="376">
        <f t="shared" si="4"/>
        <v>75229</v>
      </c>
      <c r="E22" s="36">
        <f t="shared" si="4"/>
        <v>0</v>
      </c>
      <c r="F22" s="376">
        <f t="shared" si="4"/>
        <v>97481.671443193452</v>
      </c>
      <c r="G22" s="36">
        <f t="shared" si="4"/>
        <v>0</v>
      </c>
      <c r="H22" s="376">
        <f t="shared" si="4"/>
        <v>80982</v>
      </c>
      <c r="I22" s="36">
        <f t="shared" si="4"/>
        <v>0</v>
      </c>
      <c r="J22" s="36">
        <f t="shared" si="4"/>
        <v>0</v>
      </c>
      <c r="K22" s="36">
        <f t="shared" si="4"/>
        <v>0</v>
      </c>
      <c r="L22" s="376">
        <f t="shared" si="4"/>
        <v>-12000</v>
      </c>
      <c r="M22" s="36">
        <f t="shared" si="4"/>
        <v>0</v>
      </c>
      <c r="N22" s="377">
        <f t="shared" si="4"/>
        <v>68981.999999999985</v>
      </c>
      <c r="O22" s="63" t="s">
        <v>17</v>
      </c>
      <c r="Q22" s="5" t="s">
        <v>219</v>
      </c>
    </row>
    <row r="23" spans="1:17" x14ac:dyDescent="0.2">
      <c r="O23" s="63" t="s">
        <v>17</v>
      </c>
    </row>
    <row r="24" spans="1:17" ht="15" x14ac:dyDescent="0.2">
      <c r="A24" s="451" t="s">
        <v>183</v>
      </c>
      <c r="B24" s="451"/>
      <c r="C24" s="451"/>
      <c r="D24" s="451"/>
      <c r="E24" s="451"/>
      <c r="F24" s="451"/>
      <c r="G24" s="451"/>
      <c r="H24" s="451"/>
      <c r="I24" s="451"/>
      <c r="J24" s="451"/>
      <c r="K24" s="451"/>
      <c r="L24" s="451"/>
      <c r="M24" s="451"/>
      <c r="N24" s="451"/>
      <c r="O24" s="63" t="s">
        <v>18</v>
      </c>
    </row>
    <row r="26" spans="1:17" x14ac:dyDescent="0.2">
      <c r="A26" s="185"/>
    </row>
  </sheetData>
  <mergeCells count="14">
    <mergeCell ref="A6:N6"/>
    <mergeCell ref="A1:N1"/>
    <mergeCell ref="A2:N2"/>
    <mergeCell ref="A3:N3"/>
    <mergeCell ref="A4:N4"/>
    <mergeCell ref="A5:N5"/>
    <mergeCell ref="M7:N7"/>
    <mergeCell ref="A24:N24"/>
    <mergeCell ref="A7:B8"/>
    <mergeCell ref="C7:D7"/>
    <mergeCell ref="E7:F7"/>
    <mergeCell ref="G7:H7"/>
    <mergeCell ref="I7:J7"/>
    <mergeCell ref="K7:L7"/>
  </mergeCells>
  <printOptions horizontalCentered="1"/>
  <pageMargins left="0.7" right="0.7" top="0.75" bottom="0.75" header="0.3" footer="0.3"/>
  <pageSetup scale="58"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3"/>
  <sheetViews>
    <sheetView view="pageBreakPreview" zoomScale="80" zoomScaleNormal="100" zoomScaleSheetLayoutView="80" workbookViewId="0">
      <selection activeCell="W33" sqref="W33"/>
    </sheetView>
  </sheetViews>
  <sheetFormatPr defaultColWidth="9.140625" defaultRowHeight="14.25" x14ac:dyDescent="0.2"/>
  <cols>
    <col min="1" max="1" width="37.140625" style="165" customWidth="1"/>
    <col min="2" max="3" width="8.28515625" style="165" customWidth="1"/>
    <col min="4" max="4" width="12.7109375" style="165" customWidth="1"/>
    <col min="5" max="5" width="7.140625" style="165" customWidth="1"/>
    <col min="6" max="6" width="8.7109375" style="165" customWidth="1"/>
    <col min="7" max="7" width="8.7109375" style="165" bestFit="1" customWidth="1"/>
    <col min="8" max="8" width="7.140625" style="165" customWidth="1"/>
    <col min="9" max="9" width="8.7109375" style="165" customWidth="1"/>
    <col min="10" max="10" width="8.7109375" style="165" bestFit="1" customWidth="1"/>
    <col min="11" max="11" width="7.140625" style="165" customWidth="1"/>
    <col min="12" max="12" width="8.7109375" style="165" customWidth="1"/>
    <col min="13" max="13" width="12.28515625" style="165" bestFit="1" customWidth="1"/>
    <col min="14" max="15" width="8.28515625" style="165" customWidth="1"/>
    <col min="16" max="16" width="11.5703125" style="165" customWidth="1"/>
    <col min="17" max="17" width="12.7109375" style="165" bestFit="1" customWidth="1"/>
    <col min="18" max="18" width="12.7109375" style="165" customWidth="1"/>
    <col min="19" max="20" width="8.28515625" style="165" customWidth="1"/>
    <col min="21" max="21" width="14" style="165" bestFit="1" customWidth="1"/>
    <col min="22" max="22" width="14" style="4" bestFit="1" customWidth="1"/>
    <col min="23" max="23" width="4.5703125" style="165" customWidth="1"/>
    <col min="24" max="24" width="116.7109375" style="165" customWidth="1"/>
    <col min="25" max="26" width="8.28515625" style="165" customWidth="1"/>
    <col min="27" max="27" width="12.7109375" style="165" customWidth="1"/>
    <col min="28" max="29" width="8.28515625" style="165" customWidth="1"/>
    <col min="30" max="30" width="12.7109375" style="165" customWidth="1"/>
    <col min="31" max="16384" width="9.140625" style="165"/>
  </cols>
  <sheetData>
    <row r="1" spans="1:30" ht="18" x14ac:dyDescent="0.25">
      <c r="A1" s="433" t="s">
        <v>104</v>
      </c>
      <c r="B1" s="433"/>
      <c r="C1" s="433"/>
      <c r="D1" s="433"/>
      <c r="E1" s="433"/>
      <c r="F1" s="433"/>
      <c r="G1" s="433"/>
      <c r="H1" s="433"/>
      <c r="I1" s="433"/>
      <c r="J1" s="433"/>
      <c r="K1" s="433"/>
      <c r="L1" s="433"/>
      <c r="M1" s="433"/>
      <c r="N1" s="433"/>
      <c r="O1" s="433"/>
      <c r="P1" s="433"/>
      <c r="Q1" s="433"/>
      <c r="R1" s="433"/>
      <c r="S1" s="433"/>
      <c r="T1" s="433"/>
      <c r="U1" s="433"/>
      <c r="V1" s="63" t="s">
        <v>17</v>
      </c>
      <c r="W1" s="6"/>
      <c r="X1" s="108" t="s">
        <v>25</v>
      </c>
      <c r="Y1" s="6"/>
      <c r="Z1" s="6"/>
      <c r="AA1" s="6"/>
      <c r="AB1" s="6"/>
      <c r="AC1" s="6"/>
      <c r="AD1" s="6"/>
    </row>
    <row r="2" spans="1:30" ht="15" x14ac:dyDescent="0.2">
      <c r="A2" s="434" t="s">
        <v>305</v>
      </c>
      <c r="B2" s="434"/>
      <c r="C2" s="434"/>
      <c r="D2" s="434"/>
      <c r="E2" s="434"/>
      <c r="F2" s="434"/>
      <c r="G2" s="434"/>
      <c r="H2" s="434"/>
      <c r="I2" s="434"/>
      <c r="J2" s="434"/>
      <c r="K2" s="434"/>
      <c r="L2" s="434"/>
      <c r="M2" s="434"/>
      <c r="N2" s="434"/>
      <c r="O2" s="434"/>
      <c r="P2" s="434"/>
      <c r="Q2" s="434"/>
      <c r="R2" s="434"/>
      <c r="S2" s="434"/>
      <c r="T2" s="434"/>
      <c r="U2" s="434"/>
      <c r="V2" s="63" t="s">
        <v>17</v>
      </c>
      <c r="W2" s="7"/>
      <c r="X2" s="109"/>
      <c r="Y2" s="7"/>
      <c r="Z2" s="7"/>
      <c r="AA2" s="7"/>
      <c r="AB2" s="7"/>
      <c r="AC2" s="7"/>
      <c r="AD2" s="7"/>
    </row>
    <row r="3" spans="1:30" ht="15" x14ac:dyDescent="0.25">
      <c r="A3" s="435" t="s">
        <v>422</v>
      </c>
      <c r="B3" s="435"/>
      <c r="C3" s="435"/>
      <c r="D3" s="435"/>
      <c r="E3" s="435"/>
      <c r="F3" s="435"/>
      <c r="G3" s="435"/>
      <c r="H3" s="435"/>
      <c r="I3" s="435"/>
      <c r="J3" s="435"/>
      <c r="K3" s="435"/>
      <c r="L3" s="435"/>
      <c r="M3" s="435"/>
      <c r="N3" s="435"/>
      <c r="O3" s="435"/>
      <c r="P3" s="435"/>
      <c r="Q3" s="435"/>
      <c r="R3" s="435"/>
      <c r="S3" s="435"/>
      <c r="T3" s="435"/>
      <c r="U3" s="435"/>
      <c r="V3" s="63" t="s">
        <v>17</v>
      </c>
      <c r="W3" s="189"/>
      <c r="X3" s="109" t="s">
        <v>201</v>
      </c>
      <c r="Y3" s="189"/>
      <c r="Z3" s="189"/>
      <c r="AA3" s="189"/>
      <c r="AB3" s="189"/>
      <c r="AC3" s="189"/>
      <c r="AD3" s="189"/>
    </row>
    <row r="4" spans="1:30" x14ac:dyDescent="0.2">
      <c r="A4" s="450" t="s">
        <v>2</v>
      </c>
      <c r="B4" s="450"/>
      <c r="C4" s="450"/>
      <c r="D4" s="450"/>
      <c r="E4" s="450"/>
      <c r="F4" s="450"/>
      <c r="G4" s="450"/>
      <c r="H4" s="450"/>
      <c r="I4" s="450"/>
      <c r="J4" s="450"/>
      <c r="K4" s="450"/>
      <c r="L4" s="450"/>
      <c r="M4" s="450"/>
      <c r="N4" s="450"/>
      <c r="O4" s="450"/>
      <c r="P4" s="450"/>
      <c r="Q4" s="450"/>
      <c r="R4" s="450"/>
      <c r="S4" s="450"/>
      <c r="T4" s="450"/>
      <c r="U4" s="450"/>
      <c r="V4" s="63" t="s">
        <v>17</v>
      </c>
      <c r="W4" s="188"/>
      <c r="X4" s="109" t="s">
        <v>200</v>
      </c>
      <c r="Y4" s="188"/>
      <c r="Z4" s="188"/>
      <c r="AA4" s="188"/>
      <c r="AB4" s="188"/>
      <c r="AC4" s="188"/>
      <c r="AD4" s="188"/>
    </row>
    <row r="5" spans="1:30" ht="15.75" thickBot="1" x14ac:dyDescent="0.3">
      <c r="A5" s="188"/>
      <c r="B5" s="188"/>
      <c r="C5" s="188"/>
      <c r="D5" s="188"/>
      <c r="E5" s="188"/>
      <c r="F5" s="188"/>
      <c r="G5" s="188"/>
      <c r="H5" s="188"/>
      <c r="I5" s="188"/>
      <c r="J5" s="188"/>
      <c r="K5" s="188"/>
      <c r="L5" s="188"/>
      <c r="M5" s="188"/>
      <c r="N5" s="188"/>
      <c r="O5" s="188"/>
      <c r="P5" s="188"/>
      <c r="Q5" s="188"/>
      <c r="R5" s="188"/>
      <c r="S5" s="188"/>
      <c r="T5" s="188"/>
      <c r="U5" s="188"/>
      <c r="V5" s="63" t="s">
        <v>17</v>
      </c>
      <c r="W5" s="188"/>
      <c r="X5" s="110"/>
      <c r="Y5" s="188"/>
      <c r="Z5" s="188"/>
      <c r="AA5" s="188"/>
      <c r="AB5" s="188"/>
      <c r="AC5" s="188"/>
      <c r="AD5" s="188"/>
    </row>
    <row r="6" spans="1:30" ht="15" thickBot="1" x14ac:dyDescent="0.25">
      <c r="A6" s="254"/>
      <c r="B6" s="254"/>
      <c r="C6" s="254"/>
      <c r="D6" s="254"/>
      <c r="E6" s="254"/>
      <c r="F6" s="254"/>
      <c r="G6" s="254"/>
      <c r="H6" s="254"/>
      <c r="I6" s="254"/>
      <c r="J6" s="254"/>
      <c r="K6" s="254"/>
      <c r="L6" s="254"/>
      <c r="M6" s="254"/>
      <c r="N6" s="254"/>
      <c r="O6" s="254"/>
      <c r="P6" s="254"/>
      <c r="Q6" s="254"/>
      <c r="R6" s="254"/>
      <c r="S6" s="254"/>
      <c r="T6" s="254"/>
      <c r="U6" s="254"/>
      <c r="V6" s="63" t="s">
        <v>17</v>
      </c>
      <c r="W6" s="188"/>
      <c r="Y6" s="188"/>
      <c r="Z6" s="188"/>
      <c r="AA6" s="188"/>
      <c r="AB6" s="188"/>
      <c r="AC6" s="188"/>
      <c r="AD6" s="188"/>
    </row>
    <row r="7" spans="1:30" ht="33.75" customHeight="1" x14ac:dyDescent="0.25">
      <c r="A7" s="441" t="s">
        <v>180</v>
      </c>
      <c r="B7" s="444" t="s">
        <v>275</v>
      </c>
      <c r="C7" s="444"/>
      <c r="D7" s="444"/>
      <c r="E7" s="444" t="s">
        <v>287</v>
      </c>
      <c r="F7" s="496"/>
      <c r="G7" s="497"/>
      <c r="H7" s="444" t="s">
        <v>176</v>
      </c>
      <c r="I7" s="496"/>
      <c r="J7" s="497"/>
      <c r="K7" s="444" t="s">
        <v>267</v>
      </c>
      <c r="L7" s="496"/>
      <c r="M7" s="497"/>
      <c r="N7" s="444" t="s">
        <v>96</v>
      </c>
      <c r="O7" s="444"/>
      <c r="P7" s="444"/>
      <c r="Q7" s="328" t="s">
        <v>97</v>
      </c>
      <c r="R7" s="328" t="s">
        <v>193</v>
      </c>
      <c r="S7" s="444" t="s">
        <v>268</v>
      </c>
      <c r="T7" s="444"/>
      <c r="U7" s="445"/>
      <c r="V7" s="63" t="s">
        <v>17</v>
      </c>
      <c r="X7" s="5" t="s">
        <v>216</v>
      </c>
    </row>
    <row r="8" spans="1:30" ht="28.5" x14ac:dyDescent="0.25">
      <c r="A8" s="442"/>
      <c r="B8" s="229" t="s">
        <v>3</v>
      </c>
      <c r="C8" s="229" t="s">
        <v>174</v>
      </c>
      <c r="D8" s="229" t="s">
        <v>4</v>
      </c>
      <c r="E8" s="229" t="s">
        <v>3</v>
      </c>
      <c r="F8" s="229" t="s">
        <v>174</v>
      </c>
      <c r="G8" s="229" t="s">
        <v>4</v>
      </c>
      <c r="H8" s="229" t="s">
        <v>3</v>
      </c>
      <c r="I8" s="229" t="s">
        <v>174</v>
      </c>
      <c r="J8" s="229" t="s">
        <v>4</v>
      </c>
      <c r="K8" s="229" t="s">
        <v>3</v>
      </c>
      <c r="L8" s="229" t="s">
        <v>174</v>
      </c>
      <c r="M8" s="229" t="s">
        <v>4</v>
      </c>
      <c r="N8" s="229" t="s">
        <v>3</v>
      </c>
      <c r="O8" s="229" t="s">
        <v>174</v>
      </c>
      <c r="P8" s="229" t="s">
        <v>4</v>
      </c>
      <c r="Q8" s="229" t="s">
        <v>4</v>
      </c>
      <c r="R8" s="229" t="s">
        <v>4</v>
      </c>
      <c r="S8" s="229" t="s">
        <v>3</v>
      </c>
      <c r="T8" s="229" t="s">
        <v>174</v>
      </c>
      <c r="U8" s="230" t="s">
        <v>4</v>
      </c>
      <c r="V8" s="63" t="s">
        <v>17</v>
      </c>
      <c r="X8" s="5" t="s">
        <v>248</v>
      </c>
    </row>
    <row r="9" spans="1:30" x14ac:dyDescent="0.2">
      <c r="A9" s="215" t="s">
        <v>422</v>
      </c>
      <c r="B9" s="255">
        <v>0</v>
      </c>
      <c r="C9" s="255">
        <v>0</v>
      </c>
      <c r="D9" s="255">
        <v>79303</v>
      </c>
      <c r="E9" s="255">
        <v>0</v>
      </c>
      <c r="F9" s="255">
        <v>0</v>
      </c>
      <c r="G9" s="255">
        <v>0</v>
      </c>
      <c r="H9" s="255">
        <v>0</v>
      </c>
      <c r="I9" s="255">
        <v>0</v>
      </c>
      <c r="J9" s="255">
        <v>0</v>
      </c>
      <c r="K9" s="255">
        <v>0</v>
      </c>
      <c r="L9" s="255">
        <v>0</v>
      </c>
      <c r="M9" s="347">
        <v>-4074</v>
      </c>
      <c r="N9" s="255">
        <v>0</v>
      </c>
      <c r="O9" s="255">
        <v>0</v>
      </c>
      <c r="P9" s="255">
        <v>0</v>
      </c>
      <c r="Q9" s="255">
        <v>96690</v>
      </c>
      <c r="R9" s="255">
        <f>19030+266</f>
        <v>19296</v>
      </c>
      <c r="S9" s="255">
        <f t="shared" ref="S9:T9" si="0">B9+N9</f>
        <v>0</v>
      </c>
      <c r="T9" s="255">
        <f t="shared" si="0"/>
        <v>0</v>
      </c>
      <c r="U9" s="256">
        <f>D9+P9+Q9+R9+J9+M9+G9</f>
        <v>191215</v>
      </c>
      <c r="V9" s="63" t="s">
        <v>17</v>
      </c>
      <c r="X9" s="164" t="s">
        <v>100</v>
      </c>
    </row>
    <row r="10" spans="1:30" ht="15.75" thickBot="1" x14ac:dyDescent="0.3">
      <c r="A10" s="23" t="s">
        <v>177</v>
      </c>
      <c r="B10" s="36">
        <f t="shared" ref="B10:U10" si="1">SUM(B9:B9)</f>
        <v>0</v>
      </c>
      <c r="C10" s="36">
        <f t="shared" si="1"/>
        <v>0</v>
      </c>
      <c r="D10" s="376">
        <f t="shared" si="1"/>
        <v>79303</v>
      </c>
      <c r="E10" s="36">
        <f t="shared" si="1"/>
        <v>0</v>
      </c>
      <c r="F10" s="36">
        <f t="shared" si="1"/>
        <v>0</v>
      </c>
      <c r="G10" s="36">
        <f t="shared" si="1"/>
        <v>0</v>
      </c>
      <c r="H10" s="36">
        <f t="shared" si="1"/>
        <v>0</v>
      </c>
      <c r="I10" s="36">
        <f t="shared" si="1"/>
        <v>0</v>
      </c>
      <c r="J10" s="36">
        <f t="shared" si="1"/>
        <v>0</v>
      </c>
      <c r="K10" s="36">
        <f t="shared" si="1"/>
        <v>0</v>
      </c>
      <c r="L10" s="36">
        <f t="shared" si="1"/>
        <v>0</v>
      </c>
      <c r="M10" s="376">
        <f t="shared" si="1"/>
        <v>-4074</v>
      </c>
      <c r="N10" s="36">
        <f t="shared" si="1"/>
        <v>0</v>
      </c>
      <c r="O10" s="36">
        <f t="shared" si="1"/>
        <v>0</v>
      </c>
      <c r="P10" s="36">
        <f t="shared" si="1"/>
        <v>0</v>
      </c>
      <c r="Q10" s="376">
        <f t="shared" si="1"/>
        <v>96690</v>
      </c>
      <c r="R10" s="348">
        <f t="shared" si="1"/>
        <v>19296</v>
      </c>
      <c r="S10" s="36">
        <f t="shared" si="1"/>
        <v>0</v>
      </c>
      <c r="T10" s="36">
        <f t="shared" si="1"/>
        <v>0</v>
      </c>
      <c r="U10" s="377">
        <f t="shared" si="1"/>
        <v>191215</v>
      </c>
      <c r="V10" s="63" t="s">
        <v>17</v>
      </c>
      <c r="X10" s="5" t="s">
        <v>251</v>
      </c>
    </row>
    <row r="11" spans="1:30" ht="15" x14ac:dyDescent="0.25">
      <c r="A11" s="202" t="s">
        <v>276</v>
      </c>
      <c r="B11" s="270"/>
      <c r="C11" s="270"/>
      <c r="D11" s="270"/>
      <c r="E11" s="270"/>
      <c r="F11" s="270"/>
      <c r="G11" s="270"/>
      <c r="H11" s="270"/>
      <c r="I11" s="270"/>
      <c r="J11" s="270"/>
      <c r="K11" s="270"/>
      <c r="L11" s="270"/>
      <c r="M11" s="270"/>
      <c r="N11" s="270"/>
      <c r="O11" s="270"/>
      <c r="P11" s="270"/>
      <c r="Q11" s="270"/>
      <c r="R11" s="270"/>
      <c r="S11" s="270"/>
      <c r="T11" s="270"/>
      <c r="U11" s="270"/>
      <c r="V11" s="63"/>
    </row>
    <row r="12" spans="1:30" x14ac:dyDescent="0.2">
      <c r="A12" s="495" t="s">
        <v>288</v>
      </c>
      <c r="B12" s="495"/>
      <c r="C12" s="495"/>
      <c r="D12" s="495"/>
      <c r="E12" s="495"/>
      <c r="F12" s="495"/>
      <c r="G12" s="495"/>
      <c r="H12" s="495"/>
      <c r="I12" s="495"/>
      <c r="J12" s="495"/>
      <c r="K12" s="495"/>
      <c r="L12" s="495"/>
      <c r="M12" s="495"/>
      <c r="N12" s="495"/>
      <c r="O12" s="495"/>
      <c r="P12" s="495"/>
      <c r="Q12" s="495"/>
      <c r="R12" s="495"/>
      <c r="S12" s="495"/>
      <c r="T12" s="495"/>
      <c r="U12" s="495"/>
      <c r="V12" s="63" t="s">
        <v>17</v>
      </c>
    </row>
    <row r="13" spans="1:30" x14ac:dyDescent="0.2">
      <c r="V13" s="63"/>
    </row>
    <row r="14" spans="1:30" ht="42.75" customHeight="1" x14ac:dyDescent="0.25">
      <c r="A14" s="532" t="s">
        <v>429</v>
      </c>
      <c r="B14" s="532"/>
      <c r="C14" s="532"/>
      <c r="D14" s="532"/>
      <c r="E14" s="532"/>
      <c r="F14" s="532"/>
      <c r="G14" s="532"/>
      <c r="H14" s="532"/>
      <c r="I14" s="532"/>
      <c r="J14" s="532"/>
      <c r="K14" s="532"/>
      <c r="L14" s="532"/>
      <c r="M14" s="532"/>
      <c r="N14" s="532"/>
      <c r="O14" s="532"/>
      <c r="P14" s="532"/>
      <c r="Q14" s="532"/>
      <c r="R14" s="532"/>
      <c r="S14" s="532"/>
      <c r="T14" s="532"/>
      <c r="U14" s="532"/>
      <c r="V14" s="63" t="s">
        <v>17</v>
      </c>
    </row>
    <row r="15" spans="1:30" x14ac:dyDescent="0.2">
      <c r="A15" s="531"/>
      <c r="B15" s="531"/>
      <c r="C15" s="531"/>
      <c r="D15" s="531"/>
      <c r="E15" s="531"/>
      <c r="F15" s="531"/>
      <c r="G15" s="531"/>
      <c r="H15" s="531"/>
      <c r="I15" s="531"/>
      <c r="J15" s="531"/>
      <c r="K15" s="531"/>
      <c r="L15" s="531"/>
      <c r="M15" s="531"/>
      <c r="N15" s="531"/>
      <c r="O15" s="531"/>
      <c r="P15" s="531"/>
      <c r="Q15" s="531"/>
      <c r="R15" s="531"/>
      <c r="S15" s="531"/>
      <c r="T15" s="531"/>
      <c r="U15" s="531"/>
      <c r="V15" s="63" t="s">
        <v>17</v>
      </c>
    </row>
    <row r="16" spans="1:30" x14ac:dyDescent="0.2">
      <c r="A16" s="531"/>
      <c r="B16" s="531"/>
      <c r="C16" s="531"/>
      <c r="D16" s="531"/>
      <c r="E16" s="531"/>
      <c r="F16" s="531"/>
      <c r="G16" s="531"/>
      <c r="H16" s="531"/>
      <c r="I16" s="531"/>
      <c r="J16" s="531"/>
      <c r="K16" s="531"/>
      <c r="L16" s="531"/>
      <c r="M16" s="531"/>
      <c r="N16" s="531"/>
      <c r="O16" s="531"/>
      <c r="P16" s="531"/>
      <c r="Q16" s="531"/>
      <c r="R16" s="531"/>
      <c r="S16" s="531"/>
      <c r="T16" s="531"/>
      <c r="U16" s="531"/>
      <c r="V16" s="63" t="s">
        <v>17</v>
      </c>
    </row>
    <row r="17" spans="1:22" ht="31.5" customHeight="1" x14ac:dyDescent="0.25">
      <c r="A17" s="532" t="s">
        <v>430</v>
      </c>
      <c r="B17" s="532"/>
      <c r="C17" s="532"/>
      <c r="D17" s="532"/>
      <c r="E17" s="532"/>
      <c r="F17" s="532"/>
      <c r="G17" s="532"/>
      <c r="H17" s="532"/>
      <c r="I17" s="532"/>
      <c r="J17" s="532"/>
      <c r="K17" s="532"/>
      <c r="L17" s="532"/>
      <c r="M17" s="532"/>
      <c r="N17" s="532"/>
      <c r="O17" s="532"/>
      <c r="P17" s="532"/>
      <c r="Q17" s="532"/>
      <c r="R17" s="532"/>
      <c r="S17" s="532"/>
      <c r="T17" s="532"/>
      <c r="U17" s="532"/>
      <c r="V17" s="63" t="s">
        <v>17</v>
      </c>
    </row>
    <row r="18" spans="1:22" x14ac:dyDescent="0.2">
      <c r="A18" s="531"/>
      <c r="B18" s="531"/>
      <c r="C18" s="531"/>
      <c r="D18" s="531"/>
      <c r="E18" s="531"/>
      <c r="F18" s="531"/>
      <c r="G18" s="531"/>
      <c r="H18" s="531"/>
      <c r="I18" s="531"/>
      <c r="J18" s="531"/>
      <c r="K18" s="531"/>
      <c r="L18" s="531"/>
      <c r="M18" s="531"/>
      <c r="N18" s="531"/>
      <c r="O18" s="531"/>
      <c r="P18" s="531"/>
      <c r="Q18" s="531"/>
      <c r="R18" s="531"/>
      <c r="S18" s="531"/>
      <c r="T18" s="531"/>
      <c r="U18" s="531"/>
      <c r="V18" s="63" t="s">
        <v>17</v>
      </c>
    </row>
    <row r="19" spans="1:22" x14ac:dyDescent="0.2">
      <c r="A19" s="531"/>
      <c r="B19" s="531"/>
      <c r="C19" s="531"/>
      <c r="D19" s="531"/>
      <c r="E19" s="531"/>
      <c r="F19" s="531"/>
      <c r="G19" s="531"/>
      <c r="H19" s="531"/>
      <c r="I19" s="531"/>
      <c r="J19" s="531"/>
      <c r="K19" s="531"/>
      <c r="L19" s="531"/>
      <c r="M19" s="531"/>
      <c r="N19" s="531"/>
      <c r="O19" s="531"/>
      <c r="P19" s="531"/>
      <c r="Q19" s="531"/>
      <c r="R19" s="531"/>
      <c r="S19" s="531"/>
      <c r="T19" s="531"/>
      <c r="U19" s="531"/>
      <c r="V19" s="63" t="s">
        <v>17</v>
      </c>
    </row>
    <row r="20" spans="1:22" x14ac:dyDescent="0.2">
      <c r="V20" s="63" t="s">
        <v>17</v>
      </c>
    </row>
    <row r="21" spans="1:22" x14ac:dyDescent="0.2">
      <c r="V21" s="4" t="s">
        <v>18</v>
      </c>
    </row>
    <row r="23" spans="1:22" x14ac:dyDescent="0.2">
      <c r="U23" s="165" t="s">
        <v>82</v>
      </c>
    </row>
  </sheetData>
  <mergeCells count="18">
    <mergeCell ref="A1:U1"/>
    <mergeCell ref="A2:U2"/>
    <mergeCell ref="A3:U3"/>
    <mergeCell ref="A4:U4"/>
    <mergeCell ref="A7:A8"/>
    <mergeCell ref="B7:D7"/>
    <mergeCell ref="E7:G7"/>
    <mergeCell ref="H7:J7"/>
    <mergeCell ref="K7:M7"/>
    <mergeCell ref="N7:P7"/>
    <mergeCell ref="A16:U16"/>
    <mergeCell ref="A17:U17"/>
    <mergeCell ref="A18:U18"/>
    <mergeCell ref="A19:U19"/>
    <mergeCell ref="S7:U7"/>
    <mergeCell ref="A12:U12"/>
    <mergeCell ref="A14:U14"/>
    <mergeCell ref="A15:U15"/>
  </mergeCells>
  <printOptions horizontalCentered="1"/>
  <pageMargins left="0.7" right="0.7" top="0.64" bottom="0.61" header="0.3" footer="0.3"/>
  <pageSetup scale="53" fitToHeight="0" orientation="landscape" r:id="rId1"/>
  <headerFooter>
    <oddHeader>&amp;L&amp;"Arial,Bold"&amp;12F. Crosswalk of 2013 Availability</oddHeader>
    <oddFooter>&amp;C&amp;"Arial,Regular"Exhibit F - Crosswalk of 2013 Availability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
  <sheetViews>
    <sheetView view="pageBreakPreview" zoomScale="80" zoomScaleNormal="100" zoomScaleSheetLayoutView="80" workbookViewId="0">
      <selection activeCell="D34" sqref="D34"/>
    </sheetView>
  </sheetViews>
  <sheetFormatPr defaultColWidth="9.140625" defaultRowHeight="14.25" x14ac:dyDescent="0.2"/>
  <cols>
    <col min="1" max="1" width="37.140625" style="165" customWidth="1"/>
    <col min="2" max="3" width="8.28515625" style="165" customWidth="1"/>
    <col min="4" max="4" width="12.7109375" style="165" customWidth="1"/>
    <col min="5" max="5" width="15" style="165" customWidth="1"/>
    <col min="6" max="6" width="8.28515625" style="165" customWidth="1"/>
    <col min="7" max="7" width="9.85546875" style="165" customWidth="1"/>
    <col min="8" max="10" width="12.7109375" style="165" customWidth="1"/>
    <col min="11" max="11" width="8.28515625" style="165" customWidth="1"/>
    <col min="12" max="12" width="11.5703125" style="165" customWidth="1"/>
    <col min="13" max="13" width="12.7109375" style="165" customWidth="1"/>
    <col min="14" max="14" width="14" style="4" bestFit="1" customWidth="1"/>
    <col min="15" max="15" width="4.5703125" style="165" customWidth="1"/>
    <col min="16" max="16" width="116.7109375" style="165" customWidth="1"/>
    <col min="17" max="18" width="8.28515625" style="165" customWidth="1"/>
    <col min="19" max="19" width="12.7109375" style="165" customWidth="1"/>
    <col min="20" max="21" width="8.28515625" style="165" customWidth="1"/>
    <col min="22" max="22" width="12.7109375" style="165" customWidth="1"/>
    <col min="23" max="16384" width="9.140625" style="165"/>
  </cols>
  <sheetData>
    <row r="1" spans="1:22" ht="18" x14ac:dyDescent="0.25">
      <c r="A1" s="433" t="s">
        <v>269</v>
      </c>
      <c r="B1" s="433"/>
      <c r="C1" s="433"/>
      <c r="D1" s="433"/>
      <c r="E1" s="433"/>
      <c r="F1" s="433"/>
      <c r="G1" s="433"/>
      <c r="H1" s="433"/>
      <c r="I1" s="433"/>
      <c r="J1" s="433"/>
      <c r="K1" s="433"/>
      <c r="L1" s="433"/>
      <c r="M1" s="433"/>
      <c r="N1" s="63" t="s">
        <v>17</v>
      </c>
      <c r="O1" s="6"/>
      <c r="P1" s="108" t="s">
        <v>25</v>
      </c>
      <c r="Q1" s="6"/>
      <c r="R1" s="6"/>
      <c r="S1" s="6"/>
      <c r="T1" s="6"/>
      <c r="U1" s="6"/>
      <c r="V1" s="6"/>
    </row>
    <row r="2" spans="1:22" ht="15" x14ac:dyDescent="0.2">
      <c r="A2" s="434" t="s">
        <v>305</v>
      </c>
      <c r="B2" s="434"/>
      <c r="C2" s="434"/>
      <c r="D2" s="434"/>
      <c r="E2" s="434"/>
      <c r="F2" s="434"/>
      <c r="G2" s="434"/>
      <c r="H2" s="434"/>
      <c r="I2" s="434"/>
      <c r="J2" s="434"/>
      <c r="K2" s="434"/>
      <c r="L2" s="434"/>
      <c r="M2" s="434"/>
      <c r="N2" s="63" t="s">
        <v>17</v>
      </c>
      <c r="O2" s="7"/>
      <c r="P2" s="109"/>
      <c r="Q2" s="7"/>
      <c r="R2" s="7"/>
      <c r="S2" s="7"/>
      <c r="T2" s="7"/>
      <c r="U2" s="7"/>
      <c r="V2" s="7"/>
    </row>
    <row r="3" spans="1:22" ht="15" x14ac:dyDescent="0.25">
      <c r="A3" s="435" t="s">
        <v>422</v>
      </c>
      <c r="B3" s="435"/>
      <c r="C3" s="435"/>
      <c r="D3" s="435"/>
      <c r="E3" s="435"/>
      <c r="F3" s="435"/>
      <c r="G3" s="435"/>
      <c r="H3" s="435"/>
      <c r="I3" s="435"/>
      <c r="J3" s="435"/>
      <c r="K3" s="435"/>
      <c r="L3" s="435"/>
      <c r="M3" s="435"/>
      <c r="N3" s="63" t="s">
        <v>17</v>
      </c>
      <c r="O3" s="189"/>
      <c r="P3" s="109" t="s">
        <v>201</v>
      </c>
      <c r="Q3" s="189"/>
      <c r="R3" s="189"/>
      <c r="S3" s="189"/>
      <c r="T3" s="189"/>
      <c r="U3" s="189"/>
      <c r="V3" s="189"/>
    </row>
    <row r="4" spans="1:22" x14ac:dyDescent="0.2">
      <c r="A4" s="450" t="s">
        <v>2</v>
      </c>
      <c r="B4" s="450"/>
      <c r="C4" s="450"/>
      <c r="D4" s="450"/>
      <c r="E4" s="450"/>
      <c r="F4" s="450"/>
      <c r="G4" s="450"/>
      <c r="H4" s="450"/>
      <c r="I4" s="450"/>
      <c r="J4" s="450"/>
      <c r="K4" s="450"/>
      <c r="L4" s="450"/>
      <c r="M4" s="450"/>
      <c r="N4" s="63" t="s">
        <v>17</v>
      </c>
      <c r="O4" s="188"/>
      <c r="P4" s="109" t="s">
        <v>200</v>
      </c>
      <c r="Q4" s="188"/>
      <c r="R4" s="188"/>
      <c r="S4" s="188"/>
      <c r="T4" s="188"/>
      <c r="U4" s="188"/>
      <c r="V4" s="188"/>
    </row>
    <row r="5" spans="1:22" ht="15.75" thickBot="1" x14ac:dyDescent="0.3">
      <c r="A5" s="188"/>
      <c r="B5" s="188"/>
      <c r="C5" s="188"/>
      <c r="D5" s="188"/>
      <c r="E5" s="188"/>
      <c r="F5" s="188"/>
      <c r="G5" s="188"/>
      <c r="H5" s="188"/>
      <c r="I5" s="188"/>
      <c r="J5" s="188"/>
      <c r="K5" s="188"/>
      <c r="L5" s="188"/>
      <c r="M5" s="188"/>
      <c r="N5" s="63" t="s">
        <v>17</v>
      </c>
      <c r="O5" s="188"/>
      <c r="P5" s="110"/>
      <c r="Q5" s="188"/>
      <c r="R5" s="188"/>
      <c r="S5" s="188"/>
      <c r="T5" s="188"/>
      <c r="U5" s="188"/>
      <c r="V5" s="188"/>
    </row>
    <row r="6" spans="1:22" ht="15" thickBot="1" x14ac:dyDescent="0.25">
      <c r="A6" s="254"/>
      <c r="B6" s="254"/>
      <c r="C6" s="254"/>
      <c r="D6" s="254"/>
      <c r="E6" s="254"/>
      <c r="F6" s="254"/>
      <c r="G6" s="254"/>
      <c r="H6" s="254"/>
      <c r="I6" s="254"/>
      <c r="J6" s="254"/>
      <c r="K6" s="254"/>
      <c r="L6" s="254"/>
      <c r="M6" s="228"/>
      <c r="N6" s="63" t="s">
        <v>17</v>
      </c>
      <c r="O6" s="188"/>
      <c r="P6" s="188"/>
      <c r="Q6" s="188"/>
      <c r="R6" s="188"/>
      <c r="S6" s="188"/>
      <c r="T6" s="188"/>
      <c r="U6" s="188"/>
      <c r="V6" s="188"/>
    </row>
    <row r="7" spans="1:22" ht="47.25" customHeight="1" x14ac:dyDescent="0.25">
      <c r="A7" s="441" t="s">
        <v>180</v>
      </c>
      <c r="B7" s="444" t="s">
        <v>299</v>
      </c>
      <c r="C7" s="444"/>
      <c r="D7" s="444"/>
      <c r="E7" s="444" t="s">
        <v>96</v>
      </c>
      <c r="F7" s="444"/>
      <c r="G7" s="444"/>
      <c r="H7" s="328" t="s">
        <v>97</v>
      </c>
      <c r="I7" s="328" t="s">
        <v>193</v>
      </c>
      <c r="J7" s="444" t="s">
        <v>270</v>
      </c>
      <c r="K7" s="444"/>
      <c r="L7" s="445"/>
      <c r="M7" s="349" t="s">
        <v>17</v>
      </c>
      <c r="N7" s="165"/>
      <c r="O7" s="5" t="s">
        <v>98</v>
      </c>
    </row>
    <row r="8" spans="1:22" ht="28.5" x14ac:dyDescent="0.25">
      <c r="A8" s="442"/>
      <c r="B8" s="229" t="s">
        <v>3</v>
      </c>
      <c r="C8" s="229" t="s">
        <v>175</v>
      </c>
      <c r="D8" s="229" t="s">
        <v>4</v>
      </c>
      <c r="E8" s="229" t="s">
        <v>3</v>
      </c>
      <c r="F8" s="229" t="s">
        <v>175</v>
      </c>
      <c r="G8" s="229" t="s">
        <v>4</v>
      </c>
      <c r="H8" s="229" t="s">
        <v>4</v>
      </c>
      <c r="I8" s="229" t="s">
        <v>4</v>
      </c>
      <c r="J8" s="229" t="s">
        <v>3</v>
      </c>
      <c r="K8" s="229" t="s">
        <v>175</v>
      </c>
      <c r="L8" s="230" t="s">
        <v>4</v>
      </c>
      <c r="M8" s="63" t="s">
        <v>17</v>
      </c>
      <c r="N8" s="165"/>
      <c r="O8" s="5" t="s">
        <v>99</v>
      </c>
    </row>
    <row r="9" spans="1:22" x14ac:dyDescent="0.2">
      <c r="A9" s="215" t="s">
        <v>422</v>
      </c>
      <c r="B9" s="255">
        <v>0</v>
      </c>
      <c r="C9" s="255">
        <v>0</v>
      </c>
      <c r="D9" s="255">
        <v>97482</v>
      </c>
      <c r="E9" s="255">
        <v>0</v>
      </c>
      <c r="F9" s="255">
        <v>0</v>
      </c>
      <c r="G9" s="255">
        <v>0</v>
      </c>
      <c r="H9" s="255">
        <v>76566</v>
      </c>
      <c r="I9" s="255">
        <f>1773+20727</f>
        <v>22500</v>
      </c>
      <c r="J9" s="255">
        <f t="shared" ref="J9:K9" si="0">B9+E9</f>
        <v>0</v>
      </c>
      <c r="K9" s="255">
        <f t="shared" si="0"/>
        <v>0</v>
      </c>
      <c r="L9" s="256">
        <f t="shared" ref="L9:L12" si="1">D9+G9+H9+I9</f>
        <v>196548</v>
      </c>
      <c r="M9" s="63" t="s">
        <v>17</v>
      </c>
      <c r="N9" s="165"/>
      <c r="O9" s="164" t="s">
        <v>100</v>
      </c>
    </row>
    <row r="10" spans="1:22" ht="15" x14ac:dyDescent="0.25">
      <c r="A10" s="13" t="s">
        <v>177</v>
      </c>
      <c r="B10" s="137">
        <f t="shared" ref="B10:K10" si="2">SUM(B9:B9)</f>
        <v>0</v>
      </c>
      <c r="C10" s="137">
        <f t="shared" si="2"/>
        <v>0</v>
      </c>
      <c r="D10" s="341">
        <f t="shared" si="2"/>
        <v>97482</v>
      </c>
      <c r="E10" s="137">
        <f t="shared" si="2"/>
        <v>0</v>
      </c>
      <c r="F10" s="137">
        <f t="shared" si="2"/>
        <v>0</v>
      </c>
      <c r="G10" s="137">
        <f t="shared" si="2"/>
        <v>0</v>
      </c>
      <c r="H10" s="341">
        <f t="shared" si="2"/>
        <v>76566</v>
      </c>
      <c r="I10" s="341">
        <f t="shared" si="2"/>
        <v>22500</v>
      </c>
      <c r="J10" s="137">
        <f t="shared" si="2"/>
        <v>0</v>
      </c>
      <c r="K10" s="137">
        <f t="shared" si="2"/>
        <v>0</v>
      </c>
      <c r="L10" s="342">
        <f t="shared" si="1"/>
        <v>196548</v>
      </c>
      <c r="M10" s="63" t="s">
        <v>17</v>
      </c>
      <c r="N10" s="165"/>
      <c r="O10" s="5"/>
    </row>
    <row r="11" spans="1:22" x14ac:dyDescent="0.2">
      <c r="A11" s="387" t="s">
        <v>176</v>
      </c>
      <c r="B11" s="255"/>
      <c r="C11" s="255"/>
      <c r="D11" s="255">
        <v>0</v>
      </c>
      <c r="E11" s="255"/>
      <c r="F11" s="255"/>
      <c r="G11" s="255">
        <v>0</v>
      </c>
      <c r="H11" s="255">
        <v>0</v>
      </c>
      <c r="I11" s="255">
        <v>0</v>
      </c>
      <c r="J11" s="255"/>
      <c r="K11" s="255"/>
      <c r="L11" s="256">
        <f t="shared" si="1"/>
        <v>0</v>
      </c>
      <c r="M11" s="63" t="s">
        <v>17</v>
      </c>
      <c r="N11" s="165"/>
    </row>
    <row r="12" spans="1:22" ht="15.75" thickBot="1" x14ac:dyDescent="0.3">
      <c r="A12" s="350" t="s">
        <v>226</v>
      </c>
      <c r="B12" s="286"/>
      <c r="C12" s="286"/>
      <c r="D12" s="351">
        <f>SUM(D10:D11)</f>
        <v>97482</v>
      </c>
      <c r="E12" s="286"/>
      <c r="F12" s="286"/>
      <c r="G12" s="286">
        <f>G10</f>
        <v>0</v>
      </c>
      <c r="H12" s="351">
        <f>H10</f>
        <v>76566</v>
      </c>
      <c r="I12" s="351">
        <f>I10</f>
        <v>22500</v>
      </c>
      <c r="J12" s="286"/>
      <c r="K12" s="286"/>
      <c r="L12" s="352">
        <f t="shared" si="1"/>
        <v>196548</v>
      </c>
      <c r="M12" s="63" t="s">
        <v>17</v>
      </c>
      <c r="N12" s="165"/>
      <c r="O12" s="21" t="s">
        <v>103</v>
      </c>
    </row>
    <row r="13" spans="1:22" x14ac:dyDescent="0.2">
      <c r="M13" s="63" t="s">
        <v>17</v>
      </c>
    </row>
    <row r="14" spans="1:22" x14ac:dyDescent="0.2">
      <c r="M14" s="63" t="s">
        <v>17</v>
      </c>
    </row>
    <row r="15" spans="1:22" ht="50.25" customHeight="1" x14ac:dyDescent="0.25">
      <c r="A15" s="532" t="s">
        <v>431</v>
      </c>
      <c r="B15" s="532"/>
      <c r="C15" s="532"/>
      <c r="D15" s="532"/>
      <c r="E15" s="532"/>
      <c r="F15" s="532"/>
      <c r="G15" s="532"/>
      <c r="H15" s="532"/>
      <c r="I15" s="532"/>
      <c r="J15" s="532"/>
      <c r="K15" s="532"/>
      <c r="L15" s="532"/>
      <c r="M15" s="63" t="s">
        <v>17</v>
      </c>
    </row>
    <row r="16" spans="1:22" x14ac:dyDescent="0.2">
      <c r="A16" s="271"/>
      <c r="B16" s="271"/>
      <c r="C16" s="271"/>
      <c r="D16" s="271"/>
      <c r="E16" s="271"/>
      <c r="F16" s="271"/>
      <c r="G16" s="271"/>
      <c r="H16" s="271"/>
      <c r="I16" s="271"/>
      <c r="J16" s="271"/>
      <c r="K16" s="271"/>
      <c r="L16" s="271"/>
      <c r="M16" s="63" t="s">
        <v>17</v>
      </c>
    </row>
    <row r="17" spans="1:14" x14ac:dyDescent="0.2">
      <c r="A17" s="329"/>
      <c r="B17" s="329"/>
      <c r="C17" s="329"/>
      <c r="D17" s="329"/>
      <c r="E17" s="329"/>
      <c r="F17" s="329"/>
      <c r="G17" s="329"/>
      <c r="H17" s="329"/>
      <c r="I17" s="329"/>
      <c r="J17" s="329"/>
      <c r="K17" s="329"/>
      <c r="L17" s="329"/>
      <c r="M17" s="63" t="s">
        <v>17</v>
      </c>
    </row>
    <row r="18" spans="1:14" ht="28.5" customHeight="1" x14ac:dyDescent="0.25">
      <c r="A18" s="532" t="s">
        <v>432</v>
      </c>
      <c r="B18" s="532"/>
      <c r="C18" s="532"/>
      <c r="D18" s="532"/>
      <c r="E18" s="532"/>
      <c r="F18" s="532"/>
      <c r="G18" s="532"/>
      <c r="H18" s="532"/>
      <c r="I18" s="532"/>
      <c r="J18" s="532"/>
      <c r="K18" s="532"/>
      <c r="L18" s="532"/>
      <c r="M18" s="63" t="s">
        <v>17</v>
      </c>
    </row>
    <row r="19" spans="1:14" x14ac:dyDescent="0.2">
      <c r="A19" s="271"/>
      <c r="B19" s="271"/>
      <c r="C19" s="271"/>
      <c r="D19" s="271"/>
      <c r="E19" s="271"/>
      <c r="F19" s="271"/>
      <c r="G19" s="271"/>
      <c r="H19" s="271"/>
      <c r="I19" s="271"/>
      <c r="J19" s="271"/>
      <c r="K19" s="271"/>
      <c r="L19" s="271"/>
      <c r="M19" s="63" t="s">
        <v>17</v>
      </c>
    </row>
    <row r="20" spans="1:14" x14ac:dyDescent="0.2">
      <c r="M20" s="4" t="s">
        <v>18</v>
      </c>
    </row>
    <row r="21" spans="1:14" x14ac:dyDescent="0.2">
      <c r="M21" s="4"/>
      <c r="N21" s="63"/>
    </row>
    <row r="23" spans="1:14" x14ac:dyDescent="0.2">
      <c r="L23" s="165" t="s">
        <v>82</v>
      </c>
    </row>
    <row r="24" spans="1:14" x14ac:dyDescent="0.2">
      <c r="L24" s="165" t="s">
        <v>82</v>
      </c>
    </row>
    <row r="25" spans="1:14" x14ac:dyDescent="0.2">
      <c r="L25" s="165" t="s">
        <v>82</v>
      </c>
    </row>
  </sheetData>
  <mergeCells count="10">
    <mergeCell ref="A15:L15"/>
    <mergeCell ref="A18:L18"/>
    <mergeCell ref="A1:M1"/>
    <mergeCell ref="A2:M2"/>
    <mergeCell ref="A3:M3"/>
    <mergeCell ref="A4:M4"/>
    <mergeCell ref="A7:A8"/>
    <mergeCell ref="B7:D7"/>
    <mergeCell ref="E7:G7"/>
    <mergeCell ref="J7:L7"/>
  </mergeCells>
  <printOptions horizontalCentered="1"/>
  <pageMargins left="0.7" right="0.7" top="0.66" bottom="0.66" header="0.3" footer="0.3"/>
  <pageSetup scale="77" fitToHeight="0" orientation="landscape" r:id="rId1"/>
  <headerFooter>
    <oddHeader>&amp;L&amp;"Arial,Bold"&amp;12G. Crosswalk of 2014 Availability</oddHeader>
    <oddFooter>&amp;C&amp;"Arial,Regular"Exhibit G - Crosswalk of 2014 Availability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C40" sqref="C40"/>
    </sheetView>
  </sheetViews>
  <sheetFormatPr defaultColWidth="9.140625" defaultRowHeight="14.25" x14ac:dyDescent="0.2"/>
  <cols>
    <col min="1" max="1" width="86.5703125" style="165" customWidth="1"/>
    <col min="2" max="2" width="8.28515625" style="165" customWidth="1"/>
    <col min="3" max="3" width="12.7109375" style="165" customWidth="1"/>
    <col min="4" max="4" width="8.28515625" style="165" customWidth="1"/>
    <col min="5" max="5" width="12.7109375" style="165" customWidth="1"/>
    <col min="6" max="6" width="8.28515625" style="165" customWidth="1"/>
    <col min="7" max="7" width="12.7109375" style="165" customWidth="1"/>
    <col min="8" max="8" width="8.28515625" style="165" customWidth="1"/>
    <col min="9" max="9" width="12.7109375" style="165" customWidth="1"/>
    <col min="10" max="10" width="14" style="4" bestFit="1" customWidth="1"/>
    <col min="11" max="11" width="4.5703125" style="165" customWidth="1"/>
    <col min="12" max="12" width="116.7109375" style="185" customWidth="1"/>
    <col min="13" max="14" width="8.28515625" style="165" customWidth="1"/>
    <col min="15" max="15" width="12.7109375" style="165" customWidth="1"/>
    <col min="16" max="17" width="8.28515625" style="165" customWidth="1"/>
    <col min="18" max="18" width="12.7109375" style="165" customWidth="1"/>
    <col min="19" max="16384" width="9.140625" style="165"/>
  </cols>
  <sheetData>
    <row r="1" spans="1:18" ht="18" x14ac:dyDescent="0.25">
      <c r="A1" s="433" t="s">
        <v>129</v>
      </c>
      <c r="B1" s="433"/>
      <c r="C1" s="433"/>
      <c r="D1" s="433"/>
      <c r="E1" s="433"/>
      <c r="F1" s="433"/>
      <c r="G1" s="433"/>
      <c r="H1" s="433"/>
      <c r="I1" s="433"/>
      <c r="J1" s="63" t="s">
        <v>17</v>
      </c>
      <c r="K1" s="6"/>
      <c r="L1" s="108" t="s">
        <v>25</v>
      </c>
      <c r="M1" s="6"/>
      <c r="N1" s="6"/>
      <c r="O1" s="6"/>
      <c r="P1" s="6"/>
      <c r="Q1" s="6"/>
      <c r="R1" s="6"/>
    </row>
    <row r="2" spans="1:18" ht="15" x14ac:dyDescent="0.2">
      <c r="A2" s="434" t="s">
        <v>305</v>
      </c>
      <c r="B2" s="434"/>
      <c r="C2" s="434"/>
      <c r="D2" s="434"/>
      <c r="E2" s="434"/>
      <c r="F2" s="434"/>
      <c r="G2" s="434"/>
      <c r="H2" s="434"/>
      <c r="I2" s="434"/>
      <c r="J2" s="63" t="s">
        <v>17</v>
      </c>
      <c r="K2" s="7"/>
      <c r="L2" s="109"/>
      <c r="M2" s="7"/>
      <c r="N2" s="7"/>
      <c r="O2" s="7"/>
      <c r="P2" s="7"/>
      <c r="Q2" s="7"/>
      <c r="R2" s="7"/>
    </row>
    <row r="3" spans="1:18" ht="15" x14ac:dyDescent="0.25">
      <c r="A3" s="435" t="s">
        <v>422</v>
      </c>
      <c r="B3" s="435"/>
      <c r="C3" s="435"/>
      <c r="D3" s="435"/>
      <c r="E3" s="435"/>
      <c r="F3" s="435"/>
      <c r="G3" s="435"/>
      <c r="H3" s="435"/>
      <c r="I3" s="435"/>
      <c r="J3" s="63" t="s">
        <v>17</v>
      </c>
      <c r="K3" s="189"/>
      <c r="L3" s="109" t="s">
        <v>201</v>
      </c>
      <c r="M3" s="189"/>
      <c r="N3" s="189"/>
      <c r="O3" s="189"/>
      <c r="P3" s="189"/>
      <c r="Q3" s="189"/>
      <c r="R3" s="189"/>
    </row>
    <row r="4" spans="1:18" x14ac:dyDescent="0.2">
      <c r="A4" s="450" t="s">
        <v>2</v>
      </c>
      <c r="B4" s="450"/>
      <c r="C4" s="450"/>
      <c r="D4" s="450"/>
      <c r="E4" s="450"/>
      <c r="F4" s="450"/>
      <c r="G4" s="450"/>
      <c r="H4" s="450"/>
      <c r="I4" s="450"/>
      <c r="J4" s="63" t="s">
        <v>17</v>
      </c>
      <c r="K4" s="188"/>
      <c r="L4" s="109" t="s">
        <v>200</v>
      </c>
      <c r="M4" s="188"/>
      <c r="N4" s="188"/>
      <c r="O4" s="188"/>
      <c r="P4" s="188"/>
      <c r="Q4" s="188"/>
      <c r="R4" s="188"/>
    </row>
    <row r="5" spans="1:18" ht="15.75" thickBot="1" x14ac:dyDescent="0.3">
      <c r="A5" s="450"/>
      <c r="B5" s="450"/>
      <c r="C5" s="450"/>
      <c r="D5" s="450"/>
      <c r="E5" s="450"/>
      <c r="F5" s="450"/>
      <c r="G5" s="450"/>
      <c r="H5" s="450"/>
      <c r="I5" s="450"/>
      <c r="J5" s="63" t="s">
        <v>17</v>
      </c>
      <c r="K5" s="188"/>
      <c r="L5" s="110"/>
      <c r="M5" s="188"/>
      <c r="N5" s="188"/>
      <c r="O5" s="188"/>
      <c r="P5" s="188"/>
      <c r="Q5" s="188"/>
      <c r="R5" s="188"/>
    </row>
    <row r="6" spans="1:18" ht="15" x14ac:dyDescent="0.2">
      <c r="A6" s="441" t="s">
        <v>130</v>
      </c>
      <c r="B6" s="444" t="s">
        <v>268</v>
      </c>
      <c r="C6" s="444"/>
      <c r="D6" s="444" t="s">
        <v>270</v>
      </c>
      <c r="E6" s="444"/>
      <c r="F6" s="444" t="s">
        <v>263</v>
      </c>
      <c r="G6" s="444"/>
      <c r="H6" s="444" t="s">
        <v>106</v>
      </c>
      <c r="I6" s="445"/>
      <c r="J6" s="63" t="s">
        <v>17</v>
      </c>
      <c r="L6" s="62"/>
    </row>
    <row r="7" spans="1:18" ht="28.5" x14ac:dyDescent="0.2">
      <c r="A7" s="442"/>
      <c r="B7" s="229" t="s">
        <v>35</v>
      </c>
      <c r="C7" s="229" t="s">
        <v>4</v>
      </c>
      <c r="D7" s="229" t="s">
        <v>35</v>
      </c>
      <c r="E7" s="229" t="s">
        <v>4</v>
      </c>
      <c r="F7" s="229" t="s">
        <v>35</v>
      </c>
      <c r="G7" s="229" t="s">
        <v>4</v>
      </c>
      <c r="H7" s="229" t="s">
        <v>35</v>
      </c>
      <c r="I7" s="230" t="s">
        <v>4</v>
      </c>
      <c r="J7" s="63" t="s">
        <v>17</v>
      </c>
      <c r="L7" s="275"/>
    </row>
    <row r="8" spans="1:18" x14ac:dyDescent="0.2">
      <c r="A8" s="292" t="s">
        <v>131</v>
      </c>
      <c r="B8" s="255">
        <v>0</v>
      </c>
      <c r="C8" s="255">
        <v>0</v>
      </c>
      <c r="D8" s="255">
        <v>0</v>
      </c>
      <c r="E8" s="255">
        <v>0</v>
      </c>
      <c r="F8" s="255">
        <v>0</v>
      </c>
      <c r="G8" s="255">
        <v>0</v>
      </c>
      <c r="H8" s="255">
        <f>F8-D8</f>
        <v>0</v>
      </c>
      <c r="I8" s="256">
        <f>G8-E8</f>
        <v>0</v>
      </c>
      <c r="J8" s="63" t="s">
        <v>17</v>
      </c>
      <c r="L8" s="62"/>
    </row>
    <row r="9" spans="1:18" x14ac:dyDescent="0.2">
      <c r="A9" s="163" t="s">
        <v>132</v>
      </c>
      <c r="B9" s="177">
        <v>0</v>
      </c>
      <c r="C9" s="177">
        <v>0</v>
      </c>
      <c r="D9" s="177">
        <v>0</v>
      </c>
      <c r="E9" s="177">
        <v>0</v>
      </c>
      <c r="F9" s="177">
        <v>0</v>
      </c>
      <c r="G9" s="177">
        <v>0</v>
      </c>
      <c r="H9" s="177">
        <f t="shared" ref="H9:I13" si="0">F9-D9</f>
        <v>0</v>
      </c>
      <c r="I9" s="173">
        <f t="shared" si="0"/>
        <v>0</v>
      </c>
      <c r="J9" s="63" t="s">
        <v>17</v>
      </c>
    </row>
    <row r="10" spans="1:18" x14ac:dyDescent="0.2">
      <c r="A10" s="163" t="s">
        <v>197</v>
      </c>
      <c r="B10" s="177">
        <f>SUM(B11:B12)</f>
        <v>0</v>
      </c>
      <c r="C10" s="177">
        <f t="shared" ref="C10:G10" si="1">SUM(C11:C12)</f>
        <v>0</v>
      </c>
      <c r="D10" s="177">
        <f t="shared" si="1"/>
        <v>0</v>
      </c>
      <c r="E10" s="177">
        <f t="shared" si="1"/>
        <v>0</v>
      </c>
      <c r="F10" s="177">
        <f t="shared" si="1"/>
        <v>0</v>
      </c>
      <c r="G10" s="177">
        <f t="shared" si="1"/>
        <v>0</v>
      </c>
      <c r="H10" s="177">
        <f t="shared" si="0"/>
        <v>0</v>
      </c>
      <c r="I10" s="173">
        <f t="shared" si="0"/>
        <v>0</v>
      </c>
      <c r="J10" s="63" t="s">
        <v>17</v>
      </c>
    </row>
    <row r="11" spans="1:18" x14ac:dyDescent="0.2">
      <c r="A11" s="66" t="s">
        <v>34</v>
      </c>
      <c r="B11" s="157">
        <v>0</v>
      </c>
      <c r="C11" s="157">
        <v>0</v>
      </c>
      <c r="D11" s="157">
        <v>0</v>
      </c>
      <c r="E11" s="157">
        <v>0</v>
      </c>
      <c r="F11" s="157">
        <v>0</v>
      </c>
      <c r="G11" s="157">
        <v>0</v>
      </c>
      <c r="H11" s="157">
        <f t="shared" si="0"/>
        <v>0</v>
      </c>
      <c r="I11" s="158">
        <f t="shared" si="0"/>
        <v>0</v>
      </c>
      <c r="J11" s="63" t="s">
        <v>17</v>
      </c>
    </row>
    <row r="12" spans="1:18" x14ac:dyDescent="0.2">
      <c r="A12" s="66" t="s">
        <v>133</v>
      </c>
      <c r="B12" s="157">
        <v>0</v>
      </c>
      <c r="C12" s="157">
        <v>0</v>
      </c>
      <c r="D12" s="157">
        <v>0</v>
      </c>
      <c r="E12" s="157">
        <v>0</v>
      </c>
      <c r="F12" s="157">
        <v>0</v>
      </c>
      <c r="G12" s="157">
        <v>0</v>
      </c>
      <c r="H12" s="157">
        <f t="shared" si="0"/>
        <v>0</v>
      </c>
      <c r="I12" s="158">
        <f t="shared" si="0"/>
        <v>0</v>
      </c>
      <c r="J12" s="63" t="s">
        <v>17</v>
      </c>
    </row>
    <row r="13" spans="1:18" x14ac:dyDescent="0.2">
      <c r="A13" s="163" t="s">
        <v>134</v>
      </c>
      <c r="B13" s="281">
        <v>0</v>
      </c>
      <c r="C13" s="281">
        <v>0</v>
      </c>
      <c r="D13" s="281">
        <v>0</v>
      </c>
      <c r="E13" s="281">
        <v>0</v>
      </c>
      <c r="F13" s="281">
        <v>0</v>
      </c>
      <c r="G13" s="281">
        <v>0</v>
      </c>
      <c r="H13" s="281">
        <f t="shared" si="0"/>
        <v>0</v>
      </c>
      <c r="I13" s="282">
        <f t="shared" si="0"/>
        <v>0</v>
      </c>
      <c r="J13" s="63" t="s">
        <v>17</v>
      </c>
    </row>
    <row r="14" spans="1:18" ht="15" x14ac:dyDescent="0.25">
      <c r="A14" s="68" t="s">
        <v>30</v>
      </c>
      <c r="B14" s="122">
        <f>SUM(B8:B10,B13)</f>
        <v>0</v>
      </c>
      <c r="C14" s="122">
        <f t="shared" ref="C14:I14" si="2">SUM(C8:C10,C13)</f>
        <v>0</v>
      </c>
      <c r="D14" s="122">
        <f t="shared" si="2"/>
        <v>0</v>
      </c>
      <c r="E14" s="122">
        <f t="shared" si="2"/>
        <v>0</v>
      </c>
      <c r="F14" s="122">
        <f t="shared" si="2"/>
        <v>0</v>
      </c>
      <c r="G14" s="122">
        <f t="shared" si="2"/>
        <v>0</v>
      </c>
      <c r="H14" s="122">
        <f t="shared" si="2"/>
        <v>0</v>
      </c>
      <c r="I14" s="126">
        <f t="shared" si="2"/>
        <v>0</v>
      </c>
      <c r="J14" s="63" t="s">
        <v>17</v>
      </c>
    </row>
    <row r="15" spans="1:18" ht="15" x14ac:dyDescent="0.25">
      <c r="A15" s="67" t="s">
        <v>135</v>
      </c>
      <c r="B15" s="177"/>
      <c r="C15" s="177"/>
      <c r="D15" s="177"/>
      <c r="E15" s="177"/>
      <c r="F15" s="177"/>
      <c r="G15" s="177"/>
      <c r="H15" s="177"/>
      <c r="I15" s="173"/>
      <c r="J15" s="63" t="s">
        <v>17</v>
      </c>
    </row>
    <row r="16" spans="1:18" x14ac:dyDescent="0.2">
      <c r="A16" s="163" t="s">
        <v>138</v>
      </c>
      <c r="B16" s="177"/>
      <c r="C16" s="177">
        <v>691</v>
      </c>
      <c r="D16" s="177"/>
      <c r="E16" s="177">
        <v>275</v>
      </c>
      <c r="F16" s="177"/>
      <c r="G16" s="177">
        <v>0</v>
      </c>
      <c r="H16" s="177"/>
      <c r="I16" s="173">
        <f t="shared" ref="I16:I24" si="3">G16-E16</f>
        <v>-275</v>
      </c>
      <c r="J16" s="63" t="s">
        <v>17</v>
      </c>
    </row>
    <row r="17" spans="1:12" x14ac:dyDescent="0.2">
      <c r="A17" s="163" t="s">
        <v>141</v>
      </c>
      <c r="B17" s="177"/>
      <c r="C17" s="177">
        <v>1109</v>
      </c>
      <c r="D17" s="177"/>
      <c r="E17" s="177">
        <v>1736</v>
      </c>
      <c r="F17" s="177"/>
      <c r="G17" s="177">
        <v>0</v>
      </c>
      <c r="H17" s="177"/>
      <c r="I17" s="173">
        <f t="shared" si="3"/>
        <v>-1736</v>
      </c>
      <c r="J17" s="63" t="s">
        <v>17</v>
      </c>
    </row>
    <row r="18" spans="1:12" x14ac:dyDescent="0.2">
      <c r="A18" s="163" t="s">
        <v>143</v>
      </c>
      <c r="B18" s="177"/>
      <c r="C18" s="177">
        <v>0</v>
      </c>
      <c r="D18" s="177"/>
      <c r="E18" s="177">
        <f>33237+4297</f>
        <v>37534</v>
      </c>
      <c r="F18" s="177"/>
      <c r="G18" s="177">
        <v>30836</v>
      </c>
      <c r="H18" s="177"/>
      <c r="I18" s="173">
        <f t="shared" si="3"/>
        <v>-6698</v>
      </c>
      <c r="J18" s="63" t="s">
        <v>17</v>
      </c>
    </row>
    <row r="19" spans="1:12" x14ac:dyDescent="0.2">
      <c r="A19" s="163" t="s">
        <v>144</v>
      </c>
      <c r="B19" s="177"/>
      <c r="C19" s="177">
        <v>55969</v>
      </c>
      <c r="D19" s="177"/>
      <c r="E19" s="177">
        <f>50652+11892+8085</f>
        <v>70629</v>
      </c>
      <c r="F19" s="177"/>
      <c r="G19" s="177">
        <v>9492</v>
      </c>
      <c r="H19" s="177"/>
      <c r="I19" s="173">
        <f t="shared" si="3"/>
        <v>-61137</v>
      </c>
      <c r="J19" s="63" t="s">
        <v>17</v>
      </c>
    </row>
    <row r="20" spans="1:12" x14ac:dyDescent="0.2">
      <c r="A20" s="163" t="s">
        <v>146</v>
      </c>
      <c r="B20" s="177"/>
      <c r="C20" s="177">
        <v>0</v>
      </c>
      <c r="D20" s="177"/>
      <c r="E20" s="177">
        <f>461+461</f>
        <v>922</v>
      </c>
      <c r="F20" s="177"/>
      <c r="G20" s="177">
        <v>461</v>
      </c>
      <c r="H20" s="177"/>
      <c r="I20" s="173">
        <f t="shared" si="3"/>
        <v>-461</v>
      </c>
      <c r="J20" s="63" t="s">
        <v>17</v>
      </c>
    </row>
    <row r="21" spans="1:12" x14ac:dyDescent="0.2">
      <c r="A21" s="163" t="s">
        <v>148</v>
      </c>
      <c r="B21" s="177"/>
      <c r="C21" s="177">
        <v>0</v>
      </c>
      <c r="D21" s="177"/>
      <c r="E21" s="177">
        <f>32+4029</f>
        <v>4061</v>
      </c>
      <c r="F21" s="177"/>
      <c r="G21" s="177">
        <v>1629</v>
      </c>
      <c r="H21" s="177"/>
      <c r="I21" s="173">
        <f t="shared" si="3"/>
        <v>-2432</v>
      </c>
      <c r="J21" s="63" t="s">
        <v>17</v>
      </c>
    </row>
    <row r="22" spans="1:12" x14ac:dyDescent="0.2">
      <c r="A22" s="163" t="s">
        <v>150</v>
      </c>
      <c r="B22" s="177"/>
      <c r="C22" s="177">
        <v>2045</v>
      </c>
      <c r="D22" s="177"/>
      <c r="E22" s="177">
        <v>1695</v>
      </c>
      <c r="F22" s="177"/>
      <c r="G22" s="177">
        <v>1696</v>
      </c>
      <c r="H22" s="177"/>
      <c r="I22" s="173">
        <f t="shared" si="3"/>
        <v>1</v>
      </c>
      <c r="J22" s="63" t="s">
        <v>17</v>
      </c>
    </row>
    <row r="23" spans="1:12" x14ac:dyDescent="0.2">
      <c r="A23" s="163" t="s">
        <v>151</v>
      </c>
      <c r="B23" s="177"/>
      <c r="C23" s="177">
        <v>16411</v>
      </c>
      <c r="D23" s="177"/>
      <c r="E23" s="177">
        <f>7355+34308+5386</f>
        <v>47049</v>
      </c>
      <c r="F23" s="177"/>
      <c r="G23" s="177">
        <v>13008</v>
      </c>
      <c r="H23" s="177"/>
      <c r="I23" s="173">
        <f t="shared" si="3"/>
        <v>-34041</v>
      </c>
      <c r="J23" s="63" t="s">
        <v>17</v>
      </c>
    </row>
    <row r="24" spans="1:12" x14ac:dyDescent="0.2">
      <c r="A24" s="163" t="s">
        <v>152</v>
      </c>
      <c r="B24" s="177"/>
      <c r="C24" s="177">
        <v>38424</v>
      </c>
      <c r="D24" s="177"/>
      <c r="E24" s="177">
        <f>16055+11860+3609+1123</f>
        <v>32647</v>
      </c>
      <c r="F24" s="177"/>
      <c r="G24" s="177">
        <v>11860</v>
      </c>
      <c r="H24" s="177"/>
      <c r="I24" s="173">
        <f t="shared" si="3"/>
        <v>-20787</v>
      </c>
      <c r="J24" s="63" t="s">
        <v>17</v>
      </c>
    </row>
    <row r="25" spans="1:12" ht="15" x14ac:dyDescent="0.25">
      <c r="A25" s="68" t="s">
        <v>155</v>
      </c>
      <c r="B25" s="77"/>
      <c r="C25" s="77">
        <f>SUM(C14:C24)</f>
        <v>114649</v>
      </c>
      <c r="D25" s="77"/>
      <c r="E25" s="77">
        <f>SUM(E14:E24)</f>
        <v>196548</v>
      </c>
      <c r="F25" s="77"/>
      <c r="G25" s="77">
        <f>SUM(G14:G24)</f>
        <v>68982</v>
      </c>
      <c r="H25" s="77"/>
      <c r="I25" s="79">
        <f>SUM(I14:I24)</f>
        <v>-127566</v>
      </c>
      <c r="J25" s="63" t="s">
        <v>17</v>
      </c>
      <c r="L25" s="62"/>
    </row>
    <row r="26" spans="1:12" x14ac:dyDescent="0.2">
      <c r="A26" s="163" t="s">
        <v>199</v>
      </c>
      <c r="B26" s="177"/>
      <c r="C26" s="177">
        <v>-96690</v>
      </c>
      <c r="D26" s="177"/>
      <c r="E26" s="177">
        <v>-76566</v>
      </c>
      <c r="F26" s="177"/>
      <c r="G26" s="177">
        <v>0</v>
      </c>
      <c r="H26" s="177"/>
      <c r="I26" s="173">
        <f>G26-E26</f>
        <v>76566</v>
      </c>
      <c r="J26" s="63" t="s">
        <v>17</v>
      </c>
      <c r="L26" s="62"/>
    </row>
    <row r="27" spans="1:12" x14ac:dyDescent="0.2">
      <c r="A27" s="163" t="s">
        <v>246</v>
      </c>
      <c r="B27" s="177"/>
      <c r="C27" s="177">
        <v>0</v>
      </c>
      <c r="D27" s="177"/>
      <c r="E27" s="177">
        <v>0</v>
      </c>
      <c r="F27" s="177"/>
      <c r="G27" s="177">
        <v>0</v>
      </c>
      <c r="H27" s="177"/>
      <c r="I27" s="173">
        <f t="shared" ref="I27:I30" si="4">G27-E27</f>
        <v>0</v>
      </c>
      <c r="J27" s="63" t="s">
        <v>17</v>
      </c>
      <c r="L27" s="62"/>
    </row>
    <row r="28" spans="1:12" x14ac:dyDescent="0.2">
      <c r="A28" s="163" t="s">
        <v>247</v>
      </c>
      <c r="B28" s="177"/>
      <c r="C28" s="177">
        <v>-19296</v>
      </c>
      <c r="D28" s="177"/>
      <c r="E28" s="177">
        <v>-22500</v>
      </c>
      <c r="F28" s="177"/>
      <c r="G28" s="177">
        <v>0</v>
      </c>
      <c r="H28" s="177"/>
      <c r="I28" s="173">
        <f t="shared" si="4"/>
        <v>22500</v>
      </c>
      <c r="J28" s="63" t="s">
        <v>17</v>
      </c>
      <c r="L28" s="62"/>
    </row>
    <row r="29" spans="1:12" x14ac:dyDescent="0.2">
      <c r="A29" s="163" t="s">
        <v>156</v>
      </c>
      <c r="B29" s="177"/>
      <c r="C29" s="177">
        <v>76566</v>
      </c>
      <c r="D29" s="177"/>
      <c r="E29" s="177">
        <v>0</v>
      </c>
      <c r="F29" s="177"/>
      <c r="G29" s="177">
        <v>0</v>
      </c>
      <c r="H29" s="177"/>
      <c r="I29" s="173">
        <f t="shared" si="4"/>
        <v>0</v>
      </c>
      <c r="J29" s="63" t="s">
        <v>17</v>
      </c>
      <c r="L29" s="62"/>
    </row>
    <row r="30" spans="1:12" x14ac:dyDescent="0.2">
      <c r="A30" s="163" t="s">
        <v>227</v>
      </c>
      <c r="B30" s="177"/>
      <c r="C30" s="177">
        <v>0</v>
      </c>
      <c r="D30" s="177"/>
      <c r="E30" s="177">
        <v>0</v>
      </c>
      <c r="F30" s="177"/>
      <c r="G30" s="177">
        <v>0</v>
      </c>
      <c r="H30" s="177"/>
      <c r="I30" s="173">
        <f t="shared" si="4"/>
        <v>0</v>
      </c>
      <c r="J30" s="63" t="s">
        <v>17</v>
      </c>
      <c r="L30" s="62"/>
    </row>
    <row r="31" spans="1:12" ht="15.75" thickBot="1" x14ac:dyDescent="0.3">
      <c r="A31" s="69" t="s">
        <v>157</v>
      </c>
      <c r="B31" s="159">
        <f t="shared" ref="B31:I31" si="5">SUM(B25:B30)</f>
        <v>0</v>
      </c>
      <c r="C31" s="159">
        <f>SUM(C25:C30)</f>
        <v>75229</v>
      </c>
      <c r="D31" s="159">
        <f t="shared" si="5"/>
        <v>0</v>
      </c>
      <c r="E31" s="159">
        <f t="shared" si="5"/>
        <v>97482</v>
      </c>
      <c r="F31" s="159">
        <f t="shared" si="5"/>
        <v>0</v>
      </c>
      <c r="G31" s="159">
        <f t="shared" si="5"/>
        <v>68982</v>
      </c>
      <c r="H31" s="159">
        <f t="shared" si="5"/>
        <v>0</v>
      </c>
      <c r="I31" s="160">
        <f t="shared" si="5"/>
        <v>-28500</v>
      </c>
      <c r="J31" s="63" t="s">
        <v>17</v>
      </c>
      <c r="L31" s="62"/>
    </row>
    <row r="32" spans="1:12" x14ac:dyDescent="0.2">
      <c r="A32" s="290" t="s">
        <v>31</v>
      </c>
      <c r="B32" s="289"/>
      <c r="C32" s="289"/>
      <c r="D32" s="289"/>
      <c r="E32" s="289"/>
      <c r="F32" s="289"/>
      <c r="G32" s="289"/>
      <c r="H32" s="289"/>
      <c r="I32" s="288"/>
      <c r="J32" s="63" t="s">
        <v>17</v>
      </c>
    </row>
    <row r="33" spans="1:12" x14ac:dyDescent="0.2">
      <c r="A33" s="163" t="s">
        <v>158</v>
      </c>
      <c r="B33" s="177">
        <v>0</v>
      </c>
      <c r="C33" s="177"/>
      <c r="D33" s="177">
        <v>0</v>
      </c>
      <c r="E33" s="177"/>
      <c r="F33" s="177">
        <v>0</v>
      </c>
      <c r="G33" s="177"/>
      <c r="H33" s="177">
        <f>F33-D33</f>
        <v>0</v>
      </c>
      <c r="I33" s="173"/>
      <c r="J33" s="63" t="s">
        <v>17</v>
      </c>
      <c r="L33" s="185" t="s">
        <v>433</v>
      </c>
    </row>
    <row r="34" spans="1:12" x14ac:dyDescent="0.2">
      <c r="A34" s="163"/>
      <c r="B34" s="177"/>
      <c r="C34" s="177"/>
      <c r="D34" s="177"/>
      <c r="E34" s="177"/>
      <c r="F34" s="177"/>
      <c r="G34" s="177"/>
      <c r="H34" s="177"/>
      <c r="I34" s="173"/>
      <c r="J34" s="63" t="s">
        <v>17</v>
      </c>
      <c r="L34" s="62"/>
    </row>
    <row r="35" spans="1:12" x14ac:dyDescent="0.2">
      <c r="A35" s="163" t="s">
        <v>159</v>
      </c>
      <c r="B35" s="177"/>
      <c r="C35" s="177">
        <v>0</v>
      </c>
      <c r="D35" s="177"/>
      <c r="E35" s="177">
        <v>0</v>
      </c>
      <c r="F35" s="177"/>
      <c r="G35" s="177">
        <v>0</v>
      </c>
      <c r="H35" s="177"/>
      <c r="I35" s="173">
        <f t="shared" ref="I35:I36" si="6">G35-E35</f>
        <v>0</v>
      </c>
      <c r="J35" s="63" t="s">
        <v>17</v>
      </c>
    </row>
    <row r="36" spans="1:12" ht="15" thickBot="1" x14ac:dyDescent="0.25">
      <c r="A36" s="287" t="s">
        <v>160</v>
      </c>
      <c r="B36" s="286"/>
      <c r="C36" s="286">
        <v>0</v>
      </c>
      <c r="D36" s="286"/>
      <c r="E36" s="286">
        <v>0</v>
      </c>
      <c r="F36" s="286"/>
      <c r="G36" s="286">
        <v>0</v>
      </c>
      <c r="H36" s="286"/>
      <c r="I36" s="285">
        <f t="shared" si="6"/>
        <v>0</v>
      </c>
      <c r="J36" s="63" t="s">
        <v>17</v>
      </c>
    </row>
    <row r="37" spans="1:12" x14ac:dyDescent="0.2">
      <c r="J37" s="4" t="s">
        <v>18</v>
      </c>
    </row>
    <row r="38" spans="1:12" x14ac:dyDescent="0.2">
      <c r="A38" s="284"/>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3" fitToHeight="0"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BreakPreview" zoomScale="70" zoomScaleNormal="100" zoomScaleSheetLayoutView="70" workbookViewId="0">
      <selection activeCell="A53" sqref="A53"/>
    </sheetView>
  </sheetViews>
  <sheetFormatPr defaultColWidth="9.140625" defaultRowHeight="14.25" x14ac:dyDescent="0.2"/>
  <cols>
    <col min="1" max="1" width="113.5703125" style="165" customWidth="1"/>
    <col min="2" max="2" width="17.5703125" style="169" customWidth="1"/>
    <col min="3" max="3" width="11.42578125" style="169" customWidth="1"/>
    <col min="4" max="4" width="14.5703125" style="170" customWidth="1"/>
    <col min="5" max="5" width="11.5703125" style="4" bestFit="1" customWidth="1"/>
    <col min="6" max="6" width="4.85546875" style="165" customWidth="1"/>
    <col min="7" max="7" width="140.28515625" style="165" customWidth="1"/>
    <col min="8" max="16384" width="9.140625" style="165"/>
  </cols>
  <sheetData>
    <row r="1" spans="1:7" ht="18" x14ac:dyDescent="0.25">
      <c r="A1" s="433" t="s">
        <v>0</v>
      </c>
      <c r="B1" s="433"/>
      <c r="C1" s="433"/>
      <c r="D1" s="433"/>
      <c r="E1" s="4" t="s">
        <v>17</v>
      </c>
      <c r="G1" s="108" t="s">
        <v>25</v>
      </c>
    </row>
    <row r="2" spans="1:7" ht="15" x14ac:dyDescent="0.2">
      <c r="A2" s="434" t="s">
        <v>305</v>
      </c>
      <c r="B2" s="434"/>
      <c r="C2" s="434"/>
      <c r="D2" s="434"/>
      <c r="E2" s="4" t="s">
        <v>17</v>
      </c>
      <c r="G2" s="109" t="s">
        <v>231</v>
      </c>
    </row>
    <row r="3" spans="1:7" x14ac:dyDescent="0.2">
      <c r="A3" s="435" t="s">
        <v>1</v>
      </c>
      <c r="B3" s="435"/>
      <c r="C3" s="435"/>
      <c r="D3" s="435"/>
      <c r="E3" s="4" t="s">
        <v>17</v>
      </c>
      <c r="G3" s="109" t="s">
        <v>232</v>
      </c>
    </row>
    <row r="4" spans="1:7" x14ac:dyDescent="0.2">
      <c r="A4" s="436" t="s">
        <v>2</v>
      </c>
      <c r="B4" s="436"/>
      <c r="C4" s="436"/>
      <c r="D4" s="436"/>
      <c r="E4" s="4" t="s">
        <v>17</v>
      </c>
      <c r="G4" s="109" t="s">
        <v>200</v>
      </c>
    </row>
    <row r="5" spans="1:7" ht="15" thickBot="1" x14ac:dyDescent="0.25">
      <c r="E5" s="4" t="s">
        <v>17</v>
      </c>
      <c r="G5" s="119" t="s">
        <v>233</v>
      </c>
    </row>
    <row r="6" spans="1:7" ht="15" x14ac:dyDescent="0.25">
      <c r="B6" s="437" t="s">
        <v>254</v>
      </c>
      <c r="C6" s="438"/>
      <c r="D6" s="439"/>
      <c r="E6" s="4" t="s">
        <v>17</v>
      </c>
    </row>
    <row r="7" spans="1:7" ht="15.75" thickBot="1" x14ac:dyDescent="0.25">
      <c r="B7" s="1" t="s">
        <v>293</v>
      </c>
      <c r="C7" s="2" t="s">
        <v>294</v>
      </c>
      <c r="D7" s="3" t="s">
        <v>4</v>
      </c>
      <c r="E7" s="4" t="s">
        <v>17</v>
      </c>
      <c r="G7" s="111" t="s">
        <v>211</v>
      </c>
    </row>
    <row r="8" spans="1:7" ht="15" x14ac:dyDescent="0.25">
      <c r="A8" s="87" t="s">
        <v>252</v>
      </c>
      <c r="B8" s="88">
        <v>34354</v>
      </c>
      <c r="C8" s="89">
        <v>32628</v>
      </c>
      <c r="D8" s="90">
        <v>8185007</v>
      </c>
      <c r="E8" s="4" t="s">
        <v>17</v>
      </c>
      <c r="G8" s="112" t="s">
        <v>202</v>
      </c>
    </row>
    <row r="9" spans="1:7" ht="15" x14ac:dyDescent="0.25">
      <c r="A9" s="190" t="s">
        <v>253</v>
      </c>
      <c r="B9" s="83" t="s">
        <v>82</v>
      </c>
      <c r="C9" s="77"/>
      <c r="D9" s="84">
        <v>-169695</v>
      </c>
      <c r="G9" s="112"/>
    </row>
    <row r="10" spans="1:7" ht="15" x14ac:dyDescent="0.25">
      <c r="A10" s="190" t="s">
        <v>289</v>
      </c>
      <c r="B10" s="94"/>
      <c r="C10" s="95"/>
      <c r="D10" s="96">
        <v>-541749</v>
      </c>
      <c r="G10" s="112"/>
    </row>
    <row r="11" spans="1:7" ht="15" x14ac:dyDescent="0.25">
      <c r="A11" s="171" t="s">
        <v>290</v>
      </c>
      <c r="B11" s="83"/>
      <c r="C11" s="77"/>
      <c r="D11" s="181">
        <v>-13168</v>
      </c>
      <c r="E11" s="4" t="s">
        <v>17</v>
      </c>
      <c r="G11" s="112" t="s">
        <v>19</v>
      </c>
    </row>
    <row r="12" spans="1:7" ht="15" x14ac:dyDescent="0.25">
      <c r="A12" s="204" t="s">
        <v>277</v>
      </c>
      <c r="B12" s="205"/>
      <c r="C12" s="203"/>
      <c r="D12" s="206">
        <v>10020</v>
      </c>
      <c r="G12" s="112" t="s">
        <v>278</v>
      </c>
    </row>
    <row r="13" spans="1:7" ht="15" x14ac:dyDescent="0.25">
      <c r="A13" s="86" t="s">
        <v>255</v>
      </c>
      <c r="B13" s="121">
        <f>SUM(B8:B11)</f>
        <v>34354</v>
      </c>
      <c r="C13" s="122">
        <f>SUM(C8:C11)</f>
        <v>32628</v>
      </c>
      <c r="D13" s="123">
        <f>SUM(D8:D12)</f>
        <v>7470415</v>
      </c>
      <c r="E13" s="4" t="s">
        <v>17</v>
      </c>
      <c r="G13" s="113" t="s">
        <v>20</v>
      </c>
    </row>
    <row r="14" spans="1:7" ht="15" x14ac:dyDescent="0.25">
      <c r="A14" s="86"/>
      <c r="B14" s="121"/>
      <c r="C14" s="122"/>
      <c r="D14" s="123"/>
      <c r="G14" s="113"/>
    </row>
    <row r="15" spans="1:7" ht="15" x14ac:dyDescent="0.25">
      <c r="A15" s="75" t="s">
        <v>297</v>
      </c>
      <c r="B15" s="121">
        <v>34956</v>
      </c>
      <c r="C15" s="122">
        <v>32957</v>
      </c>
      <c r="D15" s="123">
        <v>8245802</v>
      </c>
      <c r="E15" s="4" t="s">
        <v>17</v>
      </c>
      <c r="G15" s="112" t="s">
        <v>203</v>
      </c>
    </row>
    <row r="16" spans="1:7" ht="15" x14ac:dyDescent="0.25">
      <c r="A16" s="171" t="s">
        <v>291</v>
      </c>
      <c r="B16" s="161">
        <v>0</v>
      </c>
      <c r="C16" s="162">
        <v>0</v>
      </c>
      <c r="D16" s="174">
        <v>0</v>
      </c>
      <c r="G16" s="112"/>
    </row>
    <row r="17" spans="1:7" ht="15" x14ac:dyDescent="0.25">
      <c r="A17" s="78" t="s">
        <v>298</v>
      </c>
      <c r="B17" s="192">
        <f>SUM(B15:B16)</f>
        <v>34956</v>
      </c>
      <c r="C17" s="139">
        <f>SUM(C15:C16)</f>
        <v>32957</v>
      </c>
      <c r="D17" s="191">
        <f>SUM(D15:D16)</f>
        <v>8245802</v>
      </c>
      <c r="E17" s="4" t="s">
        <v>17</v>
      </c>
      <c r="G17" s="113" t="s">
        <v>21</v>
      </c>
    </row>
    <row r="18" spans="1:7" ht="15" x14ac:dyDescent="0.25">
      <c r="A18" s="78"/>
      <c r="B18" s="76"/>
      <c r="C18" s="77"/>
      <c r="D18" s="79"/>
      <c r="E18" s="4" t="s">
        <v>17</v>
      </c>
      <c r="G18" s="112"/>
    </row>
    <row r="19" spans="1:7" ht="15" x14ac:dyDescent="0.25">
      <c r="A19" s="80" t="s">
        <v>171</v>
      </c>
      <c r="B19" s="76"/>
      <c r="C19" s="77"/>
      <c r="D19" s="79"/>
      <c r="E19" s="4" t="s">
        <v>17</v>
      </c>
      <c r="G19" s="113"/>
    </row>
    <row r="20" spans="1:7" ht="15" x14ac:dyDescent="0.25">
      <c r="A20" s="178" t="s">
        <v>5</v>
      </c>
      <c r="B20" s="176">
        <v>0</v>
      </c>
      <c r="C20" s="177">
        <v>273</v>
      </c>
      <c r="D20" s="173">
        <v>159610</v>
      </c>
      <c r="E20" s="4" t="s">
        <v>17</v>
      </c>
      <c r="G20" s="113" t="s">
        <v>205</v>
      </c>
    </row>
    <row r="21" spans="1:7" ht="15" x14ac:dyDescent="0.25">
      <c r="A21" s="178" t="s">
        <v>6</v>
      </c>
      <c r="B21" s="176">
        <v>0</v>
      </c>
      <c r="C21" s="177">
        <v>0</v>
      </c>
      <c r="D21" s="173">
        <v>15250</v>
      </c>
      <c r="E21" s="4" t="s">
        <v>17</v>
      </c>
      <c r="G21" s="113" t="s">
        <v>206</v>
      </c>
    </row>
    <row r="22" spans="1:7" ht="15" x14ac:dyDescent="0.25">
      <c r="A22" s="178" t="s">
        <v>7</v>
      </c>
      <c r="B22" s="176">
        <v>0</v>
      </c>
      <c r="C22" s="177">
        <v>0</v>
      </c>
      <c r="D22" s="173">
        <v>6005</v>
      </c>
      <c r="E22" s="4" t="s">
        <v>17</v>
      </c>
      <c r="G22" s="113" t="s">
        <v>207</v>
      </c>
    </row>
    <row r="23" spans="1:7" ht="15" x14ac:dyDescent="0.25">
      <c r="A23" s="178" t="s">
        <v>8</v>
      </c>
      <c r="B23" s="176">
        <v>0</v>
      </c>
      <c r="C23" s="177">
        <v>0</v>
      </c>
      <c r="D23" s="173">
        <v>17382</v>
      </c>
      <c r="E23" s="4" t="s">
        <v>17</v>
      </c>
      <c r="G23" s="113" t="s">
        <v>208</v>
      </c>
    </row>
    <row r="24" spans="1:7" ht="15" x14ac:dyDescent="0.25">
      <c r="A24" s="178" t="s">
        <v>9</v>
      </c>
      <c r="B24" s="176">
        <v>0</v>
      </c>
      <c r="C24" s="177">
        <v>0</v>
      </c>
      <c r="D24" s="173">
        <v>0</v>
      </c>
      <c r="E24" s="4" t="s">
        <v>17</v>
      </c>
      <c r="G24" s="113" t="s">
        <v>209</v>
      </c>
    </row>
    <row r="25" spans="1:7" ht="15" x14ac:dyDescent="0.25">
      <c r="A25" s="178" t="s">
        <v>230</v>
      </c>
      <c r="B25" s="76"/>
      <c r="C25" s="77"/>
      <c r="D25" s="79"/>
      <c r="E25" s="4" t="s">
        <v>17</v>
      </c>
      <c r="G25" s="112"/>
    </row>
    <row r="26" spans="1:7" x14ac:dyDescent="0.2">
      <c r="A26" s="175" t="s">
        <v>312</v>
      </c>
      <c r="B26" s="129">
        <v>0</v>
      </c>
      <c r="C26" s="130">
        <v>0</v>
      </c>
      <c r="D26" s="131">
        <v>-15661</v>
      </c>
      <c r="E26" s="4" t="s">
        <v>17</v>
      </c>
      <c r="G26" s="112"/>
    </row>
    <row r="27" spans="1:7" ht="15" x14ac:dyDescent="0.25">
      <c r="A27" s="81" t="s">
        <v>172</v>
      </c>
      <c r="B27" s="76">
        <f>SUM(B20:B26)</f>
        <v>0</v>
      </c>
      <c r="C27" s="77">
        <f>SUM(C20:C26)</f>
        <v>273</v>
      </c>
      <c r="D27" s="79">
        <f>SUM(D20:D26)</f>
        <v>182586</v>
      </c>
      <c r="E27" s="4" t="s">
        <v>17</v>
      </c>
      <c r="G27" s="113" t="s">
        <v>22</v>
      </c>
    </row>
    <row r="28" spans="1:7" ht="15" x14ac:dyDescent="0.25">
      <c r="A28" s="78" t="s">
        <v>173</v>
      </c>
      <c r="B28" s="127">
        <f>B27</f>
        <v>0</v>
      </c>
      <c r="C28" s="31">
        <f>C27</f>
        <v>273</v>
      </c>
      <c r="D28" s="32">
        <f>D27</f>
        <v>182586</v>
      </c>
      <c r="E28" s="4" t="s">
        <v>17</v>
      </c>
      <c r="G28" s="113" t="s">
        <v>234</v>
      </c>
    </row>
    <row r="29" spans="1:7" ht="15" x14ac:dyDescent="0.25">
      <c r="A29" s="82" t="s">
        <v>256</v>
      </c>
      <c r="B29" s="125">
        <f>B17+B28</f>
        <v>34956</v>
      </c>
      <c r="C29" s="122">
        <f>C17+C28</f>
        <v>33230</v>
      </c>
      <c r="D29" s="126">
        <f>D17+D28</f>
        <v>8428388</v>
      </c>
      <c r="E29" s="4" t="s">
        <v>17</v>
      </c>
      <c r="G29" s="113" t="s">
        <v>235</v>
      </c>
    </row>
    <row r="30" spans="1:7" ht="15" x14ac:dyDescent="0.25">
      <c r="A30" s="82" t="s">
        <v>10</v>
      </c>
      <c r="B30" s="125"/>
      <c r="C30" s="122"/>
      <c r="D30" s="126"/>
      <c r="E30" s="4" t="s">
        <v>17</v>
      </c>
      <c r="G30" s="112"/>
    </row>
    <row r="31" spans="1:7" ht="15" x14ac:dyDescent="0.25">
      <c r="A31" s="178" t="s">
        <v>313</v>
      </c>
      <c r="B31" s="83"/>
      <c r="C31" s="77"/>
      <c r="D31" s="84"/>
      <c r="E31" s="4" t="s">
        <v>17</v>
      </c>
      <c r="G31" s="112"/>
    </row>
    <row r="32" spans="1:7" ht="15" x14ac:dyDescent="0.25">
      <c r="A32" s="179" t="s">
        <v>314</v>
      </c>
      <c r="B32" s="180">
        <v>0</v>
      </c>
      <c r="C32" s="177">
        <v>0</v>
      </c>
      <c r="D32" s="181">
        <v>15000</v>
      </c>
      <c r="E32" s="4" t="s">
        <v>17</v>
      </c>
      <c r="G32" s="112" t="s">
        <v>204</v>
      </c>
    </row>
    <row r="33" spans="1:7" x14ac:dyDescent="0.2">
      <c r="A33" s="179" t="s">
        <v>315</v>
      </c>
      <c r="B33" s="180">
        <v>14</v>
      </c>
      <c r="C33" s="177">
        <v>7</v>
      </c>
      <c r="D33" s="181">
        <v>3208</v>
      </c>
      <c r="E33" s="4" t="s">
        <v>17</v>
      </c>
      <c r="G33" s="112"/>
    </row>
    <row r="34" spans="1:7" x14ac:dyDescent="0.2">
      <c r="A34" s="179" t="s">
        <v>12</v>
      </c>
      <c r="B34" s="180">
        <f>SUM(B32:B33)</f>
        <v>14</v>
      </c>
      <c r="C34" s="177">
        <f>SUM(C32:C33)</f>
        <v>7</v>
      </c>
      <c r="D34" s="181">
        <f>SUM(D32:D33)</f>
        <v>18208</v>
      </c>
      <c r="E34" s="4" t="s">
        <v>17</v>
      </c>
      <c r="G34" s="112"/>
    </row>
    <row r="35" spans="1:7" ht="15" x14ac:dyDescent="0.25">
      <c r="A35" s="178" t="s">
        <v>316</v>
      </c>
      <c r="B35" s="83"/>
      <c r="C35" s="77"/>
      <c r="D35" s="84"/>
      <c r="E35" s="4" t="s">
        <v>17</v>
      </c>
      <c r="G35" s="112"/>
    </row>
    <row r="36" spans="1:7" x14ac:dyDescent="0.2">
      <c r="A36" s="179" t="s">
        <v>445</v>
      </c>
      <c r="B36" s="180">
        <v>0</v>
      </c>
      <c r="C36" s="177">
        <v>0</v>
      </c>
      <c r="D36" s="181">
        <v>-168377</v>
      </c>
      <c r="E36" s="4" t="s">
        <v>17</v>
      </c>
      <c r="G36" s="112"/>
    </row>
    <row r="37" spans="1:7" x14ac:dyDescent="0.2">
      <c r="A37" s="179" t="s">
        <v>15</v>
      </c>
      <c r="B37" s="180">
        <f>SUM(B36:B36)</f>
        <v>0</v>
      </c>
      <c r="C37" s="177">
        <f>SUM(C36:C36)</f>
        <v>0</v>
      </c>
      <c r="D37" s="181">
        <f>SUM(D36:D36)</f>
        <v>-168377</v>
      </c>
      <c r="E37" s="4" t="s">
        <v>17</v>
      </c>
      <c r="G37" s="112"/>
    </row>
    <row r="38" spans="1:7" ht="15" x14ac:dyDescent="0.25">
      <c r="A38" s="78" t="s">
        <v>16</v>
      </c>
      <c r="B38" s="124">
        <f>B34+B37</f>
        <v>14</v>
      </c>
      <c r="C38" s="31">
        <f>C34+C37</f>
        <v>7</v>
      </c>
      <c r="D38" s="128">
        <f>D34+D37</f>
        <v>-150169</v>
      </c>
      <c r="E38" s="4" t="s">
        <v>17</v>
      </c>
      <c r="G38" s="113" t="s">
        <v>23</v>
      </c>
    </row>
    <row r="39" spans="1:7" ht="15" x14ac:dyDescent="0.25">
      <c r="A39" s="85" t="s">
        <v>257</v>
      </c>
      <c r="B39" s="121">
        <f>B29+B38</f>
        <v>34970</v>
      </c>
      <c r="C39" s="122">
        <f>C29+C38</f>
        <v>33237</v>
      </c>
      <c r="D39" s="123">
        <f>D29+D38</f>
        <v>8278219</v>
      </c>
      <c r="E39" s="4" t="s">
        <v>17</v>
      </c>
      <c r="G39" s="113" t="s">
        <v>24</v>
      </c>
    </row>
    <row r="40" spans="1:7" ht="15" x14ac:dyDescent="0.25">
      <c r="A40" s="171" t="s">
        <v>292</v>
      </c>
      <c r="B40" s="124"/>
      <c r="C40" s="31"/>
      <c r="D40" s="172">
        <v>0</v>
      </c>
      <c r="E40" s="4" t="s">
        <v>17</v>
      </c>
      <c r="G40" s="112"/>
    </row>
    <row r="41" spans="1:7" s="5" customFormat="1" ht="15" x14ac:dyDescent="0.25">
      <c r="A41" s="97" t="s">
        <v>258</v>
      </c>
      <c r="B41" s="94">
        <f t="shared" ref="B41:C41" si="0">SUM(B39:B40)</f>
        <v>34970</v>
      </c>
      <c r="C41" s="95">
        <f t="shared" si="0"/>
        <v>33237</v>
      </c>
      <c r="D41" s="96">
        <f>SUM(D39:D40)</f>
        <v>8278219</v>
      </c>
      <c r="E41" s="4" t="s">
        <v>17</v>
      </c>
      <c r="G41" s="113" t="s">
        <v>210</v>
      </c>
    </row>
    <row r="42" spans="1:7" ht="15.75" thickBot="1" x14ac:dyDescent="0.3">
      <c r="A42" s="182" t="s">
        <v>303</v>
      </c>
      <c r="B42" s="183">
        <f>B39-B15</f>
        <v>14</v>
      </c>
      <c r="C42" s="227">
        <f>C39-C15</f>
        <v>280</v>
      </c>
      <c r="D42" s="226">
        <f>D39-D15</f>
        <v>32417</v>
      </c>
      <c r="E42" s="4" t="s">
        <v>17</v>
      </c>
      <c r="G42" s="113" t="s">
        <v>273</v>
      </c>
    </row>
    <row r="43" spans="1:7" x14ac:dyDescent="0.2">
      <c r="A43" s="4"/>
      <c r="E43" s="4" t="s">
        <v>17</v>
      </c>
    </row>
    <row r="44" spans="1:7" ht="17.25" x14ac:dyDescent="0.2">
      <c r="A44" s="431" t="s">
        <v>419</v>
      </c>
      <c r="B44" s="432"/>
      <c r="C44" s="432"/>
      <c r="D44" s="432"/>
      <c r="E44" s="4" t="s">
        <v>17</v>
      </c>
    </row>
    <row r="45" spans="1:7" x14ac:dyDescent="0.2">
      <c r="E45" s="4" t="s">
        <v>18</v>
      </c>
    </row>
  </sheetData>
  <mergeCells count="6">
    <mergeCell ref="A44:D44"/>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view="pageBreakPreview" zoomScale="80" zoomScaleNormal="100" zoomScaleSheetLayoutView="80" workbookViewId="0">
      <selection activeCell="G55" sqref="G55"/>
    </sheetView>
  </sheetViews>
  <sheetFormatPr defaultColWidth="9.140625" defaultRowHeight="14.25" x14ac:dyDescent="0.2"/>
  <cols>
    <col min="1" max="1" width="47" style="9" bestFit="1"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433" t="s">
        <v>0</v>
      </c>
      <c r="B1" s="433"/>
      <c r="C1" s="433"/>
      <c r="D1" s="433"/>
      <c r="E1" s="433"/>
      <c r="F1" s="433"/>
      <c r="G1" s="433"/>
      <c r="H1" s="433"/>
      <c r="I1" s="433"/>
      <c r="J1" s="433"/>
      <c r="K1" s="433"/>
      <c r="L1" s="433"/>
      <c r="M1" s="433"/>
      <c r="N1" s="63" t="s">
        <v>17</v>
      </c>
      <c r="O1" s="6"/>
      <c r="P1" s="108" t="s">
        <v>25</v>
      </c>
      <c r="Q1" s="6"/>
      <c r="R1" s="6"/>
      <c r="S1" s="6"/>
      <c r="T1" s="6"/>
      <c r="U1" s="6"/>
      <c r="V1" s="6"/>
    </row>
    <row r="2" spans="1:22" ht="15" x14ac:dyDescent="0.2">
      <c r="A2" s="434" t="s">
        <v>305</v>
      </c>
      <c r="B2" s="434"/>
      <c r="C2" s="434"/>
      <c r="D2" s="434"/>
      <c r="E2" s="434"/>
      <c r="F2" s="434"/>
      <c r="G2" s="434"/>
      <c r="H2" s="434"/>
      <c r="I2" s="434"/>
      <c r="J2" s="434"/>
      <c r="K2" s="434"/>
      <c r="L2" s="434"/>
      <c r="M2" s="434"/>
      <c r="N2" s="63" t="s">
        <v>17</v>
      </c>
      <c r="O2" s="7"/>
      <c r="P2" s="109"/>
      <c r="Q2" s="7"/>
      <c r="R2" s="7"/>
      <c r="S2" s="7"/>
      <c r="T2" s="7"/>
      <c r="U2" s="7"/>
      <c r="V2" s="7"/>
    </row>
    <row r="3" spans="1:22" ht="15" x14ac:dyDescent="0.25">
      <c r="A3" s="443" t="s">
        <v>1</v>
      </c>
      <c r="B3" s="443"/>
      <c r="C3" s="443"/>
      <c r="D3" s="443"/>
      <c r="E3" s="443"/>
      <c r="F3" s="443"/>
      <c r="G3" s="443"/>
      <c r="H3" s="443"/>
      <c r="I3" s="443"/>
      <c r="J3" s="443"/>
      <c r="K3" s="443"/>
      <c r="L3" s="443"/>
      <c r="M3" s="443"/>
      <c r="N3" s="63" t="s">
        <v>17</v>
      </c>
      <c r="O3" s="10"/>
      <c r="P3" s="109" t="s">
        <v>201</v>
      </c>
      <c r="Q3" s="10"/>
      <c r="R3" s="10"/>
      <c r="S3" s="10"/>
      <c r="T3" s="10"/>
      <c r="U3" s="10"/>
      <c r="V3" s="10"/>
    </row>
    <row r="4" spans="1:22" x14ac:dyDescent="0.2">
      <c r="A4" s="440" t="s">
        <v>2</v>
      </c>
      <c r="B4" s="440"/>
      <c r="C4" s="440"/>
      <c r="D4" s="440"/>
      <c r="E4" s="440"/>
      <c r="F4" s="440"/>
      <c r="G4" s="440"/>
      <c r="H4" s="440"/>
      <c r="I4" s="440"/>
      <c r="J4" s="440"/>
      <c r="K4" s="440"/>
      <c r="L4" s="440"/>
      <c r="M4" s="440"/>
      <c r="N4" s="63" t="s">
        <v>17</v>
      </c>
      <c r="O4" s="8"/>
      <c r="P4" s="109" t="s">
        <v>200</v>
      </c>
      <c r="Q4" s="8"/>
      <c r="R4" s="8"/>
      <c r="S4" s="8"/>
      <c r="T4" s="8"/>
      <c r="U4" s="8"/>
      <c r="V4" s="8"/>
    </row>
    <row r="5" spans="1:22" ht="15.75" thickBot="1" x14ac:dyDescent="0.3">
      <c r="A5" s="440"/>
      <c r="B5" s="440"/>
      <c r="C5" s="440"/>
      <c r="D5" s="440"/>
      <c r="E5" s="440"/>
      <c r="F5" s="440"/>
      <c r="G5" s="440"/>
      <c r="H5" s="440"/>
      <c r="I5" s="440"/>
      <c r="J5" s="440"/>
      <c r="K5" s="440"/>
      <c r="L5" s="440"/>
      <c r="M5" s="440"/>
      <c r="N5" s="63" t="s">
        <v>17</v>
      </c>
      <c r="O5" s="8"/>
      <c r="P5" s="110"/>
      <c r="Q5" s="8"/>
      <c r="R5" s="8"/>
      <c r="S5" s="8"/>
      <c r="T5" s="8"/>
      <c r="U5" s="8"/>
      <c r="V5" s="8"/>
    </row>
    <row r="6" spans="1:22" ht="15" thickBot="1" x14ac:dyDescent="0.25">
      <c r="A6" s="440"/>
      <c r="B6" s="440"/>
      <c r="C6" s="440"/>
      <c r="D6" s="440"/>
      <c r="E6" s="440"/>
      <c r="F6" s="440"/>
      <c r="G6" s="440"/>
      <c r="H6" s="440"/>
      <c r="I6" s="440"/>
      <c r="J6" s="440"/>
      <c r="K6" s="440"/>
      <c r="L6" s="440"/>
      <c r="M6" s="440"/>
      <c r="N6" s="63" t="s">
        <v>17</v>
      </c>
      <c r="O6" s="8"/>
      <c r="P6" s="8"/>
      <c r="Q6" s="8"/>
      <c r="R6" s="8"/>
      <c r="S6" s="8"/>
      <c r="T6" s="8"/>
      <c r="U6" s="8"/>
      <c r="V6" s="8"/>
    </row>
    <row r="7" spans="1:22" ht="45.75" customHeight="1" x14ac:dyDescent="0.2">
      <c r="A7" s="441" t="s">
        <v>180</v>
      </c>
      <c r="B7" s="444" t="s">
        <v>259</v>
      </c>
      <c r="C7" s="444"/>
      <c r="D7" s="444"/>
      <c r="E7" s="444" t="s">
        <v>297</v>
      </c>
      <c r="F7" s="444"/>
      <c r="G7" s="444"/>
      <c r="H7" s="444" t="s">
        <v>260</v>
      </c>
      <c r="I7" s="444"/>
      <c r="J7" s="444"/>
      <c r="K7" s="444" t="s">
        <v>256</v>
      </c>
      <c r="L7" s="444"/>
      <c r="M7" s="445"/>
      <c r="N7" s="63" t="s">
        <v>17</v>
      </c>
      <c r="P7" s="107" t="s">
        <v>212</v>
      </c>
    </row>
    <row r="8" spans="1:22" ht="28.5" x14ac:dyDescent="0.25">
      <c r="A8" s="442"/>
      <c r="B8" s="11" t="s">
        <v>3</v>
      </c>
      <c r="C8" s="98" t="s">
        <v>174</v>
      </c>
      <c r="D8" s="11" t="s">
        <v>4</v>
      </c>
      <c r="E8" s="11" t="s">
        <v>3</v>
      </c>
      <c r="F8" s="98" t="s">
        <v>225</v>
      </c>
      <c r="G8" s="11" t="s">
        <v>4</v>
      </c>
      <c r="H8" s="11" t="s">
        <v>3</v>
      </c>
      <c r="I8" s="229" t="s">
        <v>420</v>
      </c>
      <c r="J8" s="11" t="s">
        <v>4</v>
      </c>
      <c r="K8" s="11" t="s">
        <v>3</v>
      </c>
      <c r="L8" s="229" t="s">
        <v>420</v>
      </c>
      <c r="M8" s="12" t="s">
        <v>4</v>
      </c>
      <c r="N8" s="63" t="s">
        <v>17</v>
      </c>
      <c r="P8" s="21" t="s">
        <v>181</v>
      </c>
    </row>
    <row r="9" spans="1:22" ht="15" x14ac:dyDescent="0.25">
      <c r="A9" s="215" t="s">
        <v>306</v>
      </c>
      <c r="B9" s="132">
        <v>7228</v>
      </c>
      <c r="C9" s="354">
        <v>6769</v>
      </c>
      <c r="D9" s="132">
        <v>1542458</v>
      </c>
      <c r="E9" s="132">
        <v>7093</v>
      </c>
      <c r="F9" s="132">
        <v>6712</v>
      </c>
      <c r="G9" s="132">
        <v>1608611</v>
      </c>
      <c r="H9" s="132">
        <f t="shared" ref="H9:I12" si="0">K9-E9</f>
        <v>21</v>
      </c>
      <c r="I9" s="132">
        <f t="shared" si="0"/>
        <v>51</v>
      </c>
      <c r="J9" s="132">
        <f>M9-G9</f>
        <v>76453</v>
      </c>
      <c r="K9" s="132">
        <f>H26-B26</f>
        <v>7114</v>
      </c>
      <c r="L9" s="132">
        <f>I26-C26</f>
        <v>6763</v>
      </c>
      <c r="M9" s="133">
        <v>1685064</v>
      </c>
      <c r="N9" s="63" t="s">
        <v>17</v>
      </c>
      <c r="P9" s="22" t="s">
        <v>36</v>
      </c>
    </row>
    <row r="10" spans="1:22" x14ac:dyDescent="0.2">
      <c r="A10" s="216" t="s">
        <v>331</v>
      </c>
      <c r="B10" s="28">
        <v>12870</v>
      </c>
      <c r="C10" s="355">
        <v>12361</v>
      </c>
      <c r="D10" s="28">
        <v>3001713</v>
      </c>
      <c r="E10" s="28">
        <v>13126</v>
      </c>
      <c r="F10" s="28">
        <v>12370</v>
      </c>
      <c r="G10" s="28">
        <v>3356825</v>
      </c>
      <c r="H10" s="28">
        <f t="shared" si="0"/>
        <v>36</v>
      </c>
      <c r="I10" s="28">
        <f t="shared" si="0"/>
        <v>143</v>
      </c>
      <c r="J10" s="28">
        <f t="shared" ref="J10:J12" si="1">M10-G10</f>
        <v>64909</v>
      </c>
      <c r="K10" s="28">
        <f t="shared" ref="K10:L12" si="2">H27-B27</f>
        <v>13162</v>
      </c>
      <c r="L10" s="28">
        <f t="shared" si="2"/>
        <v>12513</v>
      </c>
      <c r="M10" s="134">
        <v>3421734</v>
      </c>
      <c r="N10" s="63" t="s">
        <v>17</v>
      </c>
      <c r="P10" s="22"/>
    </row>
    <row r="11" spans="1:22" x14ac:dyDescent="0.2">
      <c r="A11" s="216" t="s">
        <v>357</v>
      </c>
      <c r="B11" s="28">
        <v>12129</v>
      </c>
      <c r="C11" s="355">
        <v>11480</v>
      </c>
      <c r="D11" s="28">
        <v>2477389</v>
      </c>
      <c r="E11" s="28">
        <v>12489</v>
      </c>
      <c r="F11" s="28">
        <v>11899</v>
      </c>
      <c r="G11" s="28">
        <v>2790645</v>
      </c>
      <c r="H11" s="28">
        <f t="shared" si="0"/>
        <v>-49</v>
      </c>
      <c r="I11" s="28">
        <f t="shared" si="0"/>
        <v>-74</v>
      </c>
      <c r="J11" s="28">
        <f t="shared" si="1"/>
        <v>62533</v>
      </c>
      <c r="K11" s="28">
        <f t="shared" si="2"/>
        <v>12440</v>
      </c>
      <c r="L11" s="28">
        <f t="shared" si="2"/>
        <v>11825</v>
      </c>
      <c r="M11" s="134">
        <v>2853178</v>
      </c>
      <c r="N11" s="63" t="s">
        <v>17</v>
      </c>
      <c r="P11" s="22"/>
    </row>
    <row r="12" spans="1:22" x14ac:dyDescent="0.2">
      <c r="A12" s="257" t="s">
        <v>333</v>
      </c>
      <c r="B12" s="135">
        <v>2127</v>
      </c>
      <c r="C12" s="356">
        <v>2018</v>
      </c>
      <c r="D12" s="135">
        <v>462023</v>
      </c>
      <c r="E12" s="135">
        <v>2248</v>
      </c>
      <c r="F12" s="135">
        <v>1976</v>
      </c>
      <c r="G12" s="135">
        <v>489721</v>
      </c>
      <c r="H12" s="135">
        <f t="shared" si="0"/>
        <v>-8</v>
      </c>
      <c r="I12" s="135">
        <f t="shared" si="0"/>
        <v>153</v>
      </c>
      <c r="J12" s="135">
        <f t="shared" si="1"/>
        <v>-21309</v>
      </c>
      <c r="K12" s="135">
        <f t="shared" si="2"/>
        <v>2240</v>
      </c>
      <c r="L12" s="135">
        <f t="shared" si="2"/>
        <v>2129</v>
      </c>
      <c r="M12" s="136">
        <v>468412</v>
      </c>
      <c r="N12" s="63" t="s">
        <v>17</v>
      </c>
    </row>
    <row r="13" spans="1:22" ht="15" x14ac:dyDescent="0.25">
      <c r="A13" s="13" t="s">
        <v>177</v>
      </c>
      <c r="B13" s="137">
        <f>SUM(B9:B12)</f>
        <v>34354</v>
      </c>
      <c r="C13" s="357">
        <f t="shared" ref="C13:M13" si="3">SUM(C9:C12)</f>
        <v>32628</v>
      </c>
      <c r="D13" s="137">
        <f t="shared" si="3"/>
        <v>7483583</v>
      </c>
      <c r="E13" s="137">
        <f t="shared" si="3"/>
        <v>34956</v>
      </c>
      <c r="F13" s="137">
        <f t="shared" si="3"/>
        <v>32957</v>
      </c>
      <c r="G13" s="137">
        <f t="shared" si="3"/>
        <v>8245802</v>
      </c>
      <c r="H13" s="137">
        <f t="shared" si="3"/>
        <v>0</v>
      </c>
      <c r="I13" s="137">
        <f t="shared" si="3"/>
        <v>273</v>
      </c>
      <c r="J13" s="137">
        <f t="shared" si="3"/>
        <v>182586</v>
      </c>
      <c r="K13" s="137">
        <f t="shared" si="3"/>
        <v>34956</v>
      </c>
      <c r="L13" s="137">
        <f t="shared" si="3"/>
        <v>33230</v>
      </c>
      <c r="M13" s="138">
        <f t="shared" si="3"/>
        <v>8428388</v>
      </c>
      <c r="N13" s="63" t="s">
        <v>17</v>
      </c>
      <c r="P13" s="5" t="s">
        <v>37</v>
      </c>
    </row>
    <row r="14" spans="1:22" ht="15" x14ac:dyDescent="0.25">
      <c r="A14" s="93" t="s">
        <v>176</v>
      </c>
      <c r="B14" s="139"/>
      <c r="C14" s="139"/>
      <c r="D14" s="140">
        <v>0</v>
      </c>
      <c r="E14" s="139"/>
      <c r="F14" s="139"/>
      <c r="G14" s="140">
        <v>0</v>
      </c>
      <c r="H14" s="139"/>
      <c r="I14" s="139"/>
      <c r="J14" s="140">
        <v>0</v>
      </c>
      <c r="K14" s="139"/>
      <c r="L14" s="139"/>
      <c r="M14" s="141">
        <f t="shared" ref="M14:M15" si="4">G14+J14</f>
        <v>0</v>
      </c>
      <c r="N14" s="63" t="s">
        <v>17</v>
      </c>
      <c r="P14" s="5"/>
    </row>
    <row r="15" spans="1:22" ht="15" x14ac:dyDescent="0.25">
      <c r="A15" s="120" t="s">
        <v>226</v>
      </c>
      <c r="B15" s="31"/>
      <c r="C15" s="31"/>
      <c r="D15" s="142">
        <f>SUM(D13:D14)</f>
        <v>7483583</v>
      </c>
      <c r="E15" s="31"/>
      <c r="F15" s="31"/>
      <c r="G15" s="142">
        <f>SUM(G13:G14)</f>
        <v>8245802</v>
      </c>
      <c r="H15" s="31"/>
      <c r="I15" s="31"/>
      <c r="J15" s="142">
        <f>SUM(J13:J14)</f>
        <v>182586</v>
      </c>
      <c r="K15" s="31"/>
      <c r="L15" s="31"/>
      <c r="M15" s="143">
        <f t="shared" si="4"/>
        <v>8428388</v>
      </c>
      <c r="N15" s="63" t="s">
        <v>17</v>
      </c>
      <c r="P15" s="5"/>
    </row>
    <row r="16" spans="1:22" x14ac:dyDescent="0.2">
      <c r="A16" s="99" t="s">
        <v>31</v>
      </c>
      <c r="B16" s="144"/>
      <c r="C16" s="144">
        <v>3062</v>
      </c>
      <c r="D16" s="144"/>
      <c r="E16" s="144"/>
      <c r="F16" s="144">
        <v>3167</v>
      </c>
      <c r="G16" s="144"/>
      <c r="H16" s="144"/>
      <c r="I16" s="144">
        <v>0</v>
      </c>
      <c r="J16" s="144"/>
      <c r="K16" s="144"/>
      <c r="L16" s="144">
        <f t="shared" ref="L16:L17" si="5">F16+I16</f>
        <v>3167</v>
      </c>
      <c r="M16" s="145"/>
      <c r="N16" s="63" t="s">
        <v>17</v>
      </c>
      <c r="P16" s="107" t="s">
        <v>236</v>
      </c>
    </row>
    <row r="17" spans="1:16" x14ac:dyDescent="0.2">
      <c r="A17" s="100" t="s">
        <v>178</v>
      </c>
      <c r="B17" s="28"/>
      <c r="C17" s="28">
        <f>C13+C16</f>
        <v>35690</v>
      </c>
      <c r="D17" s="28"/>
      <c r="E17" s="28"/>
      <c r="F17" s="28">
        <f>F13+F16</f>
        <v>36124</v>
      </c>
      <c r="G17" s="28"/>
      <c r="H17" s="28"/>
      <c r="I17" s="28">
        <f>I13+I16</f>
        <v>273</v>
      </c>
      <c r="J17" s="28"/>
      <c r="K17" s="28"/>
      <c r="L17" s="28">
        <f t="shared" si="5"/>
        <v>36397</v>
      </c>
      <c r="M17" s="134"/>
      <c r="N17" s="63" t="s">
        <v>17</v>
      </c>
      <c r="P17" s="107" t="s">
        <v>237</v>
      </c>
    </row>
    <row r="18" spans="1:16" x14ac:dyDescent="0.2">
      <c r="A18" s="15"/>
      <c r="B18" s="28"/>
      <c r="C18" s="28"/>
      <c r="D18" s="28"/>
      <c r="E18" s="28"/>
      <c r="F18" s="28"/>
      <c r="G18" s="28"/>
      <c r="H18" s="28"/>
      <c r="I18" s="28"/>
      <c r="J18" s="28"/>
      <c r="K18" s="28"/>
      <c r="L18" s="28"/>
      <c r="M18" s="134"/>
      <c r="N18" s="63" t="s">
        <v>17</v>
      </c>
      <c r="P18" s="22" t="s">
        <v>238</v>
      </c>
    </row>
    <row r="19" spans="1:16" x14ac:dyDescent="0.2">
      <c r="A19" s="15" t="s">
        <v>32</v>
      </c>
      <c r="B19" s="28"/>
      <c r="C19" s="28"/>
      <c r="D19" s="28"/>
      <c r="E19" s="28"/>
      <c r="F19" s="28"/>
      <c r="G19" s="28"/>
      <c r="H19" s="28"/>
      <c r="I19" s="28"/>
      <c r="J19" s="28"/>
      <c r="K19" s="28"/>
      <c r="L19" s="28"/>
      <c r="M19" s="134"/>
      <c r="N19" s="63" t="s">
        <v>17</v>
      </c>
      <c r="P19" s="22" t="s">
        <v>239</v>
      </c>
    </row>
    <row r="20" spans="1:16" x14ac:dyDescent="0.2">
      <c r="A20" s="16" t="s">
        <v>33</v>
      </c>
      <c r="B20" s="28"/>
      <c r="C20" s="28">
        <v>0</v>
      </c>
      <c r="D20" s="28"/>
      <c r="E20" s="28"/>
      <c r="F20" s="28">
        <v>0</v>
      </c>
      <c r="G20" s="28"/>
      <c r="H20" s="28"/>
      <c r="I20" s="28">
        <v>0</v>
      </c>
      <c r="J20" s="28"/>
      <c r="K20" s="28"/>
      <c r="L20" s="28">
        <f t="shared" ref="L20:L22" si="6">F20+I20</f>
        <v>0</v>
      </c>
      <c r="M20" s="134"/>
      <c r="N20" s="63" t="s">
        <v>17</v>
      </c>
      <c r="P20" s="22" t="s">
        <v>240</v>
      </c>
    </row>
    <row r="21" spans="1:16" x14ac:dyDescent="0.2">
      <c r="A21" s="17" t="s">
        <v>34</v>
      </c>
      <c r="B21" s="146"/>
      <c r="C21" s="146">
        <v>0</v>
      </c>
      <c r="D21" s="146"/>
      <c r="E21" s="146"/>
      <c r="F21" s="146">
        <v>0</v>
      </c>
      <c r="G21" s="146"/>
      <c r="H21" s="146"/>
      <c r="I21" s="146">
        <v>0</v>
      </c>
      <c r="J21" s="146"/>
      <c r="K21" s="146"/>
      <c r="L21" s="146">
        <f t="shared" si="6"/>
        <v>0</v>
      </c>
      <c r="M21" s="147"/>
      <c r="N21" s="63" t="s">
        <v>17</v>
      </c>
      <c r="P21" s="22" t="s">
        <v>241</v>
      </c>
    </row>
    <row r="22" spans="1:16" ht="15" thickBot="1" x14ac:dyDescent="0.25">
      <c r="A22" s="101" t="s">
        <v>179</v>
      </c>
      <c r="B22" s="148"/>
      <c r="C22" s="148">
        <f>C17+C20+C21</f>
        <v>35690</v>
      </c>
      <c r="D22" s="148"/>
      <c r="E22" s="148"/>
      <c r="F22" s="148">
        <f>F17+F20+F21</f>
        <v>36124</v>
      </c>
      <c r="G22" s="148"/>
      <c r="H22" s="148"/>
      <c r="I22" s="148">
        <f>I17+I20+I21</f>
        <v>273</v>
      </c>
      <c r="J22" s="148"/>
      <c r="K22" s="148"/>
      <c r="L22" s="148">
        <f t="shared" si="6"/>
        <v>36397</v>
      </c>
      <c r="M22" s="149"/>
      <c r="N22" s="63" t="s">
        <v>17</v>
      </c>
      <c r="P22" s="22" t="s">
        <v>242</v>
      </c>
    </row>
    <row r="23" spans="1:16" ht="15" thickBot="1" x14ac:dyDescent="0.25">
      <c r="N23" s="63" t="s">
        <v>17</v>
      </c>
      <c r="P23" s="22" t="s">
        <v>38</v>
      </c>
    </row>
    <row r="24" spans="1:16" ht="15" x14ac:dyDescent="0.2">
      <c r="A24" s="441" t="s">
        <v>180</v>
      </c>
      <c r="B24" s="444" t="s">
        <v>261</v>
      </c>
      <c r="C24" s="444"/>
      <c r="D24" s="444"/>
      <c r="E24" s="444" t="s">
        <v>262</v>
      </c>
      <c r="F24" s="444"/>
      <c r="G24" s="444"/>
      <c r="H24" s="444" t="s">
        <v>263</v>
      </c>
      <c r="I24" s="444"/>
      <c r="J24" s="445"/>
      <c r="N24" s="63" t="s">
        <v>17</v>
      </c>
    </row>
    <row r="25" spans="1:16" ht="28.5" x14ac:dyDescent="0.2">
      <c r="A25" s="442"/>
      <c r="B25" s="11" t="s">
        <v>3</v>
      </c>
      <c r="C25" s="229" t="s">
        <v>420</v>
      </c>
      <c r="D25" s="11" t="s">
        <v>4</v>
      </c>
      <c r="E25" s="11" t="s">
        <v>3</v>
      </c>
      <c r="F25" s="229" t="s">
        <v>420</v>
      </c>
      <c r="G25" s="11" t="s">
        <v>4</v>
      </c>
      <c r="H25" s="11" t="s">
        <v>3</v>
      </c>
      <c r="I25" s="229" t="s">
        <v>420</v>
      </c>
      <c r="J25" s="12" t="s">
        <v>4</v>
      </c>
      <c r="N25" s="63" t="s">
        <v>17</v>
      </c>
    </row>
    <row r="26" spans="1:16" x14ac:dyDescent="0.2">
      <c r="A26" s="14" t="str">
        <f>A9</f>
        <v>Intelligence</v>
      </c>
      <c r="B26" s="132">
        <v>4</v>
      </c>
      <c r="C26" s="132">
        <v>2</v>
      </c>
      <c r="D26" s="132">
        <v>3744</v>
      </c>
      <c r="E26" s="132">
        <v>0</v>
      </c>
      <c r="F26" s="132">
        <v>0</v>
      </c>
      <c r="G26" s="132">
        <v>-38220</v>
      </c>
      <c r="H26" s="132">
        <v>7118</v>
      </c>
      <c r="I26" s="132">
        <v>6765</v>
      </c>
      <c r="J26" s="133">
        <f t="shared" ref="J26:J29" si="7">M9+D26+G26</f>
        <v>1650588</v>
      </c>
      <c r="N26" s="63" t="s">
        <v>17</v>
      </c>
    </row>
    <row r="27" spans="1:16" x14ac:dyDescent="0.2">
      <c r="A27" s="15" t="str">
        <f>A10</f>
        <v>Counterterrorism/Counterintelligence</v>
      </c>
      <c r="B27" s="28">
        <v>7</v>
      </c>
      <c r="C27" s="28">
        <v>4</v>
      </c>
      <c r="D27" s="28">
        <v>5149</v>
      </c>
      <c r="E27" s="28">
        <v>0</v>
      </c>
      <c r="F27" s="28">
        <v>0</v>
      </c>
      <c r="G27" s="28">
        <v>-70431</v>
      </c>
      <c r="H27" s="28">
        <v>13169</v>
      </c>
      <c r="I27" s="28">
        <v>12517</v>
      </c>
      <c r="J27" s="134">
        <f t="shared" si="7"/>
        <v>3356452</v>
      </c>
      <c r="N27" s="63" t="s">
        <v>17</v>
      </c>
    </row>
    <row r="28" spans="1:16" x14ac:dyDescent="0.2">
      <c r="A28" s="15" t="str">
        <f>A11</f>
        <v>Criminal Enterprises and Federal Crimes</v>
      </c>
      <c r="B28" s="28">
        <v>3</v>
      </c>
      <c r="C28" s="28">
        <v>1</v>
      </c>
      <c r="D28" s="28">
        <v>6962</v>
      </c>
      <c r="E28" s="28">
        <v>0</v>
      </c>
      <c r="F28" s="28">
        <v>0</v>
      </c>
      <c r="G28" s="28">
        <v>-53471</v>
      </c>
      <c r="H28" s="28">
        <v>12443</v>
      </c>
      <c r="I28" s="28">
        <v>11826</v>
      </c>
      <c r="J28" s="134">
        <f t="shared" si="7"/>
        <v>2806669</v>
      </c>
      <c r="N28" s="63" t="s">
        <v>17</v>
      </c>
    </row>
    <row r="29" spans="1:16" x14ac:dyDescent="0.2">
      <c r="A29" s="91" t="str">
        <f>A12</f>
        <v>Criminal Justice Services</v>
      </c>
      <c r="B29" s="150">
        <v>0</v>
      </c>
      <c r="C29" s="150">
        <v>0</v>
      </c>
      <c r="D29" s="150">
        <v>2353</v>
      </c>
      <c r="E29" s="150">
        <v>0</v>
      </c>
      <c r="F29" s="150">
        <v>0</v>
      </c>
      <c r="G29" s="150">
        <v>-6255</v>
      </c>
      <c r="H29" s="150">
        <v>2240</v>
      </c>
      <c r="I29" s="150">
        <v>2129</v>
      </c>
      <c r="J29" s="151">
        <f t="shared" si="7"/>
        <v>464510</v>
      </c>
      <c r="N29" s="63" t="s">
        <v>17</v>
      </c>
    </row>
    <row r="30" spans="1:16" ht="15" x14ac:dyDescent="0.25">
      <c r="A30" s="13" t="s">
        <v>177</v>
      </c>
      <c r="B30" s="137">
        <f t="shared" ref="B30:J30" si="8">SUM(B26:B29)</f>
        <v>14</v>
      </c>
      <c r="C30" s="137">
        <f t="shared" si="8"/>
        <v>7</v>
      </c>
      <c r="D30" s="137">
        <f t="shared" si="8"/>
        <v>18208</v>
      </c>
      <c r="E30" s="137">
        <f t="shared" si="8"/>
        <v>0</v>
      </c>
      <c r="F30" s="137">
        <f t="shared" si="8"/>
        <v>0</v>
      </c>
      <c r="G30" s="137">
        <f t="shared" si="8"/>
        <v>-168377</v>
      </c>
      <c r="H30" s="137">
        <f t="shared" si="8"/>
        <v>34970</v>
      </c>
      <c r="I30" s="137">
        <f t="shared" si="8"/>
        <v>33237</v>
      </c>
      <c r="J30" s="138">
        <f t="shared" si="8"/>
        <v>8278219</v>
      </c>
      <c r="N30" s="63" t="s">
        <v>17</v>
      </c>
    </row>
    <row r="31" spans="1:16" ht="15" x14ac:dyDescent="0.25">
      <c r="A31" s="93" t="s">
        <v>176</v>
      </c>
      <c r="B31" s="139"/>
      <c r="C31" s="139"/>
      <c r="D31" s="140">
        <v>0</v>
      </c>
      <c r="E31" s="139"/>
      <c r="F31" s="139"/>
      <c r="G31" s="140">
        <v>0</v>
      </c>
      <c r="H31" s="139"/>
      <c r="I31" s="139"/>
      <c r="J31" s="141">
        <f>M14+D31+G31</f>
        <v>0</v>
      </c>
      <c r="N31" s="63" t="s">
        <v>17</v>
      </c>
    </row>
    <row r="32" spans="1:16" ht="15" x14ac:dyDescent="0.25">
      <c r="A32" s="120" t="s">
        <v>226</v>
      </c>
      <c r="B32" s="31"/>
      <c r="C32" s="31"/>
      <c r="D32" s="142">
        <f>SUM(D30:D31)</f>
        <v>18208</v>
      </c>
      <c r="E32" s="31"/>
      <c r="F32" s="31"/>
      <c r="G32" s="142">
        <f>SUM(G30:G31)</f>
        <v>-168377</v>
      </c>
      <c r="H32" s="31"/>
      <c r="I32" s="31"/>
      <c r="J32" s="143">
        <f>M15+D32+G32</f>
        <v>8278219</v>
      </c>
      <c r="N32" s="63" t="s">
        <v>17</v>
      </c>
    </row>
    <row r="33" spans="1:14" x14ac:dyDescent="0.2">
      <c r="A33" s="92" t="s">
        <v>31</v>
      </c>
      <c r="B33" s="144"/>
      <c r="C33" s="144">
        <v>0</v>
      </c>
      <c r="D33" s="144"/>
      <c r="E33" s="144"/>
      <c r="F33" s="144">
        <v>0</v>
      </c>
      <c r="G33" s="144"/>
      <c r="H33" s="144"/>
      <c r="I33" s="144">
        <f t="shared" ref="I33:I39" si="9">L16+C33+F33</f>
        <v>3167</v>
      </c>
      <c r="J33" s="145"/>
      <c r="N33" s="63" t="s">
        <v>17</v>
      </c>
    </row>
    <row r="34" spans="1:14" x14ac:dyDescent="0.2">
      <c r="A34" s="15" t="s">
        <v>178</v>
      </c>
      <c r="B34" s="28"/>
      <c r="C34" s="28">
        <f>C30+C33</f>
        <v>7</v>
      </c>
      <c r="D34" s="28"/>
      <c r="E34" s="28"/>
      <c r="F34" s="28">
        <f>F30+F33</f>
        <v>0</v>
      </c>
      <c r="G34" s="28"/>
      <c r="H34" s="28"/>
      <c r="I34" s="28">
        <f t="shared" si="9"/>
        <v>36404</v>
      </c>
      <c r="J34" s="134"/>
      <c r="N34" s="63" t="s">
        <v>17</v>
      </c>
    </row>
    <row r="35" spans="1:14" x14ac:dyDescent="0.2">
      <c r="A35" s="15"/>
      <c r="B35" s="28"/>
      <c r="C35" s="28"/>
      <c r="D35" s="28"/>
      <c r="E35" s="28"/>
      <c r="F35" s="28"/>
      <c r="G35" s="28"/>
      <c r="H35" s="28"/>
      <c r="I35" s="28">
        <f t="shared" si="9"/>
        <v>0</v>
      </c>
      <c r="J35" s="134"/>
      <c r="N35" s="63" t="s">
        <v>17</v>
      </c>
    </row>
    <row r="36" spans="1:14" x14ac:dyDescent="0.2">
      <c r="A36" s="15" t="s">
        <v>32</v>
      </c>
      <c r="B36" s="28"/>
      <c r="C36" s="28"/>
      <c r="D36" s="28"/>
      <c r="E36" s="28"/>
      <c r="F36" s="28"/>
      <c r="G36" s="28"/>
      <c r="H36" s="28"/>
      <c r="I36" s="28">
        <f t="shared" si="9"/>
        <v>0</v>
      </c>
      <c r="J36" s="134"/>
      <c r="N36" s="63" t="s">
        <v>17</v>
      </c>
    </row>
    <row r="37" spans="1:14" x14ac:dyDescent="0.2">
      <c r="A37" s="16" t="s">
        <v>33</v>
      </c>
      <c r="B37" s="28"/>
      <c r="C37" s="28">
        <v>0</v>
      </c>
      <c r="D37" s="28"/>
      <c r="E37" s="28"/>
      <c r="F37" s="28">
        <v>0</v>
      </c>
      <c r="G37" s="28"/>
      <c r="H37" s="28"/>
      <c r="I37" s="28">
        <f t="shared" si="9"/>
        <v>0</v>
      </c>
      <c r="J37" s="134"/>
      <c r="N37" s="63" t="s">
        <v>17</v>
      </c>
    </row>
    <row r="38" spans="1:14" x14ac:dyDescent="0.2">
      <c r="A38" s="17" t="s">
        <v>34</v>
      </c>
      <c r="B38" s="146"/>
      <c r="C38" s="146">
        <v>0</v>
      </c>
      <c r="D38" s="146"/>
      <c r="E38" s="146"/>
      <c r="F38" s="146">
        <v>0</v>
      </c>
      <c r="G38" s="146"/>
      <c r="H38" s="146"/>
      <c r="I38" s="146">
        <f t="shared" si="9"/>
        <v>0</v>
      </c>
      <c r="J38" s="147"/>
      <c r="N38" s="63" t="s">
        <v>17</v>
      </c>
    </row>
    <row r="39" spans="1:14" ht="15" thickBot="1" x14ac:dyDescent="0.25">
      <c r="A39" s="18" t="s">
        <v>179</v>
      </c>
      <c r="B39" s="148"/>
      <c r="C39" s="148">
        <f>C34+C37+C38</f>
        <v>7</v>
      </c>
      <c r="D39" s="148"/>
      <c r="E39" s="148"/>
      <c r="F39" s="148">
        <f>F34+F37+F38</f>
        <v>0</v>
      </c>
      <c r="G39" s="148"/>
      <c r="H39" s="148"/>
      <c r="I39" s="148">
        <f t="shared" si="9"/>
        <v>36404</v>
      </c>
      <c r="J39" s="149"/>
      <c r="N39" s="63" t="s">
        <v>17</v>
      </c>
    </row>
    <row r="40" spans="1:14" x14ac:dyDescent="0.2">
      <c r="N40" s="4" t="s">
        <v>18</v>
      </c>
    </row>
    <row r="41" spans="1:14" x14ac:dyDescent="0.2">
      <c r="A41" s="41"/>
    </row>
    <row r="42" spans="1:14" x14ac:dyDescent="0.2">
      <c r="A42" s="184"/>
    </row>
  </sheetData>
  <mergeCells count="15">
    <mergeCell ref="A5:M5"/>
    <mergeCell ref="A6:M6"/>
    <mergeCell ref="A24:A25"/>
    <mergeCell ref="A1:M1"/>
    <mergeCell ref="A2:M2"/>
    <mergeCell ref="A3:M3"/>
    <mergeCell ref="A4:M4"/>
    <mergeCell ref="A7:A8"/>
    <mergeCell ref="B7:D7"/>
    <mergeCell ref="E7:G7"/>
    <mergeCell ref="H7:J7"/>
    <mergeCell ref="K7:M7"/>
    <mergeCell ref="B24:D24"/>
    <mergeCell ref="E24:G24"/>
    <mergeCell ref="H24:J24"/>
  </mergeCells>
  <printOptions horizontalCentered="1"/>
  <pageMargins left="0.7" right="0.7" top="0.75" bottom="0.75" header="0.3" footer="0.3"/>
  <pageSetup scale="74"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view="pageBreakPreview" zoomScale="80" zoomScaleNormal="100" zoomScaleSheetLayoutView="80" workbookViewId="0">
      <selection activeCell="P55" sqref="P55"/>
    </sheetView>
  </sheetViews>
  <sheetFormatPr defaultColWidth="9.140625" defaultRowHeight="14.25" x14ac:dyDescent="0.2"/>
  <cols>
    <col min="1" max="1" width="37.140625" style="9" customWidth="1"/>
    <col min="2" max="4" width="8.7109375" style="9" customWidth="1"/>
    <col min="5" max="5" width="12.7109375" style="9" customWidth="1"/>
    <col min="6" max="8" width="8.7109375" style="9" customWidth="1"/>
    <col min="9" max="9" width="12.7109375" style="9" customWidth="1"/>
    <col min="10" max="12" width="8.7109375" style="9" customWidth="1"/>
    <col min="13" max="13" width="12.7109375" style="9" customWidth="1"/>
    <col min="14" max="14" width="14" style="4" bestFit="1" customWidth="1"/>
    <col min="15" max="15" width="4.5703125" style="9" customWidth="1"/>
    <col min="16" max="16" width="122.855468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433" t="s">
        <v>264</v>
      </c>
      <c r="B1" s="433"/>
      <c r="C1" s="433"/>
      <c r="D1" s="433"/>
      <c r="E1" s="433"/>
      <c r="F1" s="433"/>
      <c r="G1" s="433"/>
      <c r="H1" s="433"/>
      <c r="I1" s="433"/>
      <c r="J1" s="433"/>
      <c r="K1" s="433"/>
      <c r="L1" s="433"/>
      <c r="M1" s="433"/>
      <c r="N1" s="19" t="s">
        <v>17</v>
      </c>
      <c r="O1" s="6"/>
      <c r="P1" s="114" t="s">
        <v>25</v>
      </c>
      <c r="Q1" s="6"/>
      <c r="R1" s="6"/>
      <c r="S1" s="6"/>
      <c r="T1" s="6"/>
      <c r="U1" s="6"/>
      <c r="V1" s="6"/>
    </row>
    <row r="2" spans="1:22" ht="18" x14ac:dyDescent="0.25">
      <c r="A2" s="434" t="s">
        <v>305</v>
      </c>
      <c r="B2" s="434"/>
      <c r="C2" s="434"/>
      <c r="D2" s="434"/>
      <c r="E2" s="434"/>
      <c r="F2" s="434"/>
      <c r="G2" s="434"/>
      <c r="H2" s="434"/>
      <c r="I2" s="434"/>
      <c r="J2" s="434"/>
      <c r="K2" s="434"/>
      <c r="L2" s="434"/>
      <c r="M2" s="434"/>
      <c r="N2" s="19" t="s">
        <v>17</v>
      </c>
      <c r="O2" s="7"/>
      <c r="P2" s="115" t="s">
        <v>243</v>
      </c>
      <c r="Q2" s="7"/>
      <c r="R2" s="7"/>
      <c r="S2" s="7"/>
      <c r="T2" s="7"/>
      <c r="U2" s="7"/>
      <c r="V2" s="7"/>
    </row>
    <row r="3" spans="1:22" ht="18" x14ac:dyDescent="0.25">
      <c r="A3" s="446" t="s">
        <v>1</v>
      </c>
      <c r="B3" s="446"/>
      <c r="C3" s="446"/>
      <c r="D3" s="446"/>
      <c r="E3" s="446"/>
      <c r="F3" s="446"/>
      <c r="G3" s="446"/>
      <c r="H3" s="446"/>
      <c r="I3" s="446"/>
      <c r="J3" s="446"/>
      <c r="K3" s="446"/>
      <c r="L3" s="446"/>
      <c r="M3" s="446"/>
      <c r="N3" s="19" t="s">
        <v>17</v>
      </c>
      <c r="O3" s="10"/>
      <c r="P3" s="116" t="s">
        <v>213</v>
      </c>
      <c r="Q3" s="10"/>
      <c r="R3" s="10"/>
      <c r="S3" s="10"/>
      <c r="T3" s="10"/>
      <c r="U3" s="10"/>
      <c r="V3" s="10"/>
    </row>
    <row r="4" spans="1:22" ht="18.75" thickBot="1" x14ac:dyDescent="0.3">
      <c r="A4" s="440" t="s">
        <v>2</v>
      </c>
      <c r="B4" s="440"/>
      <c r="C4" s="440"/>
      <c r="D4" s="440"/>
      <c r="E4" s="440"/>
      <c r="F4" s="440"/>
      <c r="G4" s="440"/>
      <c r="H4" s="440"/>
      <c r="I4" s="440"/>
      <c r="J4" s="440"/>
      <c r="K4" s="440"/>
      <c r="L4" s="440"/>
      <c r="M4" s="440"/>
      <c r="N4" s="19" t="s">
        <v>17</v>
      </c>
      <c r="O4" s="8"/>
      <c r="P4" s="117"/>
      <c r="Q4" s="8"/>
      <c r="R4" s="8"/>
      <c r="S4" s="8"/>
      <c r="T4" s="8"/>
      <c r="U4" s="8"/>
      <c r="V4" s="8"/>
    </row>
    <row r="5" spans="1:22" ht="18.75" thickBot="1" x14ac:dyDescent="0.3">
      <c r="A5" s="447"/>
      <c r="B5" s="447"/>
      <c r="C5" s="447"/>
      <c r="D5" s="447"/>
      <c r="E5" s="447"/>
      <c r="F5" s="447"/>
      <c r="G5" s="447"/>
      <c r="H5" s="447"/>
      <c r="I5" s="447"/>
      <c r="J5" s="448"/>
      <c r="K5" s="448"/>
      <c r="L5" s="448"/>
      <c r="M5" s="448"/>
      <c r="N5" s="19" t="s">
        <v>17</v>
      </c>
      <c r="O5" s="8"/>
      <c r="P5" s="118"/>
      <c r="Q5" s="8"/>
      <c r="R5" s="8"/>
      <c r="S5" s="8"/>
      <c r="T5" s="8"/>
      <c r="U5" s="8"/>
      <c r="V5" s="8"/>
    </row>
    <row r="6" spans="1:22" s="22" customFormat="1" ht="33.75" customHeight="1" x14ac:dyDescent="0.25">
      <c r="A6" s="441" t="s">
        <v>39</v>
      </c>
      <c r="B6" s="444" t="s">
        <v>306</v>
      </c>
      <c r="C6" s="444"/>
      <c r="D6" s="444"/>
      <c r="E6" s="444"/>
      <c r="F6" s="444" t="s">
        <v>308</v>
      </c>
      <c r="G6" s="444"/>
      <c r="H6" s="444"/>
      <c r="I6" s="445"/>
      <c r="J6" s="65"/>
      <c r="K6" s="65"/>
      <c r="L6" s="65"/>
      <c r="M6" s="102"/>
      <c r="N6" s="19" t="s">
        <v>17</v>
      </c>
      <c r="P6" s="22" t="s">
        <v>48</v>
      </c>
    </row>
    <row r="7" spans="1:22" s="22" customFormat="1" ht="28.5" x14ac:dyDescent="0.25">
      <c r="A7" s="442"/>
      <c r="B7" s="20" t="s">
        <v>3</v>
      </c>
      <c r="C7" s="295" t="s">
        <v>347</v>
      </c>
      <c r="D7" s="229" t="s">
        <v>420</v>
      </c>
      <c r="E7" s="20" t="s">
        <v>4</v>
      </c>
      <c r="F7" s="20" t="s">
        <v>3</v>
      </c>
      <c r="G7" s="295" t="s">
        <v>347</v>
      </c>
      <c r="H7" s="229" t="s">
        <v>420</v>
      </c>
      <c r="I7" s="27" t="s">
        <v>4</v>
      </c>
      <c r="J7" s="70"/>
      <c r="K7" s="70"/>
      <c r="L7" s="70"/>
      <c r="M7" s="102"/>
      <c r="N7" s="19" t="s">
        <v>17</v>
      </c>
      <c r="P7" s="165" t="s">
        <v>296</v>
      </c>
    </row>
    <row r="8" spans="1:22" s="22" customFormat="1" ht="18" x14ac:dyDescent="0.25">
      <c r="A8" s="215" t="s">
        <v>304</v>
      </c>
      <c r="B8" s="152">
        <v>0</v>
      </c>
      <c r="C8" s="152">
        <v>0</v>
      </c>
      <c r="D8" s="152">
        <v>0</v>
      </c>
      <c r="E8" s="152">
        <v>3000</v>
      </c>
      <c r="F8" s="152">
        <v>0</v>
      </c>
      <c r="G8" s="152">
        <v>0</v>
      </c>
      <c r="H8" s="152">
        <v>0</v>
      </c>
      <c r="I8" s="153">
        <v>3600</v>
      </c>
      <c r="J8" s="71"/>
      <c r="K8" s="71"/>
      <c r="L8" s="71"/>
      <c r="M8" s="71"/>
      <c r="N8" s="19" t="s">
        <v>17</v>
      </c>
      <c r="P8" s="26"/>
    </row>
    <row r="9" spans="1:22" s="22" customFormat="1" ht="18" x14ac:dyDescent="0.25">
      <c r="A9" s="216" t="s">
        <v>310</v>
      </c>
      <c r="B9" s="29">
        <v>4</v>
      </c>
      <c r="C9" s="29">
        <v>2</v>
      </c>
      <c r="D9" s="29">
        <v>2</v>
      </c>
      <c r="E9" s="29">
        <v>744</v>
      </c>
      <c r="F9" s="29">
        <v>7</v>
      </c>
      <c r="G9" s="29">
        <v>4</v>
      </c>
      <c r="H9" s="29">
        <v>4</v>
      </c>
      <c r="I9" s="30">
        <v>1549</v>
      </c>
      <c r="J9" s="71"/>
      <c r="K9" s="71"/>
      <c r="L9" s="71"/>
      <c r="M9" s="71"/>
      <c r="N9" s="19" t="s">
        <v>17</v>
      </c>
    </row>
    <row r="10" spans="1:22" s="22" customFormat="1" ht="18" hidden="1" x14ac:dyDescent="0.25">
      <c r="A10" s="24" t="s">
        <v>11</v>
      </c>
      <c r="B10" s="29">
        <v>0</v>
      </c>
      <c r="C10" s="29">
        <v>0</v>
      </c>
      <c r="D10" s="29">
        <v>0</v>
      </c>
      <c r="E10" s="29">
        <v>0</v>
      </c>
      <c r="F10" s="29">
        <v>0</v>
      </c>
      <c r="G10" s="29">
        <v>0</v>
      </c>
      <c r="H10" s="29">
        <v>0</v>
      </c>
      <c r="I10" s="30">
        <v>0</v>
      </c>
      <c r="J10" s="71"/>
      <c r="K10" s="71"/>
      <c r="L10" s="71"/>
      <c r="M10" s="71"/>
      <c r="N10" s="19" t="s">
        <v>17</v>
      </c>
    </row>
    <row r="11" spans="1:22" s="22" customFormat="1" ht="18" hidden="1" x14ac:dyDescent="0.25">
      <c r="A11" s="25" t="s">
        <v>40</v>
      </c>
      <c r="B11" s="154">
        <v>0</v>
      </c>
      <c r="C11" s="154">
        <v>0</v>
      </c>
      <c r="D11" s="154">
        <v>0</v>
      </c>
      <c r="E11" s="154">
        <v>0</v>
      </c>
      <c r="F11" s="154">
        <v>0</v>
      </c>
      <c r="G11" s="154">
        <v>0</v>
      </c>
      <c r="H11" s="154">
        <v>0</v>
      </c>
      <c r="I11" s="155">
        <v>0</v>
      </c>
      <c r="J11" s="71"/>
      <c r="K11" s="71"/>
      <c r="L11" s="71"/>
      <c r="M11" s="71"/>
      <c r="N11" s="19" t="s">
        <v>17</v>
      </c>
    </row>
    <row r="12" spans="1:22" s="22" customFormat="1" ht="18.75" thickBot="1" x14ac:dyDescent="0.3">
      <c r="A12" s="23" t="s">
        <v>45</v>
      </c>
      <c r="B12" s="36">
        <f>SUM(B8:B11)</f>
        <v>4</v>
      </c>
      <c r="C12" s="36">
        <f>SUM(C8:C11)</f>
        <v>2</v>
      </c>
      <c r="D12" s="36">
        <f t="shared" ref="D12" si="0">SUM(D8:D11)</f>
        <v>2</v>
      </c>
      <c r="E12" s="36">
        <f>SUM(E8:E11)</f>
        <v>3744</v>
      </c>
      <c r="F12" s="36">
        <f>SUM(F8:F11)</f>
        <v>7</v>
      </c>
      <c r="G12" s="36">
        <f>SUM(G8:G11)</f>
        <v>4</v>
      </c>
      <c r="H12" s="36">
        <f t="shared" ref="H12" si="1">SUM(H8:H11)</f>
        <v>4</v>
      </c>
      <c r="I12" s="156">
        <f>SUM(I8:I11)</f>
        <v>5149</v>
      </c>
      <c r="J12" s="72"/>
      <c r="K12" s="72"/>
      <c r="L12" s="72"/>
      <c r="M12" s="72"/>
      <c r="N12" s="19" t="s">
        <v>17</v>
      </c>
      <c r="P12" s="5"/>
    </row>
    <row r="13" spans="1:22" s="22" customFormat="1" ht="18.75" thickBot="1" x14ac:dyDescent="0.3">
      <c r="N13" s="19" t="s">
        <v>17</v>
      </c>
    </row>
    <row r="14" spans="1:22" s="22" customFormat="1" ht="33.75" customHeight="1" x14ac:dyDescent="0.25">
      <c r="A14" s="441" t="s">
        <v>39</v>
      </c>
      <c r="B14" s="444" t="s">
        <v>307</v>
      </c>
      <c r="C14" s="444"/>
      <c r="D14" s="444"/>
      <c r="E14" s="444"/>
      <c r="F14" s="444" t="s">
        <v>309</v>
      </c>
      <c r="G14" s="444"/>
      <c r="H14" s="444"/>
      <c r="I14" s="444"/>
      <c r="J14" s="444" t="s">
        <v>41</v>
      </c>
      <c r="K14" s="444"/>
      <c r="L14" s="444"/>
      <c r="M14" s="444"/>
      <c r="N14" s="19" t="s">
        <v>17</v>
      </c>
    </row>
    <row r="15" spans="1:22" s="22" customFormat="1" ht="28.5" x14ac:dyDescent="0.25">
      <c r="A15" s="442"/>
      <c r="B15" s="20" t="s">
        <v>3</v>
      </c>
      <c r="C15" s="295" t="s">
        <v>347</v>
      </c>
      <c r="D15" s="229" t="s">
        <v>420</v>
      </c>
      <c r="E15" s="20" t="s">
        <v>4</v>
      </c>
      <c r="F15" s="20" t="s">
        <v>3</v>
      </c>
      <c r="G15" s="295" t="s">
        <v>347</v>
      </c>
      <c r="H15" s="229" t="s">
        <v>420</v>
      </c>
      <c r="I15" s="20" t="s">
        <v>4</v>
      </c>
      <c r="J15" s="20" t="s">
        <v>3</v>
      </c>
      <c r="K15" s="295" t="s">
        <v>347</v>
      </c>
      <c r="L15" s="229" t="s">
        <v>420</v>
      </c>
      <c r="M15" s="20" t="s">
        <v>4</v>
      </c>
      <c r="N15" s="19" t="s">
        <v>17</v>
      </c>
      <c r="P15" s="165" t="s">
        <v>296</v>
      </c>
    </row>
    <row r="16" spans="1:22" s="22" customFormat="1" ht="18" x14ac:dyDescent="0.25">
      <c r="A16" s="215" t="s">
        <v>304</v>
      </c>
      <c r="B16" s="152">
        <v>0</v>
      </c>
      <c r="C16" s="152">
        <v>0</v>
      </c>
      <c r="D16" s="152">
        <v>0</v>
      </c>
      <c r="E16" s="152">
        <v>6150</v>
      </c>
      <c r="F16" s="152">
        <v>0</v>
      </c>
      <c r="G16" s="152">
        <v>0</v>
      </c>
      <c r="H16" s="152">
        <v>0</v>
      </c>
      <c r="I16" s="152">
        <v>2250</v>
      </c>
      <c r="J16" s="152">
        <f>B8+F8+B16+F16</f>
        <v>0</v>
      </c>
      <c r="K16" s="152">
        <f>C8+G8+C16+G16</f>
        <v>0</v>
      </c>
      <c r="L16" s="152">
        <f>D8+H8+D16+H16</f>
        <v>0</v>
      </c>
      <c r="M16" s="152">
        <f t="shared" ref="M16" si="2">E8+I8+E16+I16</f>
        <v>15000</v>
      </c>
      <c r="N16" s="19" t="s">
        <v>17</v>
      </c>
      <c r="P16" s="5" t="s">
        <v>182</v>
      </c>
    </row>
    <row r="17" spans="1:16" s="22" customFormat="1" ht="18" x14ac:dyDescent="0.25">
      <c r="A17" s="216" t="s">
        <v>310</v>
      </c>
      <c r="B17" s="29">
        <v>3</v>
      </c>
      <c r="C17" s="29">
        <v>1</v>
      </c>
      <c r="D17" s="29">
        <v>1</v>
      </c>
      <c r="E17" s="29">
        <v>812</v>
      </c>
      <c r="F17" s="29">
        <v>0</v>
      </c>
      <c r="G17" s="29">
        <v>0</v>
      </c>
      <c r="H17" s="29">
        <v>0</v>
      </c>
      <c r="I17" s="29">
        <v>103</v>
      </c>
      <c r="J17" s="29">
        <f t="shared" ref="J17:L17" si="3">B9+F9+B17+F17</f>
        <v>14</v>
      </c>
      <c r="K17" s="29">
        <f t="shared" si="3"/>
        <v>7</v>
      </c>
      <c r="L17" s="29">
        <f t="shared" si="3"/>
        <v>7</v>
      </c>
      <c r="M17" s="29">
        <f t="shared" ref="M17:M19" si="4">E9+I9+E17+I17</f>
        <v>3208</v>
      </c>
      <c r="N17" s="19" t="s">
        <v>17</v>
      </c>
      <c r="P17" s="5" t="s">
        <v>47</v>
      </c>
    </row>
    <row r="18" spans="1:16" s="22" customFormat="1" ht="18" hidden="1" x14ac:dyDescent="0.25">
      <c r="A18" s="24" t="s">
        <v>11</v>
      </c>
      <c r="B18" s="29">
        <v>0</v>
      </c>
      <c r="C18" s="29">
        <v>0</v>
      </c>
      <c r="D18" s="29">
        <v>0</v>
      </c>
      <c r="E18" s="29">
        <v>0</v>
      </c>
      <c r="F18" s="29">
        <v>0</v>
      </c>
      <c r="G18" s="29">
        <v>0</v>
      </c>
      <c r="H18" s="29">
        <v>0</v>
      </c>
      <c r="I18" s="29">
        <v>0</v>
      </c>
      <c r="J18" s="29">
        <f t="shared" ref="J18:L18" si="5">B10+F10+B18+F18</f>
        <v>0</v>
      </c>
      <c r="K18" s="29">
        <f t="shared" si="5"/>
        <v>0</v>
      </c>
      <c r="L18" s="29">
        <f t="shared" si="5"/>
        <v>0</v>
      </c>
      <c r="M18" s="29">
        <f t="shared" si="4"/>
        <v>0</v>
      </c>
      <c r="N18" s="19" t="s">
        <v>17</v>
      </c>
    </row>
    <row r="19" spans="1:16" s="22" customFormat="1" ht="18" hidden="1" x14ac:dyDescent="0.25">
      <c r="A19" s="25" t="s">
        <v>40</v>
      </c>
      <c r="B19" s="154">
        <v>0</v>
      </c>
      <c r="C19" s="154">
        <v>0</v>
      </c>
      <c r="D19" s="154">
        <v>0</v>
      </c>
      <c r="E19" s="154">
        <v>0</v>
      </c>
      <c r="F19" s="154">
        <v>0</v>
      </c>
      <c r="G19" s="154">
        <v>0</v>
      </c>
      <c r="H19" s="154">
        <v>0</v>
      </c>
      <c r="I19" s="154">
        <v>0</v>
      </c>
      <c r="J19" s="154">
        <f t="shared" ref="J19:L19" si="6">B11+F11+B19+F19</f>
        <v>0</v>
      </c>
      <c r="K19" s="154">
        <f t="shared" si="6"/>
        <v>0</v>
      </c>
      <c r="L19" s="154">
        <f t="shared" si="6"/>
        <v>0</v>
      </c>
      <c r="M19" s="154">
        <f t="shared" si="4"/>
        <v>0</v>
      </c>
      <c r="N19" s="19" t="s">
        <v>17</v>
      </c>
    </row>
    <row r="20" spans="1:16" s="22" customFormat="1" ht="18.75" thickBot="1" x14ac:dyDescent="0.3">
      <c r="A20" s="23" t="s">
        <v>45</v>
      </c>
      <c r="B20" s="36">
        <f>SUM(B16:B19)</f>
        <v>3</v>
      </c>
      <c r="C20" s="36">
        <f>SUM(C16:C19)</f>
        <v>1</v>
      </c>
      <c r="D20" s="36">
        <f t="shared" ref="D20" si="7">SUM(D16:D19)</f>
        <v>1</v>
      </c>
      <c r="E20" s="36">
        <f>SUM(E16:E19)</f>
        <v>6962</v>
      </c>
      <c r="F20" s="36">
        <f>SUM(F16:F19)</f>
        <v>0</v>
      </c>
      <c r="G20" s="36">
        <f>SUM(G16:G19)</f>
        <v>0</v>
      </c>
      <c r="H20" s="36">
        <f t="shared" ref="H20" si="8">SUM(H16:H19)</f>
        <v>0</v>
      </c>
      <c r="I20" s="36">
        <f>SUM(I16:I19)</f>
        <v>2353</v>
      </c>
      <c r="J20" s="36">
        <f>SUM(J16:J19)</f>
        <v>14</v>
      </c>
      <c r="K20" s="36">
        <f t="shared" ref="K20:M20" si="9">SUM(K16:K19)</f>
        <v>7</v>
      </c>
      <c r="L20" s="36">
        <f t="shared" si="9"/>
        <v>7</v>
      </c>
      <c r="M20" s="36">
        <f t="shared" si="9"/>
        <v>18208</v>
      </c>
      <c r="N20" s="19" t="s">
        <v>17</v>
      </c>
      <c r="P20" s="5"/>
    </row>
    <row r="21" spans="1:16" s="22" customFormat="1" ht="18.75" thickBot="1" x14ac:dyDescent="0.3">
      <c r="N21" s="19" t="s">
        <v>17</v>
      </c>
    </row>
    <row r="22" spans="1:16" s="22" customFormat="1" ht="33.75" customHeight="1" x14ac:dyDescent="0.25">
      <c r="A22" s="441" t="s">
        <v>43</v>
      </c>
      <c r="B22" s="444" t="s">
        <v>306</v>
      </c>
      <c r="C22" s="444"/>
      <c r="D22" s="444"/>
      <c r="E22" s="444"/>
      <c r="F22" s="444" t="s">
        <v>308</v>
      </c>
      <c r="G22" s="444"/>
      <c r="H22" s="444"/>
      <c r="I22" s="445"/>
      <c r="J22" s="65"/>
      <c r="K22" s="65"/>
      <c r="L22" s="65"/>
      <c r="M22" s="102"/>
      <c r="N22" s="19" t="s">
        <v>17</v>
      </c>
    </row>
    <row r="23" spans="1:16" s="22" customFormat="1" ht="28.5" x14ac:dyDescent="0.25">
      <c r="A23" s="442"/>
      <c r="B23" s="20" t="s">
        <v>3</v>
      </c>
      <c r="C23" s="295" t="s">
        <v>347</v>
      </c>
      <c r="D23" s="229" t="s">
        <v>420</v>
      </c>
      <c r="E23" s="20" t="s">
        <v>4</v>
      </c>
      <c r="F23" s="20" t="s">
        <v>3</v>
      </c>
      <c r="G23" s="295" t="s">
        <v>347</v>
      </c>
      <c r="H23" s="229" t="s">
        <v>420</v>
      </c>
      <c r="I23" s="27" t="s">
        <v>4</v>
      </c>
      <c r="J23" s="70"/>
      <c r="K23" s="70"/>
      <c r="L23" s="70"/>
      <c r="M23" s="102"/>
      <c r="N23" s="19" t="s">
        <v>17</v>
      </c>
      <c r="P23" s="165" t="s">
        <v>296</v>
      </c>
    </row>
    <row r="24" spans="1:16" s="22" customFormat="1" ht="18" x14ac:dyDescent="0.25">
      <c r="A24" s="215" t="s">
        <v>311</v>
      </c>
      <c r="B24" s="152">
        <v>0</v>
      </c>
      <c r="C24" s="152">
        <v>0</v>
      </c>
      <c r="D24" s="152">
        <v>0</v>
      </c>
      <c r="E24" s="217">
        <v>-38220</v>
      </c>
      <c r="F24" s="217">
        <v>0</v>
      </c>
      <c r="G24" s="217">
        <v>0</v>
      </c>
      <c r="H24" s="217">
        <v>0</v>
      </c>
      <c r="I24" s="218">
        <v>-70431</v>
      </c>
      <c r="J24" s="71"/>
      <c r="K24" s="71"/>
      <c r="L24" s="71"/>
      <c r="M24" s="71"/>
      <c r="N24" s="19" t="s">
        <v>17</v>
      </c>
    </row>
    <row r="25" spans="1:16" s="22" customFormat="1" ht="18" hidden="1" x14ac:dyDescent="0.25">
      <c r="A25" s="24" t="s">
        <v>13</v>
      </c>
      <c r="B25" s="29">
        <v>0</v>
      </c>
      <c r="C25" s="29">
        <v>0</v>
      </c>
      <c r="D25" s="29">
        <v>0</v>
      </c>
      <c r="E25" s="219">
        <v>0</v>
      </c>
      <c r="F25" s="219">
        <v>0</v>
      </c>
      <c r="G25" s="219">
        <v>0</v>
      </c>
      <c r="H25" s="219">
        <v>0</v>
      </c>
      <c r="I25" s="220">
        <v>0</v>
      </c>
      <c r="J25" s="71"/>
      <c r="K25" s="71"/>
      <c r="L25" s="71"/>
      <c r="M25" s="71"/>
      <c r="N25" s="19" t="s">
        <v>17</v>
      </c>
    </row>
    <row r="26" spans="1:16" s="22" customFormat="1" ht="18" hidden="1" x14ac:dyDescent="0.25">
      <c r="A26" s="24" t="s">
        <v>14</v>
      </c>
      <c r="B26" s="29">
        <v>0</v>
      </c>
      <c r="C26" s="29">
        <v>0</v>
      </c>
      <c r="D26" s="29">
        <v>0</v>
      </c>
      <c r="E26" s="29">
        <v>0</v>
      </c>
      <c r="F26" s="29">
        <v>0</v>
      </c>
      <c r="G26" s="29">
        <v>0</v>
      </c>
      <c r="H26" s="29">
        <v>0</v>
      </c>
      <c r="I26" s="30">
        <v>0</v>
      </c>
      <c r="J26" s="71"/>
      <c r="K26" s="71"/>
      <c r="L26" s="71"/>
      <c r="M26" s="71"/>
      <c r="N26" s="19" t="s">
        <v>17</v>
      </c>
    </row>
    <row r="27" spans="1:16" s="22" customFormat="1" ht="18" hidden="1" x14ac:dyDescent="0.25">
      <c r="A27" s="25" t="s">
        <v>44</v>
      </c>
      <c r="B27" s="154">
        <v>0</v>
      </c>
      <c r="C27" s="154">
        <v>0</v>
      </c>
      <c r="D27" s="154">
        <v>0</v>
      </c>
      <c r="E27" s="154">
        <v>0</v>
      </c>
      <c r="F27" s="154">
        <v>0</v>
      </c>
      <c r="G27" s="154">
        <v>0</v>
      </c>
      <c r="H27" s="154">
        <v>0</v>
      </c>
      <c r="I27" s="155">
        <v>0</v>
      </c>
      <c r="J27" s="71"/>
      <c r="K27" s="71"/>
      <c r="L27" s="71"/>
      <c r="M27" s="71"/>
      <c r="N27" s="19" t="s">
        <v>17</v>
      </c>
    </row>
    <row r="28" spans="1:16" s="22" customFormat="1" ht="18.75" thickBot="1" x14ac:dyDescent="0.3">
      <c r="A28" s="23" t="s">
        <v>46</v>
      </c>
      <c r="B28" s="36">
        <f>SUM(B24:B27)</f>
        <v>0</v>
      </c>
      <c r="C28" s="36">
        <f>SUM(C24:C27)</f>
        <v>0</v>
      </c>
      <c r="D28" s="36">
        <f t="shared" ref="D28" si="10">SUM(D24:D27)</f>
        <v>0</v>
      </c>
      <c r="E28" s="221">
        <f>SUM(E24:E27)</f>
        <v>-38220</v>
      </c>
      <c r="F28" s="36">
        <f>SUM(F24:F27)</f>
        <v>0</v>
      </c>
      <c r="G28" s="36">
        <f>SUM(G24:G27)</f>
        <v>0</v>
      </c>
      <c r="H28" s="36">
        <f t="shared" ref="H28" si="11">SUM(H24:H27)</f>
        <v>0</v>
      </c>
      <c r="I28" s="222">
        <f>SUM(I24:I27)</f>
        <v>-70431</v>
      </c>
      <c r="J28" s="72"/>
      <c r="K28" s="72"/>
      <c r="L28" s="72"/>
      <c r="M28" s="72"/>
      <c r="N28" s="19" t="s">
        <v>17</v>
      </c>
      <c r="P28" s="5"/>
    </row>
    <row r="29" spans="1:16" s="22" customFormat="1" ht="18.75" thickBot="1" x14ac:dyDescent="0.3">
      <c r="N29" s="19" t="s">
        <v>17</v>
      </c>
    </row>
    <row r="30" spans="1:16" s="22" customFormat="1" ht="33.75" customHeight="1" x14ac:dyDescent="0.25">
      <c r="A30" s="441" t="s">
        <v>43</v>
      </c>
      <c r="B30" s="444" t="s">
        <v>307</v>
      </c>
      <c r="C30" s="444"/>
      <c r="D30" s="444"/>
      <c r="E30" s="444"/>
      <c r="F30" s="444" t="s">
        <v>309</v>
      </c>
      <c r="G30" s="444"/>
      <c r="H30" s="444"/>
      <c r="I30" s="444"/>
      <c r="J30" s="444" t="s">
        <v>42</v>
      </c>
      <c r="K30" s="444"/>
      <c r="L30" s="444"/>
      <c r="M30" s="444"/>
      <c r="N30" s="19" t="s">
        <v>17</v>
      </c>
    </row>
    <row r="31" spans="1:16" s="22" customFormat="1" ht="28.5" x14ac:dyDescent="0.25">
      <c r="A31" s="442"/>
      <c r="B31" s="20" t="s">
        <v>3</v>
      </c>
      <c r="C31" s="295" t="s">
        <v>347</v>
      </c>
      <c r="D31" s="229" t="s">
        <v>420</v>
      </c>
      <c r="E31" s="20" t="s">
        <v>4</v>
      </c>
      <c r="F31" s="20" t="s">
        <v>3</v>
      </c>
      <c r="G31" s="295" t="s">
        <v>347</v>
      </c>
      <c r="H31" s="229" t="s">
        <v>420</v>
      </c>
      <c r="I31" s="20" t="s">
        <v>4</v>
      </c>
      <c r="J31" s="20" t="s">
        <v>3</v>
      </c>
      <c r="K31" s="295" t="s">
        <v>347</v>
      </c>
      <c r="L31" s="229" t="s">
        <v>420</v>
      </c>
      <c r="M31" s="20" t="s">
        <v>4</v>
      </c>
      <c r="N31" s="19" t="s">
        <v>17</v>
      </c>
      <c r="P31" s="165" t="s">
        <v>296</v>
      </c>
    </row>
    <row r="32" spans="1:16" s="22" customFormat="1" ht="18" x14ac:dyDescent="0.25">
      <c r="A32" s="215" t="s">
        <v>311</v>
      </c>
      <c r="B32" s="152">
        <v>0</v>
      </c>
      <c r="C32" s="152">
        <v>0</v>
      </c>
      <c r="D32" s="152">
        <v>0</v>
      </c>
      <c r="E32" s="217">
        <v>-53471</v>
      </c>
      <c r="F32" s="217">
        <v>0</v>
      </c>
      <c r="G32" s="217">
        <v>0</v>
      </c>
      <c r="H32" s="217">
        <v>0</v>
      </c>
      <c r="I32" s="217">
        <v>-6255</v>
      </c>
      <c r="J32" s="152">
        <f>B24+F24+B32+F32</f>
        <v>0</v>
      </c>
      <c r="K32" s="152">
        <f>C24+G24+C32+G32</f>
        <v>0</v>
      </c>
      <c r="L32" s="152">
        <f>D24+H24+D32+H32</f>
        <v>0</v>
      </c>
      <c r="M32" s="217">
        <f t="shared" ref="M32:M35" si="12">E24+I24+E32+I32</f>
        <v>-168377</v>
      </c>
      <c r="N32" s="19" t="s">
        <v>17</v>
      </c>
      <c r="P32" s="5" t="s">
        <v>170</v>
      </c>
    </row>
    <row r="33" spans="1:16" s="22" customFormat="1" ht="18" hidden="1" x14ac:dyDescent="0.25">
      <c r="A33" s="24" t="s">
        <v>13</v>
      </c>
      <c r="B33" s="29">
        <v>0</v>
      </c>
      <c r="C33" s="29">
        <v>0</v>
      </c>
      <c r="D33" s="29">
        <v>0</v>
      </c>
      <c r="E33" s="29">
        <v>0</v>
      </c>
      <c r="F33" s="29">
        <v>0</v>
      </c>
      <c r="G33" s="29">
        <v>0</v>
      </c>
      <c r="H33" s="29">
        <v>0</v>
      </c>
      <c r="I33" s="29">
        <v>0</v>
      </c>
      <c r="J33" s="29">
        <f t="shared" ref="J33:J35" si="13">B25+F25+B33+F33</f>
        <v>0</v>
      </c>
      <c r="K33" s="29">
        <f t="shared" ref="K33:K35" si="14">C25+G25+C33+G33</f>
        <v>0</v>
      </c>
      <c r="L33" s="29">
        <f t="shared" ref="L33:L35" si="15">D25+H25+D33+H33</f>
        <v>0</v>
      </c>
      <c r="M33" s="29">
        <f t="shared" si="12"/>
        <v>0</v>
      </c>
      <c r="N33" s="19" t="s">
        <v>17</v>
      </c>
      <c r="P33" s="5" t="s">
        <v>47</v>
      </c>
    </row>
    <row r="34" spans="1:16" s="22" customFormat="1" ht="18" hidden="1" x14ac:dyDescent="0.25">
      <c r="A34" s="24" t="s">
        <v>14</v>
      </c>
      <c r="B34" s="29">
        <v>0</v>
      </c>
      <c r="C34" s="29">
        <v>0</v>
      </c>
      <c r="D34" s="29">
        <v>0</v>
      </c>
      <c r="E34" s="29">
        <v>0</v>
      </c>
      <c r="F34" s="29">
        <v>0</v>
      </c>
      <c r="G34" s="29">
        <v>0</v>
      </c>
      <c r="H34" s="29">
        <v>0</v>
      </c>
      <c r="I34" s="29">
        <v>0</v>
      </c>
      <c r="J34" s="29">
        <f t="shared" si="13"/>
        <v>0</v>
      </c>
      <c r="K34" s="29">
        <f t="shared" si="14"/>
        <v>0</v>
      </c>
      <c r="L34" s="29">
        <f t="shared" si="15"/>
        <v>0</v>
      </c>
      <c r="M34" s="29">
        <f t="shared" si="12"/>
        <v>0</v>
      </c>
      <c r="N34" s="19" t="s">
        <v>17</v>
      </c>
    </row>
    <row r="35" spans="1:16" s="22" customFormat="1" ht="18" hidden="1" x14ac:dyDescent="0.25">
      <c r="A35" s="25" t="s">
        <v>44</v>
      </c>
      <c r="B35" s="154">
        <v>0</v>
      </c>
      <c r="C35" s="154">
        <v>0</v>
      </c>
      <c r="D35" s="154">
        <v>0</v>
      </c>
      <c r="E35" s="154">
        <v>0</v>
      </c>
      <c r="F35" s="154">
        <v>0</v>
      </c>
      <c r="G35" s="154">
        <v>0</v>
      </c>
      <c r="H35" s="154">
        <v>0</v>
      </c>
      <c r="I35" s="154">
        <v>0</v>
      </c>
      <c r="J35" s="154">
        <f t="shared" si="13"/>
        <v>0</v>
      </c>
      <c r="K35" s="154">
        <f t="shared" si="14"/>
        <v>0</v>
      </c>
      <c r="L35" s="154">
        <f t="shared" si="15"/>
        <v>0</v>
      </c>
      <c r="M35" s="154">
        <f t="shared" si="12"/>
        <v>0</v>
      </c>
      <c r="N35" s="19" t="s">
        <v>17</v>
      </c>
    </row>
    <row r="36" spans="1:16" s="22" customFormat="1" ht="18.75" thickBot="1" x14ac:dyDescent="0.3">
      <c r="A36" s="23" t="s">
        <v>46</v>
      </c>
      <c r="B36" s="36">
        <f>SUM(B32:B35)</f>
        <v>0</v>
      </c>
      <c r="C36" s="36">
        <f>SUM(C32:C35)</f>
        <v>0</v>
      </c>
      <c r="D36" s="36">
        <f t="shared" ref="D36" si="16">SUM(D32:D35)</f>
        <v>0</v>
      </c>
      <c r="E36" s="221">
        <f>SUM(E32:E35)</f>
        <v>-53471</v>
      </c>
      <c r="F36" s="36">
        <f>SUM(F32:F35)</f>
        <v>0</v>
      </c>
      <c r="G36" s="36">
        <f>SUM(G32:G35)</f>
        <v>0</v>
      </c>
      <c r="H36" s="36">
        <f t="shared" ref="H36" si="17">SUM(H32:H35)</f>
        <v>0</v>
      </c>
      <c r="I36" s="221">
        <f>SUM(I32:I35)</f>
        <v>-6255</v>
      </c>
      <c r="J36" s="36">
        <f>SUM(J32:J35)</f>
        <v>0</v>
      </c>
      <c r="K36" s="36">
        <f t="shared" ref="K36" si="18">SUM(K32:K35)</f>
        <v>0</v>
      </c>
      <c r="L36" s="36">
        <f t="shared" ref="L36" si="19">SUM(L32:L35)</f>
        <v>0</v>
      </c>
      <c r="M36" s="221">
        <f t="shared" ref="M36" si="20">SUM(M32:M35)</f>
        <v>-168377</v>
      </c>
      <c r="N36" s="19" t="s">
        <v>17</v>
      </c>
      <c r="P36" s="5"/>
    </row>
    <row r="37" spans="1:16" x14ac:dyDescent="0.2">
      <c r="N37" s="4" t="s">
        <v>18</v>
      </c>
    </row>
  </sheetData>
  <mergeCells count="19">
    <mergeCell ref="A30:A31"/>
    <mergeCell ref="B30:E30"/>
    <mergeCell ref="F30:I30"/>
    <mergeCell ref="J30:M30"/>
    <mergeCell ref="A1:M1"/>
    <mergeCell ref="A2:M2"/>
    <mergeCell ref="A3:M3"/>
    <mergeCell ref="B22:E22"/>
    <mergeCell ref="F6:I6"/>
    <mergeCell ref="A6:A7"/>
    <mergeCell ref="B6:E6"/>
    <mergeCell ref="A4:M4"/>
    <mergeCell ref="A14:A15"/>
    <mergeCell ref="B14:E14"/>
    <mergeCell ref="F14:I14"/>
    <mergeCell ref="F22:I22"/>
    <mergeCell ref="A22:A23"/>
    <mergeCell ref="A5:M5"/>
    <mergeCell ref="J14:M14"/>
  </mergeCells>
  <printOptions horizontalCentered="1"/>
  <pageMargins left="0.7" right="0.7" top="0.66" bottom="0.65" header="0.3" footer="0.3"/>
  <pageSetup scale="79"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80" zoomScaleNormal="100" zoomScaleSheetLayoutView="80" workbookViewId="0">
      <pane xSplit="2" ySplit="8" topLeftCell="E15" activePane="bottomRight" state="frozen"/>
      <selection pane="topRight" activeCell="C1" sqref="C1"/>
      <selection pane="bottomLeft" activeCell="A9" sqref="A9"/>
      <selection pane="bottomRight" activeCell="F15" sqref="F15"/>
    </sheetView>
  </sheetViews>
  <sheetFormatPr defaultColWidth="9.140625" defaultRowHeight="14.25" x14ac:dyDescent="0.2"/>
  <cols>
    <col min="1" max="1" width="7.42578125" style="165" bestFit="1" customWidth="1"/>
    <col min="2" max="2" width="58.140625" style="165" customWidth="1"/>
    <col min="3" max="3" width="8.7109375" style="165" customWidth="1"/>
    <col min="4" max="4" width="12.7109375" style="165" customWidth="1"/>
    <col min="5" max="5" width="8.7109375" style="165" customWidth="1"/>
    <col min="6" max="6" width="12.7109375" style="165" customWidth="1"/>
    <col min="7" max="7" width="8.7109375" style="165" customWidth="1"/>
    <col min="8" max="8" width="12.7109375" style="165" customWidth="1"/>
    <col min="9" max="9" width="8.7109375" style="165" customWidth="1"/>
    <col min="10" max="10" width="12.7109375" style="165" customWidth="1"/>
    <col min="11" max="11" width="8.7109375" style="165" customWidth="1"/>
    <col min="12" max="12" width="12.7109375" style="165" customWidth="1"/>
    <col min="13" max="13" width="8.7109375" style="165" customWidth="1"/>
    <col min="14" max="14" width="12.7109375" style="165" customWidth="1"/>
    <col min="15" max="15" width="14" style="4" bestFit="1" customWidth="1"/>
    <col min="16" max="16" width="21.85546875" style="165" customWidth="1"/>
    <col min="17" max="17" width="122.85546875" style="165" customWidth="1"/>
    <col min="18" max="19" width="8.28515625" style="165" customWidth="1"/>
    <col min="20" max="20" width="12.7109375" style="165" customWidth="1"/>
    <col min="21" max="22" width="8.28515625" style="165" customWidth="1"/>
    <col min="23" max="23" width="12.7109375" style="165" customWidth="1"/>
    <col min="24" max="16384" width="9.140625" style="165"/>
  </cols>
  <sheetData>
    <row r="1" spans="1:23" ht="18" x14ac:dyDescent="0.25">
      <c r="A1" s="433" t="s">
        <v>49</v>
      </c>
      <c r="B1" s="433"/>
      <c r="C1" s="433"/>
      <c r="D1" s="433"/>
      <c r="E1" s="433"/>
      <c r="F1" s="433"/>
      <c r="G1" s="433"/>
      <c r="H1" s="433"/>
      <c r="I1" s="433"/>
      <c r="J1" s="433"/>
      <c r="K1" s="433"/>
      <c r="L1" s="433"/>
      <c r="M1" s="433"/>
      <c r="N1" s="433"/>
      <c r="O1" s="63" t="s">
        <v>17</v>
      </c>
      <c r="P1" s="6"/>
      <c r="Q1" s="108" t="s">
        <v>25</v>
      </c>
      <c r="R1" s="6"/>
      <c r="S1" s="6"/>
      <c r="T1" s="6"/>
      <c r="U1" s="6"/>
      <c r="V1" s="6"/>
      <c r="W1" s="6"/>
    </row>
    <row r="2" spans="1:23" ht="15" x14ac:dyDescent="0.2">
      <c r="A2" s="434" t="s">
        <v>305</v>
      </c>
      <c r="B2" s="434"/>
      <c r="C2" s="434"/>
      <c r="D2" s="434"/>
      <c r="E2" s="434"/>
      <c r="F2" s="434"/>
      <c r="G2" s="434"/>
      <c r="H2" s="434"/>
      <c r="I2" s="434"/>
      <c r="J2" s="434"/>
      <c r="K2" s="434"/>
      <c r="L2" s="434"/>
      <c r="M2" s="434"/>
      <c r="N2" s="434"/>
      <c r="O2" s="63" t="s">
        <v>17</v>
      </c>
      <c r="P2" s="7"/>
      <c r="Q2" s="109"/>
      <c r="R2" s="7"/>
      <c r="S2" s="7"/>
      <c r="T2" s="7"/>
      <c r="U2" s="7"/>
      <c r="V2" s="7"/>
      <c r="W2" s="7"/>
    </row>
    <row r="3" spans="1:23" ht="15" x14ac:dyDescent="0.25">
      <c r="A3" s="435" t="s">
        <v>1</v>
      </c>
      <c r="B3" s="435"/>
      <c r="C3" s="435"/>
      <c r="D3" s="435"/>
      <c r="E3" s="435"/>
      <c r="F3" s="435"/>
      <c r="G3" s="435"/>
      <c r="H3" s="435"/>
      <c r="I3" s="435"/>
      <c r="J3" s="435"/>
      <c r="K3" s="435"/>
      <c r="L3" s="435"/>
      <c r="M3" s="435"/>
      <c r="N3" s="435"/>
      <c r="O3" s="63" t="s">
        <v>17</v>
      </c>
      <c r="P3" s="189"/>
      <c r="Q3" s="109" t="s">
        <v>201</v>
      </c>
      <c r="R3" s="189"/>
      <c r="S3" s="189"/>
      <c r="T3" s="189"/>
      <c r="U3" s="189"/>
      <c r="V3" s="189"/>
      <c r="W3" s="189"/>
    </row>
    <row r="4" spans="1:23" x14ac:dyDescent="0.2">
      <c r="A4" s="450" t="s">
        <v>2</v>
      </c>
      <c r="B4" s="450"/>
      <c r="C4" s="450"/>
      <c r="D4" s="450"/>
      <c r="E4" s="450"/>
      <c r="F4" s="450"/>
      <c r="G4" s="450"/>
      <c r="H4" s="450"/>
      <c r="I4" s="450"/>
      <c r="J4" s="450"/>
      <c r="K4" s="450"/>
      <c r="L4" s="450"/>
      <c r="M4" s="450"/>
      <c r="N4" s="450"/>
      <c r="O4" s="63" t="s">
        <v>17</v>
      </c>
      <c r="P4" s="188"/>
      <c r="Q4" s="109" t="s">
        <v>200</v>
      </c>
      <c r="R4" s="188"/>
      <c r="S4" s="188"/>
      <c r="T4" s="188"/>
      <c r="U4" s="188"/>
      <c r="V4" s="188"/>
      <c r="W4" s="188"/>
    </row>
    <row r="5" spans="1:23" ht="15.75" thickBot="1" x14ac:dyDescent="0.3">
      <c r="A5" s="435"/>
      <c r="B5" s="435"/>
      <c r="C5" s="435"/>
      <c r="D5" s="435"/>
      <c r="E5" s="435"/>
      <c r="F5" s="435"/>
      <c r="G5" s="435"/>
      <c r="H5" s="435"/>
      <c r="I5" s="435"/>
      <c r="J5" s="435"/>
      <c r="K5" s="435"/>
      <c r="L5" s="435"/>
      <c r="M5" s="435"/>
      <c r="N5" s="435"/>
      <c r="O5" s="63" t="s">
        <v>17</v>
      </c>
      <c r="P5" s="188"/>
      <c r="Q5" s="110"/>
      <c r="R5" s="188"/>
      <c r="S5" s="188"/>
      <c r="T5" s="188"/>
      <c r="U5" s="188"/>
      <c r="V5" s="188"/>
      <c r="W5" s="188"/>
    </row>
    <row r="6" spans="1:23" ht="15" thickBot="1" x14ac:dyDescent="0.25">
      <c r="A6" s="449"/>
      <c r="B6" s="449"/>
      <c r="C6" s="449"/>
      <c r="D6" s="449"/>
      <c r="E6" s="449"/>
      <c r="F6" s="449"/>
      <c r="G6" s="449"/>
      <c r="H6" s="449"/>
      <c r="I6" s="449"/>
      <c r="J6" s="449"/>
      <c r="K6" s="449"/>
      <c r="L6" s="449"/>
      <c r="M6" s="449"/>
      <c r="N6" s="449"/>
      <c r="O6" s="63" t="s">
        <v>17</v>
      </c>
      <c r="P6" s="188"/>
      <c r="Q6" s="228"/>
      <c r="R6" s="188"/>
      <c r="S6" s="188"/>
      <c r="T6" s="188"/>
      <c r="U6" s="188"/>
      <c r="V6" s="188"/>
      <c r="W6" s="188"/>
    </row>
    <row r="7" spans="1:23" ht="46.5" customHeight="1" x14ac:dyDescent="0.2">
      <c r="A7" s="452" t="s">
        <v>50</v>
      </c>
      <c r="B7" s="453"/>
      <c r="C7" s="444" t="s">
        <v>259</v>
      </c>
      <c r="D7" s="444"/>
      <c r="E7" s="444" t="s">
        <v>297</v>
      </c>
      <c r="F7" s="444"/>
      <c r="G7" s="444" t="s">
        <v>256</v>
      </c>
      <c r="H7" s="444"/>
      <c r="I7" s="444" t="s">
        <v>261</v>
      </c>
      <c r="J7" s="444"/>
      <c r="K7" s="444" t="s">
        <v>262</v>
      </c>
      <c r="L7" s="444"/>
      <c r="M7" s="444" t="s">
        <v>257</v>
      </c>
      <c r="N7" s="445"/>
      <c r="O7" s="63" t="s">
        <v>17</v>
      </c>
      <c r="Q7" s="165" t="s">
        <v>220</v>
      </c>
    </row>
    <row r="8" spans="1:23" ht="42.75" x14ac:dyDescent="0.2">
      <c r="A8" s="454"/>
      <c r="B8" s="455"/>
      <c r="C8" s="229" t="s">
        <v>52</v>
      </c>
      <c r="D8" s="229" t="s">
        <v>51</v>
      </c>
      <c r="E8" s="229" t="s">
        <v>52</v>
      </c>
      <c r="F8" s="229" t="s">
        <v>51</v>
      </c>
      <c r="G8" s="229" t="s">
        <v>52</v>
      </c>
      <c r="H8" s="229" t="s">
        <v>51</v>
      </c>
      <c r="I8" s="229" t="s">
        <v>52</v>
      </c>
      <c r="J8" s="229" t="s">
        <v>51</v>
      </c>
      <c r="K8" s="229" t="s">
        <v>52</v>
      </c>
      <c r="L8" s="229" t="s">
        <v>51</v>
      </c>
      <c r="M8" s="229" t="s">
        <v>52</v>
      </c>
      <c r="N8" s="230" t="s">
        <v>51</v>
      </c>
      <c r="O8" s="63" t="s">
        <v>17</v>
      </c>
      <c r="Q8" s="165" t="s">
        <v>64</v>
      </c>
    </row>
    <row r="9" spans="1:23" ht="45" x14ac:dyDescent="0.2">
      <c r="A9" s="34" t="s">
        <v>53</v>
      </c>
      <c r="B9" s="37" t="s">
        <v>55</v>
      </c>
      <c r="C9" s="231"/>
      <c r="D9" s="231"/>
      <c r="E9" s="232"/>
      <c r="F9" s="231"/>
      <c r="G9" s="232"/>
      <c r="H9" s="231"/>
      <c r="I9" s="231"/>
      <c r="J9" s="231"/>
      <c r="K9" s="231"/>
      <c r="L9" s="231"/>
      <c r="M9" s="231"/>
      <c r="N9" s="233"/>
      <c r="O9" s="63" t="s">
        <v>17</v>
      </c>
    </row>
    <row r="10" spans="1:23" ht="42.75" x14ac:dyDescent="0.2">
      <c r="A10" s="234">
        <v>1.1000000000000001</v>
      </c>
      <c r="B10" s="207" t="s">
        <v>279</v>
      </c>
      <c r="C10" s="177">
        <v>12757</v>
      </c>
      <c r="D10" s="235">
        <v>2674978</v>
      </c>
      <c r="E10" s="236">
        <f>36124*C10/C24</f>
        <v>12912.128551414962</v>
      </c>
      <c r="F10" s="177">
        <f>D10*8245802/D24</f>
        <v>2947430.2539780745</v>
      </c>
      <c r="G10" s="236">
        <v>13010</v>
      </c>
      <c r="H10" s="177">
        <f>D10*8428388/D24</f>
        <v>3012694.9183918987</v>
      </c>
      <c r="I10" s="177">
        <f>7*C10/C24</f>
        <v>2.5020734099187449</v>
      </c>
      <c r="J10" s="177">
        <f>D10*18208/D24</f>
        <v>6508.379665729638</v>
      </c>
      <c r="K10" s="177">
        <v>0</v>
      </c>
      <c r="L10" s="177">
        <f>D10*-168377/D24</f>
        <v>-60185.711938519293</v>
      </c>
      <c r="M10" s="177">
        <f>G10+I10+K10</f>
        <v>13012.502073409918</v>
      </c>
      <c r="N10" s="173">
        <f t="shared" ref="N10:N12" si="0">H10+J10+L10</f>
        <v>2959017.5861191088</v>
      </c>
      <c r="O10" s="63" t="s">
        <v>17</v>
      </c>
      <c r="P10" s="363"/>
    </row>
    <row r="11" spans="1:23" x14ac:dyDescent="0.2">
      <c r="A11" s="234">
        <v>1.2</v>
      </c>
      <c r="B11" s="237" t="s">
        <v>54</v>
      </c>
      <c r="C11" s="177">
        <v>0</v>
      </c>
      <c r="D11" s="177">
        <v>0</v>
      </c>
      <c r="E11" s="236">
        <v>0</v>
      </c>
      <c r="F11" s="177">
        <v>0</v>
      </c>
      <c r="G11" s="236">
        <v>0</v>
      </c>
      <c r="H11" s="177">
        <v>0</v>
      </c>
      <c r="I11" s="177">
        <v>0</v>
      </c>
      <c r="J11" s="177">
        <v>0</v>
      </c>
      <c r="K11" s="177">
        <v>0</v>
      </c>
      <c r="L11" s="177">
        <v>0</v>
      </c>
      <c r="M11" s="177">
        <f t="shared" ref="M11:M12" si="1">G11+I11+K11</f>
        <v>0</v>
      </c>
      <c r="N11" s="173">
        <f t="shared" si="0"/>
        <v>0</v>
      </c>
      <c r="O11" s="63" t="s">
        <v>17</v>
      </c>
      <c r="P11" s="363"/>
    </row>
    <row r="12" spans="1:23" ht="57" x14ac:dyDescent="0.2">
      <c r="A12" s="234">
        <v>1.3</v>
      </c>
      <c r="B12" s="207" t="s">
        <v>280</v>
      </c>
      <c r="C12" s="177">
        <v>6859</v>
      </c>
      <c r="D12" s="177">
        <v>1438250</v>
      </c>
      <c r="E12" s="236">
        <f>36124*C12/C24</f>
        <v>6942.4072849537688</v>
      </c>
      <c r="F12" s="177">
        <f>D12*8245802/D24</f>
        <v>1584738.8512294178</v>
      </c>
      <c r="G12" s="236">
        <v>6995</v>
      </c>
      <c r="H12" s="177">
        <f>D12*8428388/D24</f>
        <v>1619829.5710757801</v>
      </c>
      <c r="I12" s="177">
        <f>7*C12/C24</f>
        <v>1.3452787895769123</v>
      </c>
      <c r="J12" s="177">
        <f>18208*D12/D24</f>
        <v>3499.347304626674</v>
      </c>
      <c r="K12" s="177">
        <v>0</v>
      </c>
      <c r="L12" s="177">
        <f>D12*-168377/D24</f>
        <v>-32359.929762254258</v>
      </c>
      <c r="M12" s="177">
        <f t="shared" si="1"/>
        <v>6996.3452787895767</v>
      </c>
      <c r="N12" s="173">
        <f t="shared" si="0"/>
        <v>1590968.9886181524</v>
      </c>
      <c r="O12" s="63" t="s">
        <v>17</v>
      </c>
      <c r="P12" s="363"/>
    </row>
    <row r="13" spans="1:23" ht="15" x14ac:dyDescent="0.25">
      <c r="A13" s="238"/>
      <c r="B13" s="38" t="s">
        <v>59</v>
      </c>
      <c r="C13" s="31">
        <f t="shared" ref="C13:N13" si="2">SUM(C10:C12)</f>
        <v>19616</v>
      </c>
      <c r="D13" s="31">
        <f t="shared" si="2"/>
        <v>4113228</v>
      </c>
      <c r="E13" s="239">
        <f t="shared" si="2"/>
        <v>19854.53583636873</v>
      </c>
      <c r="F13" s="31">
        <f t="shared" si="2"/>
        <v>4532169.1052074926</v>
      </c>
      <c r="G13" s="239">
        <f t="shared" si="2"/>
        <v>20005</v>
      </c>
      <c r="H13" s="31">
        <f t="shared" si="2"/>
        <v>4632524.4894676786</v>
      </c>
      <c r="I13" s="31">
        <f t="shared" si="2"/>
        <v>3.8473521994956572</v>
      </c>
      <c r="J13" s="31">
        <f t="shared" si="2"/>
        <v>10007.726970356312</v>
      </c>
      <c r="K13" s="31">
        <f t="shared" si="2"/>
        <v>0</v>
      </c>
      <c r="L13" s="31">
        <f t="shared" si="2"/>
        <v>-92545.641700773558</v>
      </c>
      <c r="M13" s="31">
        <f t="shared" si="2"/>
        <v>20008.847352199497</v>
      </c>
      <c r="N13" s="31">
        <f t="shared" si="2"/>
        <v>4549986.574737261</v>
      </c>
      <c r="O13" s="63" t="s">
        <v>17</v>
      </c>
      <c r="P13" s="363"/>
      <c r="Q13" s="5"/>
    </row>
    <row r="14" spans="1:23" ht="30" x14ac:dyDescent="0.2">
      <c r="A14" s="34" t="s">
        <v>56</v>
      </c>
      <c r="B14" s="37" t="s">
        <v>57</v>
      </c>
      <c r="C14" s="231"/>
      <c r="D14" s="231"/>
      <c r="E14" s="232"/>
      <c r="F14" s="231"/>
      <c r="G14" s="232"/>
      <c r="H14" s="231"/>
      <c r="I14" s="231"/>
      <c r="J14" s="231"/>
      <c r="K14" s="231"/>
      <c r="L14" s="231"/>
      <c r="M14" s="231"/>
      <c r="N14" s="233"/>
      <c r="O14" s="63" t="s">
        <v>17</v>
      </c>
    </row>
    <row r="15" spans="1:23" ht="57" x14ac:dyDescent="0.2">
      <c r="A15" s="234">
        <v>2.1</v>
      </c>
      <c r="B15" s="207" t="s">
        <v>281</v>
      </c>
      <c r="C15" s="177">
        <v>4290</v>
      </c>
      <c r="D15" s="177">
        <v>899592</v>
      </c>
      <c r="E15" s="236">
        <f>36124*C15/C24</f>
        <v>4342.167553936677</v>
      </c>
      <c r="F15" s="177">
        <f>D15*8245802/D24</f>
        <v>991217.37712857593</v>
      </c>
      <c r="G15" s="236">
        <v>4375</v>
      </c>
      <c r="H15" s="177">
        <f>8428388*D15/D24</f>
        <v>1013165.8081023488</v>
      </c>
      <c r="I15" s="177">
        <f>7*C15/C24</f>
        <v>0.84141216026898291</v>
      </c>
      <c r="J15" s="177">
        <f>18208*D15/D24</f>
        <v>2188.7605356952681</v>
      </c>
      <c r="K15" s="177">
        <v>0</v>
      </c>
      <c r="L15" s="177">
        <f>-168377*D15/D24</f>
        <v>-20240.385144923228</v>
      </c>
      <c r="M15" s="177">
        <f>G15+I15+K15</f>
        <v>4375.8414121602691</v>
      </c>
      <c r="N15" s="173">
        <f t="shared" ref="N15:N19" si="3">H15+J15+L15</f>
        <v>995114.18349312083</v>
      </c>
      <c r="O15" s="63" t="s">
        <v>17</v>
      </c>
      <c r="P15" s="364"/>
    </row>
    <row r="16" spans="1:23" ht="48.75" customHeight="1" x14ac:dyDescent="0.2">
      <c r="A16" s="234">
        <v>2.2000000000000002</v>
      </c>
      <c r="B16" s="207" t="s">
        <v>282</v>
      </c>
      <c r="C16" s="177">
        <v>1523</v>
      </c>
      <c r="D16" s="177">
        <v>319369</v>
      </c>
      <c r="E16" s="236">
        <f>36124*C16/C24</f>
        <v>1541.5200896609695</v>
      </c>
      <c r="F16" s="177">
        <f>D16*8245802/D24</f>
        <v>351897.41851436673</v>
      </c>
      <c r="G16" s="236">
        <v>1553</v>
      </c>
      <c r="H16" s="177">
        <f>D16*8428388/D24</f>
        <v>359689.44918122777</v>
      </c>
      <c r="I16" s="177">
        <f>7*C16/C24</f>
        <v>0.29871112356402352</v>
      </c>
      <c r="J16" s="177">
        <f>18208*D16/D24</f>
        <v>777.04366371028425</v>
      </c>
      <c r="K16" s="177">
        <v>0</v>
      </c>
      <c r="L16" s="177">
        <f>-168377*D16/D24</f>
        <v>-7185.6481197576077</v>
      </c>
      <c r="M16" s="177">
        <f t="shared" ref="M16:M19" si="4">G16+I16+K16</f>
        <v>1553.2987111235641</v>
      </c>
      <c r="N16" s="173">
        <f t="shared" si="3"/>
        <v>353280.84472518048</v>
      </c>
      <c r="O16" s="63" t="s">
        <v>17</v>
      </c>
      <c r="P16" s="364"/>
    </row>
    <row r="17" spans="1:17" ht="42.75" x14ac:dyDescent="0.2">
      <c r="A17" s="234">
        <v>2.2999999999999998</v>
      </c>
      <c r="B17" s="207" t="s">
        <v>283</v>
      </c>
      <c r="C17" s="177">
        <v>0</v>
      </c>
      <c r="D17" s="177">
        <v>0</v>
      </c>
      <c r="E17" s="236">
        <v>0</v>
      </c>
      <c r="F17" s="177">
        <v>0</v>
      </c>
      <c r="G17" s="236">
        <v>0</v>
      </c>
      <c r="H17" s="177">
        <v>0</v>
      </c>
      <c r="I17" s="177">
        <v>0</v>
      </c>
      <c r="J17" s="177">
        <v>0</v>
      </c>
      <c r="K17" s="177">
        <v>0</v>
      </c>
      <c r="L17" s="177">
        <v>0</v>
      </c>
      <c r="M17" s="177">
        <f t="shared" si="4"/>
        <v>0</v>
      </c>
      <c r="N17" s="173">
        <f t="shared" si="3"/>
        <v>0</v>
      </c>
      <c r="O17" s="63" t="s">
        <v>17</v>
      </c>
      <c r="P17" s="364"/>
    </row>
    <row r="18" spans="1:17" ht="28.5" x14ac:dyDescent="0.2">
      <c r="A18" s="234">
        <v>2.4</v>
      </c>
      <c r="B18" s="207" t="s">
        <v>284</v>
      </c>
      <c r="C18" s="177">
        <v>6439</v>
      </c>
      <c r="D18" s="177">
        <v>1350149</v>
      </c>
      <c r="E18" s="236">
        <f>36124*C18/C24</f>
        <v>6517.2999719809468</v>
      </c>
      <c r="F18" s="177">
        <f>D18*8245802/D24</f>
        <v>1487664.5751771578</v>
      </c>
      <c r="G18" s="236">
        <v>6566</v>
      </c>
      <c r="H18" s="177">
        <f>D18*8428388/D24</f>
        <v>1520605.7886726183</v>
      </c>
      <c r="I18" s="177">
        <f>7*C18/C24</f>
        <v>1.2629027738862426</v>
      </c>
      <c r="J18" s="177">
        <f>18208*D18/D24</f>
        <v>3284.9923615466014</v>
      </c>
      <c r="K18" s="177">
        <v>0</v>
      </c>
      <c r="L18" s="177">
        <f>-168377*D18/D24</f>
        <v>-30377.69984952395</v>
      </c>
      <c r="M18" s="177">
        <f t="shared" si="4"/>
        <v>6567.2629027738858</v>
      </c>
      <c r="N18" s="173">
        <f t="shared" si="3"/>
        <v>1493513.081184641</v>
      </c>
      <c r="O18" s="63" t="s">
        <v>17</v>
      </c>
      <c r="P18" s="364"/>
    </row>
    <row r="19" spans="1:17" ht="28.5" x14ac:dyDescent="0.2">
      <c r="A19" s="234">
        <v>2.5</v>
      </c>
      <c r="B19" s="207" t="s">
        <v>285</v>
      </c>
      <c r="C19" s="177">
        <v>590</v>
      </c>
      <c r="D19" s="177">
        <v>123714</v>
      </c>
      <c r="E19" s="236">
        <f>36124*C19/C24</f>
        <v>597.17455869991591</v>
      </c>
      <c r="F19" s="177">
        <f>D19*8245802/D24</f>
        <v>136314.53658334518</v>
      </c>
      <c r="G19" s="236">
        <v>602</v>
      </c>
      <c r="H19" s="177">
        <f>D19*8428388/D24</f>
        <v>139332.93624618047</v>
      </c>
      <c r="I19" s="177">
        <f>7*C19/C24</f>
        <v>0.11571868870832167</v>
      </c>
      <c r="J19" s="177">
        <f>18208*D19/D24</f>
        <v>301.00347814676473</v>
      </c>
      <c r="K19" s="177">
        <v>0</v>
      </c>
      <c r="L19" s="177">
        <f>-168377*D19/D24</f>
        <v>-2783.5051977107755</v>
      </c>
      <c r="M19" s="177">
        <f t="shared" si="4"/>
        <v>602.11571868870828</v>
      </c>
      <c r="N19" s="173">
        <f t="shared" si="3"/>
        <v>136850.43452661647</v>
      </c>
      <c r="O19" s="63" t="s">
        <v>17</v>
      </c>
      <c r="P19" s="364"/>
    </row>
    <row r="20" spans="1:17" ht="15" x14ac:dyDescent="0.25">
      <c r="A20" s="238"/>
      <c r="B20" s="38" t="s">
        <v>58</v>
      </c>
      <c r="C20" s="31">
        <f t="shared" ref="C20:N20" si="5">SUM(C15:C19)</f>
        <v>12842</v>
      </c>
      <c r="D20" s="31">
        <f t="shared" si="5"/>
        <v>2692824</v>
      </c>
      <c r="E20" s="239">
        <f t="shared" si="5"/>
        <v>12998.16217427851</v>
      </c>
      <c r="F20" s="31">
        <f t="shared" si="5"/>
        <v>2967093.9074034458</v>
      </c>
      <c r="G20" s="239">
        <f t="shared" si="5"/>
        <v>13096</v>
      </c>
      <c r="H20" s="31">
        <f t="shared" si="5"/>
        <v>3032793.9822023753</v>
      </c>
      <c r="I20" s="31">
        <f t="shared" si="5"/>
        <v>2.5187447464275707</v>
      </c>
      <c r="J20" s="31">
        <f t="shared" si="5"/>
        <v>6551.8000390989191</v>
      </c>
      <c r="K20" s="31">
        <f t="shared" si="5"/>
        <v>0</v>
      </c>
      <c r="L20" s="31">
        <f t="shared" si="5"/>
        <v>-60587.238311915557</v>
      </c>
      <c r="M20" s="31">
        <f t="shared" si="5"/>
        <v>13098.518744746429</v>
      </c>
      <c r="N20" s="32">
        <f t="shared" si="5"/>
        <v>2978758.5439295592</v>
      </c>
      <c r="O20" s="63" t="s">
        <v>17</v>
      </c>
      <c r="P20" s="364"/>
      <c r="Q20" s="5"/>
    </row>
    <row r="21" spans="1:17" ht="45" x14ac:dyDescent="0.2">
      <c r="A21" s="34" t="s">
        <v>60</v>
      </c>
      <c r="B21" s="37" t="s">
        <v>61</v>
      </c>
      <c r="C21" s="231"/>
      <c r="D21" s="231"/>
      <c r="E21" s="232"/>
      <c r="F21" s="231"/>
      <c r="G21" s="232"/>
      <c r="H21" s="231"/>
      <c r="I21" s="231"/>
      <c r="J21" s="231"/>
      <c r="K21" s="231"/>
      <c r="L21" s="231"/>
      <c r="M21" s="231"/>
      <c r="N21" s="233"/>
      <c r="O21" s="63" t="s">
        <v>17</v>
      </c>
    </row>
    <row r="22" spans="1:17" ht="57" x14ac:dyDescent="0.25">
      <c r="A22" s="234">
        <v>3.1</v>
      </c>
      <c r="B22" s="207" t="s">
        <v>286</v>
      </c>
      <c r="C22" s="177">
        <v>3232</v>
      </c>
      <c r="D22" s="177">
        <v>677531</v>
      </c>
      <c r="E22" s="236">
        <f>36124*C22/C24</f>
        <v>3271.3019893527598</v>
      </c>
      <c r="F22" s="177">
        <f>D22*8245802/D24</f>
        <v>746538.98738906218</v>
      </c>
      <c r="G22" s="236">
        <v>3296</v>
      </c>
      <c r="H22" s="177">
        <f>D22*8428388/D24</f>
        <v>763069.52832994575</v>
      </c>
      <c r="I22" s="177">
        <f>7*C22/C24</f>
        <v>0.63390305407677217</v>
      </c>
      <c r="J22" s="177">
        <f>18208*D22/D24</f>
        <v>1648.4729905447698</v>
      </c>
      <c r="K22" s="177">
        <v>0</v>
      </c>
      <c r="L22" s="177">
        <f>-168377*D22/D24</f>
        <v>-15244.119987310891</v>
      </c>
      <c r="M22" s="177">
        <f t="shared" ref="M22:N22" si="6">G22+I22+K22</f>
        <v>3296.6339030540767</v>
      </c>
      <c r="N22" s="173">
        <f t="shared" si="6"/>
        <v>749473.88133317966</v>
      </c>
      <c r="O22" s="63" t="s">
        <v>17</v>
      </c>
      <c r="Q22" s="5"/>
    </row>
    <row r="23" spans="1:17" ht="15" x14ac:dyDescent="0.25">
      <c r="A23" s="238"/>
      <c r="B23" s="33" t="s">
        <v>62</v>
      </c>
      <c r="C23" s="31">
        <f t="shared" ref="C23:N23" si="7">SUM(C22:C22)</f>
        <v>3232</v>
      </c>
      <c r="D23" s="31">
        <f t="shared" si="7"/>
        <v>677531</v>
      </c>
      <c r="E23" s="239">
        <f t="shared" si="7"/>
        <v>3271.3019893527598</v>
      </c>
      <c r="F23" s="31">
        <f t="shared" si="7"/>
        <v>746538.98738906218</v>
      </c>
      <c r="G23" s="239">
        <f t="shared" si="7"/>
        <v>3296</v>
      </c>
      <c r="H23" s="31">
        <f t="shared" si="7"/>
        <v>763069.52832994575</v>
      </c>
      <c r="I23" s="31">
        <f t="shared" si="7"/>
        <v>0.63390305407677217</v>
      </c>
      <c r="J23" s="31">
        <f t="shared" si="7"/>
        <v>1648.4729905447698</v>
      </c>
      <c r="K23" s="31">
        <f t="shared" si="7"/>
        <v>0</v>
      </c>
      <c r="L23" s="31">
        <f t="shared" si="7"/>
        <v>-15244.119987310891</v>
      </c>
      <c r="M23" s="31">
        <f t="shared" si="7"/>
        <v>3296.6339030540767</v>
      </c>
      <c r="N23" s="31">
        <f t="shared" si="7"/>
        <v>749473.88133317966</v>
      </c>
      <c r="O23" s="63" t="s">
        <v>17</v>
      </c>
      <c r="P23" s="365"/>
    </row>
    <row r="24" spans="1:17" ht="15.75" thickBot="1" x14ac:dyDescent="0.3">
      <c r="A24" s="240"/>
      <c r="B24" s="35" t="s">
        <v>63</v>
      </c>
      <c r="C24" s="36">
        <f t="shared" ref="C24:N24" si="8">C23+C20+C13</f>
        <v>35690</v>
      </c>
      <c r="D24" s="36">
        <f t="shared" si="8"/>
        <v>7483583</v>
      </c>
      <c r="E24" s="241">
        <f t="shared" si="8"/>
        <v>36124</v>
      </c>
      <c r="F24" s="36">
        <f t="shared" si="8"/>
        <v>8245802</v>
      </c>
      <c r="G24" s="241">
        <f t="shared" si="8"/>
        <v>36397</v>
      </c>
      <c r="H24" s="36">
        <f t="shared" si="8"/>
        <v>8428388</v>
      </c>
      <c r="I24" s="36">
        <f t="shared" si="8"/>
        <v>7</v>
      </c>
      <c r="J24" s="36">
        <f t="shared" si="8"/>
        <v>18208</v>
      </c>
      <c r="K24" s="36">
        <f t="shared" si="8"/>
        <v>0</v>
      </c>
      <c r="L24" s="36">
        <f t="shared" si="8"/>
        <v>-168377</v>
      </c>
      <c r="M24" s="36">
        <f t="shared" si="8"/>
        <v>36404</v>
      </c>
      <c r="N24" s="156">
        <f t="shared" si="8"/>
        <v>8278219</v>
      </c>
      <c r="O24" s="63" t="s">
        <v>17</v>
      </c>
      <c r="Q24" s="5" t="s">
        <v>219</v>
      </c>
    </row>
    <row r="25" spans="1:17" x14ac:dyDescent="0.2">
      <c r="O25" s="63" t="s">
        <v>17</v>
      </c>
    </row>
    <row r="26" spans="1:17" ht="15" x14ac:dyDescent="0.2">
      <c r="A26" s="451" t="s">
        <v>451</v>
      </c>
      <c r="B26" s="451"/>
      <c r="C26" s="451"/>
      <c r="D26" s="451"/>
      <c r="E26" s="451"/>
      <c r="F26" s="451"/>
      <c r="G26" s="451"/>
      <c r="H26" s="451"/>
      <c r="I26" s="451"/>
      <c r="J26" s="451"/>
      <c r="K26" s="451"/>
      <c r="L26" s="451"/>
      <c r="M26" s="451"/>
      <c r="N26" s="451"/>
      <c r="O26" s="63" t="s">
        <v>17</v>
      </c>
    </row>
    <row r="27" spans="1:17" x14ac:dyDescent="0.2">
      <c r="O27" s="63" t="s">
        <v>18</v>
      </c>
    </row>
    <row r="28" spans="1:17" x14ac:dyDescent="0.2">
      <c r="A28" s="185"/>
    </row>
  </sheetData>
  <mergeCells count="14">
    <mergeCell ref="M7:N7"/>
    <mergeCell ref="A26:N26"/>
    <mergeCell ref="A7:B8"/>
    <mergeCell ref="C7:D7"/>
    <mergeCell ref="E7:F7"/>
    <mergeCell ref="G7:H7"/>
    <mergeCell ref="I7:J7"/>
    <mergeCell ref="K7:L7"/>
    <mergeCell ref="A6:N6"/>
    <mergeCell ref="A1:N1"/>
    <mergeCell ref="A2:N2"/>
    <mergeCell ref="A3:N3"/>
    <mergeCell ref="A4:N4"/>
    <mergeCell ref="A5:N5"/>
  </mergeCells>
  <printOptions horizontalCentered="1"/>
  <pageMargins left="0.7" right="0.7" top="0.75" bottom="0.75" header="0.3" footer="0.3"/>
  <pageSetup scale="62" fitToHeight="0"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view="pageBreakPreview" zoomScale="90" zoomScaleNormal="100" zoomScaleSheetLayoutView="90" workbookViewId="0">
      <pane xSplit="4" ySplit="6" topLeftCell="E46" activePane="bottomRight" state="frozen"/>
      <selection activeCell="P55" sqref="P55"/>
      <selection pane="topRight" activeCell="P55" sqref="P55"/>
      <selection pane="bottomLeft" activeCell="P55" sqref="P55"/>
      <selection pane="bottomRight" activeCell="J54" sqref="J54"/>
    </sheetView>
  </sheetViews>
  <sheetFormatPr defaultColWidth="9.140625" defaultRowHeight="14.25" x14ac:dyDescent="0.2"/>
  <cols>
    <col min="1" max="1" width="3.7109375" style="165" customWidth="1"/>
    <col min="2" max="2" width="53.140625" style="165" customWidth="1"/>
    <col min="3" max="4" width="14.7109375" style="165" customWidth="1"/>
    <col min="5" max="5" width="8.7109375" style="165" customWidth="1"/>
    <col min="6" max="6" width="9.5703125" style="165" customWidth="1"/>
    <col min="7" max="7" width="12.7109375" style="165" customWidth="1"/>
    <col min="8" max="8" width="14" style="45" bestFit="1" customWidth="1"/>
    <col min="9" max="9" width="4.5703125" style="165" customWidth="1"/>
    <col min="10" max="10" width="122.85546875" style="185" customWidth="1"/>
    <col min="11" max="12" width="8.28515625" style="165" customWidth="1"/>
    <col min="13" max="13" width="12.7109375" style="165" customWidth="1"/>
    <col min="14" max="15" width="8.28515625" style="165" customWidth="1"/>
    <col min="16" max="16" width="12.7109375" style="165" customWidth="1"/>
    <col min="17" max="16384" width="9.140625" style="165"/>
  </cols>
  <sheetData>
    <row r="1" spans="1:16" ht="18" x14ac:dyDescent="0.25">
      <c r="A1" s="469" t="s">
        <v>184</v>
      </c>
      <c r="B1" s="469"/>
      <c r="C1" s="469"/>
      <c r="D1" s="469"/>
      <c r="E1" s="469"/>
      <c r="F1" s="469"/>
      <c r="G1" s="469"/>
      <c r="H1" s="40" t="s">
        <v>17</v>
      </c>
      <c r="I1" s="6"/>
      <c r="J1" s="108" t="s">
        <v>25</v>
      </c>
      <c r="K1" s="6"/>
      <c r="L1" s="6"/>
      <c r="M1" s="6"/>
      <c r="N1" s="6"/>
      <c r="O1" s="6"/>
      <c r="P1" s="6"/>
    </row>
    <row r="2" spans="1:16" ht="15" x14ac:dyDescent="0.2">
      <c r="A2" s="450" t="s">
        <v>305</v>
      </c>
      <c r="B2" s="450"/>
      <c r="C2" s="450"/>
      <c r="D2" s="450"/>
      <c r="E2" s="450"/>
      <c r="F2" s="450"/>
      <c r="G2" s="450"/>
      <c r="H2" s="40" t="s">
        <v>17</v>
      </c>
      <c r="I2" s="7"/>
      <c r="J2" s="109"/>
      <c r="K2" s="7"/>
      <c r="L2" s="7"/>
      <c r="M2" s="7"/>
      <c r="N2" s="7"/>
      <c r="O2" s="7"/>
      <c r="P2" s="7"/>
    </row>
    <row r="3" spans="1:16" ht="15" x14ac:dyDescent="0.25">
      <c r="A3" s="470" t="s">
        <v>1</v>
      </c>
      <c r="B3" s="470"/>
      <c r="C3" s="470"/>
      <c r="D3" s="470"/>
      <c r="E3" s="470"/>
      <c r="F3" s="470"/>
      <c r="G3" s="470"/>
      <c r="H3" s="40" t="s">
        <v>17</v>
      </c>
      <c r="I3" s="189"/>
      <c r="J3" s="109" t="s">
        <v>201</v>
      </c>
      <c r="K3" s="189"/>
      <c r="L3" s="189"/>
      <c r="M3" s="189"/>
      <c r="N3" s="189"/>
      <c r="O3" s="189"/>
      <c r="P3" s="189"/>
    </row>
    <row r="4" spans="1:16" x14ac:dyDescent="0.2">
      <c r="A4" s="471" t="s">
        <v>2</v>
      </c>
      <c r="B4" s="471"/>
      <c r="C4" s="471"/>
      <c r="D4" s="471"/>
      <c r="E4" s="471"/>
      <c r="F4" s="471"/>
      <c r="G4" s="471"/>
      <c r="H4" s="40" t="s">
        <v>17</v>
      </c>
      <c r="I4" s="188"/>
      <c r="J4" s="109" t="s">
        <v>200</v>
      </c>
      <c r="K4" s="188"/>
      <c r="L4" s="188"/>
      <c r="M4" s="188"/>
      <c r="N4" s="188"/>
      <c r="O4" s="188"/>
      <c r="P4" s="188"/>
    </row>
    <row r="5" spans="1:16" ht="15" thickBot="1" x14ac:dyDescent="0.25">
      <c r="A5" s="472"/>
      <c r="B5" s="472"/>
      <c r="C5" s="472"/>
      <c r="D5" s="472"/>
      <c r="E5" s="449"/>
      <c r="F5" s="449"/>
      <c r="G5" s="449"/>
      <c r="H5" s="40" t="s">
        <v>17</v>
      </c>
      <c r="I5" s="188"/>
      <c r="J5" s="119" t="s">
        <v>214</v>
      </c>
      <c r="K5" s="188"/>
      <c r="L5" s="188"/>
      <c r="M5" s="188"/>
      <c r="N5" s="188"/>
      <c r="O5" s="188"/>
      <c r="P5" s="188"/>
    </row>
    <row r="6" spans="1:16" s="41" customFormat="1" ht="29.25" customHeight="1" thickBot="1" x14ac:dyDescent="0.25">
      <c r="A6" s="39"/>
      <c r="B6" s="39"/>
      <c r="C6" s="39"/>
      <c r="D6" s="39"/>
      <c r="E6" s="417" t="s">
        <v>3</v>
      </c>
      <c r="F6" s="418" t="s">
        <v>421</v>
      </c>
      <c r="G6" s="419" t="s">
        <v>4</v>
      </c>
      <c r="H6" s="40" t="s">
        <v>17</v>
      </c>
      <c r="J6" s="62" t="s">
        <v>90</v>
      </c>
    </row>
    <row r="7" spans="1:16" s="41" customFormat="1" ht="12.75" x14ac:dyDescent="0.2">
      <c r="A7" s="48"/>
      <c r="B7" s="456" t="s">
        <v>5</v>
      </c>
      <c r="C7" s="456"/>
      <c r="D7" s="456"/>
      <c r="E7" s="167"/>
      <c r="F7" s="167"/>
      <c r="G7" s="168"/>
      <c r="H7" s="40" t="s">
        <v>17</v>
      </c>
      <c r="J7" s="185"/>
    </row>
    <row r="8" spans="1:16" s="41" customFormat="1" ht="12.75" x14ac:dyDescent="0.2">
      <c r="A8" s="166">
        <v>1</v>
      </c>
      <c r="B8" s="457" t="s">
        <v>317</v>
      </c>
      <c r="C8" s="458"/>
      <c r="D8" s="459"/>
      <c r="E8" s="299"/>
      <c r="F8" s="299"/>
      <c r="G8" s="300"/>
      <c r="H8" s="40" t="s">
        <v>17</v>
      </c>
      <c r="J8" s="185"/>
    </row>
    <row r="9" spans="1:16" s="41" customFormat="1" ht="39.75" customHeight="1" x14ac:dyDescent="0.2">
      <c r="A9" s="53"/>
      <c r="B9" s="460"/>
      <c r="C9" s="460"/>
      <c r="D9" s="461"/>
      <c r="E9" s="167"/>
      <c r="F9" s="167"/>
      <c r="G9" s="168">
        <v>35214</v>
      </c>
      <c r="H9" s="40" t="s">
        <v>17</v>
      </c>
      <c r="J9" s="185"/>
    </row>
    <row r="10" spans="1:16" s="41" customFormat="1" ht="12.75" x14ac:dyDescent="0.2">
      <c r="A10" s="166">
        <v>2</v>
      </c>
      <c r="B10" s="462" t="s">
        <v>348</v>
      </c>
      <c r="C10" s="463"/>
      <c r="D10" s="464"/>
      <c r="E10" s="299"/>
      <c r="F10" s="299"/>
      <c r="G10" s="300"/>
      <c r="H10" s="40" t="s">
        <v>17</v>
      </c>
      <c r="J10" s="185"/>
    </row>
    <row r="11" spans="1:16" s="41" customFormat="1" ht="50.25" customHeight="1" x14ac:dyDescent="0.2">
      <c r="A11" s="53"/>
      <c r="B11" s="465"/>
      <c r="C11" s="465"/>
      <c r="D11" s="466"/>
      <c r="E11" s="167"/>
      <c r="F11" s="167"/>
      <c r="G11" s="168">
        <v>10367</v>
      </c>
      <c r="H11" s="40" t="s">
        <v>17</v>
      </c>
      <c r="J11" s="185"/>
    </row>
    <row r="12" spans="1:16" s="41" customFormat="1" ht="62.25" customHeight="1" x14ac:dyDescent="0.2">
      <c r="A12" s="166"/>
      <c r="B12" s="467" t="s">
        <v>318</v>
      </c>
      <c r="C12" s="467"/>
      <c r="D12" s="468"/>
      <c r="E12" s="167"/>
      <c r="F12" s="167"/>
      <c r="G12" s="168">
        <v>66159</v>
      </c>
      <c r="H12" s="40" t="s">
        <v>17</v>
      </c>
      <c r="J12" s="185"/>
    </row>
    <row r="13" spans="1:16" s="41" customFormat="1" ht="12.75" x14ac:dyDescent="0.2">
      <c r="A13" s="51">
        <v>3</v>
      </c>
      <c r="B13" s="475" t="s">
        <v>325</v>
      </c>
      <c r="C13" s="476"/>
      <c r="D13" s="477"/>
      <c r="E13" s="303"/>
      <c r="F13" s="303"/>
      <c r="G13" s="304"/>
      <c r="H13" s="40" t="s">
        <v>17</v>
      </c>
      <c r="J13" s="185"/>
    </row>
    <row r="14" spans="1:16" s="41" customFormat="1" ht="97.5" customHeight="1" x14ac:dyDescent="0.2">
      <c r="A14" s="53"/>
      <c r="B14" s="476"/>
      <c r="C14" s="476"/>
      <c r="D14" s="477"/>
      <c r="E14" s="301">
        <v>0</v>
      </c>
      <c r="F14" s="301">
        <v>273</v>
      </c>
      <c r="G14" s="302">
        <v>29870</v>
      </c>
      <c r="H14" s="40" t="s">
        <v>17</v>
      </c>
      <c r="J14" s="185"/>
    </row>
    <row r="15" spans="1:16" s="41" customFormat="1" ht="36" x14ac:dyDescent="0.2">
      <c r="A15" s="293"/>
      <c r="B15" s="244"/>
      <c r="C15" s="245" t="s">
        <v>324</v>
      </c>
      <c r="D15" s="246" t="s">
        <v>265</v>
      </c>
      <c r="E15" s="49"/>
      <c r="F15" s="49"/>
      <c r="G15" s="58"/>
      <c r="H15" s="40" t="s">
        <v>17</v>
      </c>
      <c r="J15" s="185"/>
    </row>
    <row r="16" spans="1:16" s="41" customFormat="1" ht="12.75" x14ac:dyDescent="0.2">
      <c r="A16" s="293"/>
      <c r="B16" s="247" t="s">
        <v>326</v>
      </c>
      <c r="C16" s="248">
        <f>(22709+1093)*2</f>
        <v>47604</v>
      </c>
      <c r="D16" s="248">
        <f>(46042+2111)*2</f>
        <v>96306</v>
      </c>
      <c r="E16" s="46"/>
      <c r="F16" s="46"/>
      <c r="G16" s="56"/>
      <c r="H16" s="40" t="s">
        <v>17</v>
      </c>
      <c r="J16" s="185"/>
    </row>
    <row r="17" spans="1:10" s="41" customFormat="1" ht="12.75" x14ac:dyDescent="0.2">
      <c r="A17" s="293"/>
      <c r="B17" s="247" t="s">
        <v>65</v>
      </c>
      <c r="C17" s="249">
        <f>-22709-1093</f>
        <v>-23802</v>
      </c>
      <c r="D17" s="249">
        <v>-48153</v>
      </c>
      <c r="E17" s="46"/>
      <c r="F17" s="46"/>
      <c r="G17" s="56"/>
      <c r="H17" s="40" t="s">
        <v>17</v>
      </c>
      <c r="J17" s="185"/>
    </row>
    <row r="18" spans="1:10" s="41" customFormat="1" ht="12.75" x14ac:dyDescent="0.2">
      <c r="A18" s="293"/>
      <c r="B18" s="247" t="s">
        <v>66</v>
      </c>
      <c r="C18" s="250">
        <f>SUM(C16:C17)</f>
        <v>23802</v>
      </c>
      <c r="D18" s="250">
        <f>SUM(D16:D17)</f>
        <v>48153</v>
      </c>
      <c r="E18" s="46"/>
      <c r="F18" s="46"/>
      <c r="G18" s="56"/>
      <c r="H18" s="40" t="s">
        <v>17</v>
      </c>
      <c r="J18" s="185"/>
    </row>
    <row r="19" spans="1:10" s="41" customFormat="1" ht="12.75" x14ac:dyDescent="0.2">
      <c r="A19" s="293"/>
      <c r="B19" s="247" t="s">
        <v>67</v>
      </c>
      <c r="C19" s="249">
        <v>9497</v>
      </c>
      <c r="D19" s="249">
        <v>15006</v>
      </c>
      <c r="E19" s="46"/>
      <c r="F19" s="46"/>
      <c r="G19" s="56"/>
      <c r="H19" s="40" t="s">
        <v>17</v>
      </c>
      <c r="J19" s="185"/>
    </row>
    <row r="20" spans="1:10" s="41" customFormat="1" ht="12.75" x14ac:dyDescent="0.2">
      <c r="A20" s="293"/>
      <c r="B20" s="251" t="s">
        <v>68</v>
      </c>
      <c r="C20" s="252">
        <f>SUM(C18:C19)</f>
        <v>33299</v>
      </c>
      <c r="D20" s="252">
        <f>SUM(D18:D19)</f>
        <v>63159</v>
      </c>
      <c r="E20" s="50"/>
      <c r="F20" s="50"/>
      <c r="G20" s="59"/>
      <c r="H20" s="40" t="s">
        <v>17</v>
      </c>
      <c r="J20" s="62"/>
    </row>
    <row r="21" spans="1:10" x14ac:dyDescent="0.2">
      <c r="A21" s="293"/>
      <c r="B21" s="247" t="s">
        <v>69</v>
      </c>
      <c r="C21" s="250">
        <v>3214</v>
      </c>
      <c r="D21" s="250">
        <v>-338</v>
      </c>
      <c r="E21" s="187"/>
      <c r="F21" s="187"/>
      <c r="G21" s="186"/>
      <c r="H21" s="40" t="s">
        <v>17</v>
      </c>
    </row>
    <row r="22" spans="1:10" x14ac:dyDescent="0.2">
      <c r="A22" s="294"/>
      <c r="B22" s="247" t="s">
        <v>70</v>
      </c>
      <c r="C22" s="250">
        <v>720</v>
      </c>
      <c r="D22" s="250">
        <v>-641</v>
      </c>
      <c r="E22" s="187"/>
      <c r="F22" s="187"/>
      <c r="G22" s="186"/>
      <c r="H22" s="40" t="s">
        <v>17</v>
      </c>
    </row>
    <row r="23" spans="1:10" x14ac:dyDescent="0.2">
      <c r="A23" s="294"/>
      <c r="B23" s="247" t="s">
        <v>71</v>
      </c>
      <c r="C23" s="250">
        <v>841</v>
      </c>
      <c r="D23" s="250">
        <v>571</v>
      </c>
      <c r="E23" s="187"/>
      <c r="F23" s="187"/>
      <c r="G23" s="186"/>
      <c r="H23" s="40" t="s">
        <v>17</v>
      </c>
    </row>
    <row r="24" spans="1:10" x14ac:dyDescent="0.2">
      <c r="A24" s="294"/>
      <c r="B24" s="247" t="s">
        <v>72</v>
      </c>
      <c r="C24" s="250">
        <v>1069</v>
      </c>
      <c r="D24" s="250">
        <v>-894</v>
      </c>
      <c r="E24" s="187"/>
      <c r="F24" s="187"/>
      <c r="G24" s="186"/>
      <c r="H24" s="40" t="s">
        <v>17</v>
      </c>
    </row>
    <row r="25" spans="1:10" x14ac:dyDescent="0.2">
      <c r="A25" s="294"/>
      <c r="B25" s="247" t="s">
        <v>73</v>
      </c>
      <c r="C25" s="250">
        <f>SUM(C26:C31)</f>
        <v>13180</v>
      </c>
      <c r="D25" s="250">
        <f>SUM(D26:D31)</f>
        <v>-9545</v>
      </c>
      <c r="E25" s="187"/>
      <c r="F25" s="187"/>
      <c r="G25" s="186"/>
      <c r="H25" s="40" t="s">
        <v>17</v>
      </c>
    </row>
    <row r="26" spans="1:10" x14ac:dyDescent="0.2">
      <c r="A26" s="294"/>
      <c r="B26" s="253" t="s">
        <v>143</v>
      </c>
      <c r="C26" s="250">
        <v>743</v>
      </c>
      <c r="D26" s="250">
        <v>257</v>
      </c>
      <c r="E26" s="187"/>
      <c r="F26" s="187"/>
      <c r="G26" s="186"/>
      <c r="H26" s="40" t="s">
        <v>17</v>
      </c>
    </row>
    <row r="27" spans="1:10" x14ac:dyDescent="0.2">
      <c r="A27" s="294"/>
      <c r="B27" s="253" t="s">
        <v>74</v>
      </c>
      <c r="C27" s="250">
        <v>10112</v>
      </c>
      <c r="D27" s="250">
        <v>-7953</v>
      </c>
      <c r="E27" s="187"/>
      <c r="F27" s="187"/>
      <c r="G27" s="186"/>
      <c r="H27" s="40" t="s">
        <v>17</v>
      </c>
    </row>
    <row r="28" spans="1:10" ht="24" x14ac:dyDescent="0.2">
      <c r="A28" s="294"/>
      <c r="B28" s="253" t="s">
        <v>75</v>
      </c>
      <c r="C28" s="250">
        <v>0</v>
      </c>
      <c r="D28" s="250">
        <v>0</v>
      </c>
      <c r="E28" s="187"/>
      <c r="F28" s="187"/>
      <c r="G28" s="186"/>
      <c r="H28" s="40" t="s">
        <v>17</v>
      </c>
    </row>
    <row r="29" spans="1:10" x14ac:dyDescent="0.2">
      <c r="A29" s="294"/>
      <c r="B29" s="253" t="s">
        <v>76</v>
      </c>
      <c r="C29" s="250">
        <v>2300</v>
      </c>
      <c r="D29" s="250">
        <v>-1994</v>
      </c>
      <c r="E29" s="187"/>
      <c r="F29" s="187"/>
      <c r="G29" s="186"/>
      <c r="H29" s="40" t="s">
        <v>17</v>
      </c>
    </row>
    <row r="30" spans="1:10" x14ac:dyDescent="0.2">
      <c r="A30" s="294"/>
      <c r="B30" s="253" t="s">
        <v>77</v>
      </c>
      <c r="C30" s="250">
        <v>0</v>
      </c>
      <c r="D30" s="250">
        <v>0</v>
      </c>
      <c r="E30" s="187"/>
      <c r="F30" s="187"/>
      <c r="G30" s="186"/>
      <c r="H30" s="40" t="s">
        <v>17</v>
      </c>
    </row>
    <row r="31" spans="1:10" x14ac:dyDescent="0.2">
      <c r="A31" s="294"/>
      <c r="B31" s="253" t="s">
        <v>148</v>
      </c>
      <c r="C31" s="250">
        <v>25</v>
      </c>
      <c r="D31" s="250">
        <v>145</v>
      </c>
      <c r="E31" s="187"/>
      <c r="F31" s="187"/>
      <c r="G31" s="186"/>
      <c r="H31" s="40" t="s">
        <v>17</v>
      </c>
    </row>
    <row r="32" spans="1:10" x14ac:dyDescent="0.2">
      <c r="A32" s="294"/>
      <c r="B32" s="247" t="s">
        <v>78</v>
      </c>
      <c r="C32" s="250">
        <v>1771</v>
      </c>
      <c r="D32" s="250">
        <v>-513</v>
      </c>
      <c r="E32" s="187"/>
      <c r="F32" s="187"/>
      <c r="G32" s="186"/>
      <c r="H32" s="40" t="s">
        <v>17</v>
      </c>
    </row>
    <row r="33" spans="1:10" x14ac:dyDescent="0.2">
      <c r="A33" s="294"/>
      <c r="B33" s="247" t="s">
        <v>79</v>
      </c>
      <c r="C33" s="250">
        <v>28163</v>
      </c>
      <c r="D33" s="250">
        <v>-21929</v>
      </c>
      <c r="E33" s="187"/>
      <c r="F33" s="187"/>
      <c r="G33" s="186"/>
      <c r="H33" s="40" t="s">
        <v>17</v>
      </c>
    </row>
    <row r="34" spans="1:10" s="41" customFormat="1" ht="12.75" x14ac:dyDescent="0.2">
      <c r="A34" s="42"/>
      <c r="B34" s="251" t="s">
        <v>80</v>
      </c>
      <c r="C34" s="252">
        <f>C21+C22+C23+C24+C25+C32+C33</f>
        <v>48958</v>
      </c>
      <c r="D34" s="252">
        <f>SUM(D21:D25,D32:D33)</f>
        <v>-33289</v>
      </c>
      <c r="E34" s="50"/>
      <c r="F34" s="50"/>
      <c r="G34" s="59"/>
      <c r="H34" s="40" t="s">
        <v>17</v>
      </c>
      <c r="J34" s="62"/>
    </row>
    <row r="35" spans="1:10" s="41" customFormat="1" ht="13.5" thickBot="1" x14ac:dyDescent="0.25">
      <c r="A35" s="296"/>
      <c r="B35" s="297" t="s">
        <v>191</v>
      </c>
      <c r="C35" s="298">
        <f>C20+C34</f>
        <v>82257</v>
      </c>
      <c r="D35" s="298">
        <f>D34+D20</f>
        <v>29870</v>
      </c>
      <c r="E35" s="55"/>
      <c r="F35" s="55"/>
      <c r="G35" s="61"/>
      <c r="H35" s="40" t="s">
        <v>17</v>
      </c>
      <c r="J35" s="62"/>
    </row>
    <row r="36" spans="1:10" s="41" customFormat="1" ht="48.75" hidden="1" customHeight="1" x14ac:dyDescent="0.2">
      <c r="A36" s="53">
        <v>4</v>
      </c>
      <c r="B36" s="478" t="s">
        <v>81</v>
      </c>
      <c r="C36" s="478"/>
      <c r="D36" s="479"/>
      <c r="E36" s="52"/>
      <c r="F36" s="52"/>
      <c r="G36" s="168">
        <v>0</v>
      </c>
      <c r="H36" s="40" t="s">
        <v>17</v>
      </c>
      <c r="J36" s="185"/>
    </row>
    <row r="37" spans="1:10" s="41" customFormat="1" ht="36.75" hidden="1" customHeight="1" x14ac:dyDescent="0.2">
      <c r="A37" s="43">
        <v>5</v>
      </c>
      <c r="B37" s="467" t="s">
        <v>195</v>
      </c>
      <c r="C37" s="480"/>
      <c r="D37" s="481"/>
      <c r="E37" s="50"/>
      <c r="F37" s="50"/>
      <c r="G37" s="56">
        <v>0</v>
      </c>
      <c r="H37" s="40" t="s">
        <v>17</v>
      </c>
      <c r="J37" s="185"/>
    </row>
    <row r="38" spans="1:10" s="41" customFormat="1" ht="56.25" customHeight="1" x14ac:dyDescent="0.2">
      <c r="A38" s="43">
        <v>6</v>
      </c>
      <c r="B38" s="482" t="s">
        <v>319</v>
      </c>
      <c r="C38" s="483"/>
      <c r="D38" s="484"/>
      <c r="E38" s="50"/>
      <c r="F38" s="50"/>
      <c r="G38" s="56">
        <v>10043</v>
      </c>
      <c r="H38" s="40" t="s">
        <v>17</v>
      </c>
      <c r="J38" s="185"/>
    </row>
    <row r="39" spans="1:10" s="41" customFormat="1" ht="63" customHeight="1" x14ac:dyDescent="0.2">
      <c r="A39" s="43">
        <v>7</v>
      </c>
      <c r="B39" s="482" t="s">
        <v>320</v>
      </c>
      <c r="C39" s="483"/>
      <c r="D39" s="484"/>
      <c r="E39" s="50" t="s">
        <v>82</v>
      </c>
      <c r="F39" s="50"/>
      <c r="G39" s="56">
        <v>7957</v>
      </c>
      <c r="H39" s="40" t="s">
        <v>17</v>
      </c>
      <c r="J39" s="185"/>
    </row>
    <row r="40" spans="1:10" s="41" customFormat="1" ht="12.75" x14ac:dyDescent="0.2">
      <c r="A40" s="44"/>
      <c r="B40" s="485" t="s">
        <v>83</v>
      </c>
      <c r="C40" s="485"/>
      <c r="D40" s="485"/>
      <c r="E40" s="47">
        <f>SUM(E9:E39)</f>
        <v>0</v>
      </c>
      <c r="F40" s="47">
        <f>SUM(F9:F39)</f>
        <v>273</v>
      </c>
      <c r="G40" s="57">
        <f>SUM(G9:G39)</f>
        <v>159610</v>
      </c>
      <c r="H40" s="40" t="s">
        <v>17</v>
      </c>
      <c r="J40" s="62" t="s">
        <v>91</v>
      </c>
    </row>
    <row r="41" spans="1:10" s="41" customFormat="1" ht="12.75" x14ac:dyDescent="0.2">
      <c r="A41" s="53"/>
      <c r="B41" s="486" t="s">
        <v>6</v>
      </c>
      <c r="C41" s="486"/>
      <c r="D41" s="487"/>
      <c r="E41" s="52"/>
      <c r="F41" s="52"/>
      <c r="G41" s="60"/>
      <c r="H41" s="40" t="s">
        <v>17</v>
      </c>
      <c r="J41" s="185"/>
    </row>
    <row r="42" spans="1:10" s="41" customFormat="1" ht="90.75" customHeight="1" x14ac:dyDescent="0.2">
      <c r="A42" s="43">
        <v>1</v>
      </c>
      <c r="B42" s="482" t="s">
        <v>321</v>
      </c>
      <c r="C42" s="483"/>
      <c r="D42" s="484"/>
      <c r="E42" s="50"/>
      <c r="F42" s="50"/>
      <c r="G42" s="56">
        <v>14127</v>
      </c>
      <c r="H42" s="40" t="s">
        <v>17</v>
      </c>
      <c r="J42" s="185"/>
    </row>
    <row r="43" spans="1:10" s="41" customFormat="1" ht="52.5" customHeight="1" x14ac:dyDescent="0.2">
      <c r="A43" s="43">
        <v>2</v>
      </c>
      <c r="B43" s="482" t="s">
        <v>322</v>
      </c>
      <c r="C43" s="483"/>
      <c r="D43" s="484"/>
      <c r="E43" s="50"/>
      <c r="F43" s="50"/>
      <c r="G43" s="56">
        <v>1123</v>
      </c>
      <c r="H43" s="40" t="s">
        <v>17</v>
      </c>
      <c r="J43" s="185"/>
    </row>
    <row r="44" spans="1:10" s="41" customFormat="1" ht="37.5" hidden="1" customHeight="1" x14ac:dyDescent="0.2">
      <c r="A44" s="43">
        <v>3</v>
      </c>
      <c r="B44" s="482" t="s">
        <v>266</v>
      </c>
      <c r="C44" s="483"/>
      <c r="D44" s="484"/>
      <c r="E44" s="50"/>
      <c r="F44" s="50"/>
      <c r="G44" s="56">
        <v>0</v>
      </c>
      <c r="H44" s="40" t="s">
        <v>17</v>
      </c>
      <c r="J44" s="185"/>
    </row>
    <row r="45" spans="1:10" s="41" customFormat="1" ht="12.75" x14ac:dyDescent="0.2">
      <c r="A45" s="44"/>
      <c r="B45" s="485" t="s">
        <v>84</v>
      </c>
      <c r="C45" s="485"/>
      <c r="D45" s="485"/>
      <c r="E45" s="47">
        <f>SUM(E42:E44)</f>
        <v>0</v>
      </c>
      <c r="F45" s="47">
        <f>SUM(F42:F44)</f>
        <v>0</v>
      </c>
      <c r="G45" s="57">
        <f>SUM(G42:G44)</f>
        <v>15250</v>
      </c>
      <c r="H45" s="40" t="s">
        <v>17</v>
      </c>
      <c r="J45" s="62" t="s">
        <v>92</v>
      </c>
    </row>
    <row r="46" spans="1:10" s="41" customFormat="1" ht="12.75" x14ac:dyDescent="0.2">
      <c r="A46" s="43"/>
      <c r="B46" s="473" t="s">
        <v>7</v>
      </c>
      <c r="C46" s="473"/>
      <c r="D46" s="474"/>
      <c r="E46" s="50"/>
      <c r="F46" s="50"/>
      <c r="G46" s="56"/>
      <c r="H46" s="40" t="s">
        <v>17</v>
      </c>
      <c r="J46" s="185"/>
    </row>
    <row r="47" spans="1:10" s="41" customFormat="1" ht="58.5" customHeight="1" x14ac:dyDescent="0.2">
      <c r="A47" s="43">
        <v>1</v>
      </c>
      <c r="B47" s="482" t="s">
        <v>323</v>
      </c>
      <c r="C47" s="482"/>
      <c r="D47" s="488"/>
      <c r="E47" s="50"/>
      <c r="F47" s="50"/>
      <c r="G47" s="56">
        <v>6005</v>
      </c>
      <c r="H47" s="40"/>
      <c r="J47" s="185"/>
    </row>
    <row r="48" spans="1:10" s="41" customFormat="1" ht="75.75" hidden="1" customHeight="1" x14ac:dyDescent="0.2">
      <c r="A48" s="43">
        <v>3</v>
      </c>
      <c r="B48" s="482" t="s">
        <v>218</v>
      </c>
      <c r="C48" s="483"/>
      <c r="D48" s="484"/>
      <c r="E48" s="50"/>
      <c r="F48" s="50"/>
      <c r="G48" s="56">
        <v>0</v>
      </c>
      <c r="H48" s="40" t="s">
        <v>17</v>
      </c>
      <c r="J48" s="185"/>
    </row>
    <row r="49" spans="1:10" s="41" customFormat="1" ht="12.75" x14ac:dyDescent="0.2">
      <c r="A49" s="44"/>
      <c r="B49" s="485" t="s">
        <v>85</v>
      </c>
      <c r="C49" s="485"/>
      <c r="D49" s="485"/>
      <c r="E49" s="47">
        <f>SUM(E46:E48)</f>
        <v>0</v>
      </c>
      <c r="F49" s="47">
        <f>SUM(F46:F48)</f>
        <v>0</v>
      </c>
      <c r="G49" s="57">
        <f>SUM(G46:G48)</f>
        <v>6005</v>
      </c>
      <c r="H49" s="40" t="s">
        <v>17</v>
      </c>
      <c r="J49" s="62" t="s">
        <v>189</v>
      </c>
    </row>
    <row r="50" spans="1:10" s="41" customFormat="1" ht="12.75" x14ac:dyDescent="0.2">
      <c r="A50" s="43"/>
      <c r="B50" s="473" t="s">
        <v>8</v>
      </c>
      <c r="C50" s="473"/>
      <c r="D50" s="474"/>
      <c r="E50" s="50"/>
      <c r="F50" s="50"/>
      <c r="G50" s="56"/>
      <c r="H50" s="40" t="s">
        <v>17</v>
      </c>
      <c r="J50" s="185"/>
    </row>
    <row r="51" spans="1:10" s="41" customFormat="1" ht="51" hidden="1" customHeight="1" x14ac:dyDescent="0.2">
      <c r="A51" s="43">
        <v>1</v>
      </c>
      <c r="B51" s="482" t="s">
        <v>86</v>
      </c>
      <c r="C51" s="483"/>
      <c r="D51" s="484"/>
      <c r="E51" s="50"/>
      <c r="F51" s="50"/>
      <c r="G51" s="56">
        <v>0</v>
      </c>
      <c r="H51" s="40" t="s">
        <v>17</v>
      </c>
      <c r="J51" s="185"/>
    </row>
    <row r="52" spans="1:10" s="41" customFormat="1" ht="48.75" hidden="1" customHeight="1" x14ac:dyDescent="0.2">
      <c r="A52" s="43">
        <v>2</v>
      </c>
      <c r="B52" s="482" t="s">
        <v>192</v>
      </c>
      <c r="C52" s="483"/>
      <c r="D52" s="484"/>
      <c r="E52" s="50"/>
      <c r="F52" s="50"/>
      <c r="G52" s="56">
        <v>0</v>
      </c>
      <c r="H52" s="40" t="s">
        <v>17</v>
      </c>
      <c r="J52" s="185"/>
    </row>
    <row r="53" spans="1:10" s="41" customFormat="1" ht="54.75" customHeight="1" x14ac:dyDescent="0.2">
      <c r="A53" s="43">
        <v>1</v>
      </c>
      <c r="B53" s="482" t="s">
        <v>343</v>
      </c>
      <c r="C53" s="483"/>
      <c r="D53" s="484"/>
      <c r="E53" s="50"/>
      <c r="F53" s="50"/>
      <c r="G53" s="56">
        <v>2746</v>
      </c>
      <c r="H53" s="40" t="s">
        <v>17</v>
      </c>
      <c r="J53" s="185"/>
    </row>
    <row r="54" spans="1:10" s="41" customFormat="1" ht="63" customHeight="1" x14ac:dyDescent="0.2">
      <c r="A54" s="43">
        <v>2</v>
      </c>
      <c r="B54" s="482" t="s">
        <v>345</v>
      </c>
      <c r="C54" s="483"/>
      <c r="D54" s="484"/>
      <c r="E54" s="50"/>
      <c r="F54" s="50"/>
      <c r="G54" s="56">
        <v>12</v>
      </c>
      <c r="H54" s="40" t="s">
        <v>17</v>
      </c>
      <c r="J54" s="185"/>
    </row>
    <row r="55" spans="1:10" s="41" customFormat="1" ht="87.75" customHeight="1" x14ac:dyDescent="0.2">
      <c r="A55" s="43">
        <v>3</v>
      </c>
      <c r="B55" s="482" t="s">
        <v>344</v>
      </c>
      <c r="C55" s="483"/>
      <c r="D55" s="484"/>
      <c r="E55" s="50"/>
      <c r="F55" s="50"/>
      <c r="G55" s="56">
        <v>14624</v>
      </c>
      <c r="H55" s="40" t="s">
        <v>17</v>
      </c>
      <c r="J55" s="185"/>
    </row>
    <row r="56" spans="1:10" s="41" customFormat="1" ht="12.75" x14ac:dyDescent="0.2">
      <c r="A56" s="44"/>
      <c r="B56" s="485" t="s">
        <v>87</v>
      </c>
      <c r="C56" s="485"/>
      <c r="D56" s="485"/>
      <c r="E56" s="47">
        <f>SUM(E51:E55)</f>
        <v>0</v>
      </c>
      <c r="F56" s="47">
        <f>SUM(F51:F55)</f>
        <v>0</v>
      </c>
      <c r="G56" s="57">
        <f>SUM(G51:G55)</f>
        <v>17382</v>
      </c>
      <c r="H56" s="40" t="s">
        <v>17</v>
      </c>
      <c r="J56" s="62" t="s">
        <v>190</v>
      </c>
    </row>
    <row r="57" spans="1:10" s="41" customFormat="1" ht="12.75" hidden="1" x14ac:dyDescent="0.2">
      <c r="A57" s="43"/>
      <c r="B57" s="473" t="s">
        <v>9</v>
      </c>
      <c r="C57" s="473"/>
      <c r="D57" s="474"/>
      <c r="E57" s="50"/>
      <c r="F57" s="50"/>
      <c r="G57" s="56"/>
      <c r="H57" s="40" t="s">
        <v>17</v>
      </c>
      <c r="J57" s="185"/>
    </row>
    <row r="58" spans="1:10" s="41" customFormat="1" ht="25.5" hidden="1" customHeight="1" x14ac:dyDescent="0.2">
      <c r="A58" s="43">
        <v>1</v>
      </c>
      <c r="B58" s="482" t="s">
        <v>274</v>
      </c>
      <c r="C58" s="482"/>
      <c r="D58" s="488"/>
      <c r="E58" s="46">
        <v>0</v>
      </c>
      <c r="F58" s="46">
        <v>0</v>
      </c>
      <c r="G58" s="56">
        <v>0</v>
      </c>
      <c r="H58" s="40" t="s">
        <v>17</v>
      </c>
      <c r="J58" s="185"/>
    </row>
    <row r="59" spans="1:10" s="41" customFormat="1" ht="12.75" hidden="1" x14ac:dyDescent="0.2">
      <c r="A59" s="43">
        <v>2</v>
      </c>
      <c r="B59" s="480"/>
      <c r="C59" s="480"/>
      <c r="D59" s="481"/>
      <c r="E59" s="46">
        <v>0</v>
      </c>
      <c r="F59" s="46">
        <v>0</v>
      </c>
      <c r="G59" s="56">
        <v>0</v>
      </c>
      <c r="H59" s="40" t="s">
        <v>17</v>
      </c>
      <c r="J59" s="185"/>
    </row>
    <row r="60" spans="1:10" s="41" customFormat="1" ht="12.75" hidden="1" x14ac:dyDescent="0.2">
      <c r="A60" s="44"/>
      <c r="B60" s="485" t="s">
        <v>88</v>
      </c>
      <c r="C60" s="485"/>
      <c r="D60" s="485"/>
      <c r="E60" s="47">
        <f>SUM(E58:E59)</f>
        <v>0</v>
      </c>
      <c r="F60" s="47">
        <f>SUM(F58:F59)</f>
        <v>0</v>
      </c>
      <c r="G60" s="57">
        <f>SUM(G58:G59)</f>
        <v>0</v>
      </c>
      <c r="H60" s="40" t="s">
        <v>17</v>
      </c>
      <c r="J60" s="62" t="s">
        <v>93</v>
      </c>
    </row>
    <row r="61" spans="1:10" s="41" customFormat="1" ht="12.75" x14ac:dyDescent="0.2">
      <c r="A61" s="43"/>
      <c r="B61" s="473" t="s">
        <v>230</v>
      </c>
      <c r="C61" s="473"/>
      <c r="D61" s="474"/>
      <c r="E61" s="50"/>
      <c r="F61" s="50"/>
      <c r="G61" s="56"/>
      <c r="H61" s="40" t="s">
        <v>17</v>
      </c>
      <c r="J61" s="185"/>
    </row>
    <row r="62" spans="1:10" s="41" customFormat="1" ht="26.25" customHeight="1" x14ac:dyDescent="0.2">
      <c r="A62" s="43">
        <v>1</v>
      </c>
      <c r="B62" s="467" t="s">
        <v>346</v>
      </c>
      <c r="C62" s="467"/>
      <c r="D62" s="468"/>
      <c r="E62" s="46">
        <v>0</v>
      </c>
      <c r="F62" s="46">
        <v>0</v>
      </c>
      <c r="G62" s="56">
        <v>-15661</v>
      </c>
      <c r="H62" s="40" t="s">
        <v>17</v>
      </c>
      <c r="J62" s="185"/>
    </row>
    <row r="63" spans="1:10" s="41" customFormat="1" ht="12.75" x14ac:dyDescent="0.2">
      <c r="A63" s="44"/>
      <c r="B63" s="485" t="s">
        <v>89</v>
      </c>
      <c r="C63" s="485"/>
      <c r="D63" s="485"/>
      <c r="E63" s="47">
        <f>SUM(E62:E62)</f>
        <v>0</v>
      </c>
      <c r="F63" s="47">
        <f>SUM(F62:F62)</f>
        <v>0</v>
      </c>
      <c r="G63" s="57">
        <f>SUM(G62:G62)</f>
        <v>-15661</v>
      </c>
      <c r="H63" s="40" t="s">
        <v>17</v>
      </c>
      <c r="J63" s="62" t="s">
        <v>94</v>
      </c>
    </row>
    <row r="64" spans="1:10" ht="15" thickBot="1" x14ac:dyDescent="0.25">
      <c r="A64" s="54"/>
      <c r="B64" s="489" t="s">
        <v>185</v>
      </c>
      <c r="C64" s="489"/>
      <c r="D64" s="490"/>
      <c r="E64" s="242">
        <f>E63+E60+E56+E49+E45+E40</f>
        <v>0</v>
      </c>
      <c r="F64" s="242">
        <f>F63+F60+F56+F49+F45+F40</f>
        <v>273</v>
      </c>
      <c r="G64" s="243">
        <f>G63+G60+G56+G49+G45+G40</f>
        <v>182586</v>
      </c>
      <c r="H64" s="40" t="s">
        <v>17</v>
      </c>
      <c r="J64" s="62" t="s">
        <v>95</v>
      </c>
    </row>
    <row r="65" spans="1:10" ht="15" thickBot="1" x14ac:dyDescent="0.25">
      <c r="H65" s="40" t="s">
        <v>17</v>
      </c>
    </row>
    <row r="66" spans="1:10" s="41" customFormat="1" ht="12.75" x14ac:dyDescent="0.2">
      <c r="A66" s="103"/>
      <c r="B66" s="491" t="s">
        <v>188</v>
      </c>
      <c r="C66" s="491"/>
      <c r="D66" s="492"/>
      <c r="E66" s="104"/>
      <c r="F66" s="104"/>
      <c r="G66" s="105"/>
      <c r="H66" s="40" t="s">
        <v>17</v>
      </c>
      <c r="J66" s="185"/>
    </row>
    <row r="67" spans="1:10" s="41" customFormat="1" ht="12.75" x14ac:dyDescent="0.2">
      <c r="A67" s="43">
        <v>1</v>
      </c>
      <c r="B67" s="483" t="s">
        <v>186</v>
      </c>
      <c r="C67" s="480"/>
      <c r="D67" s="481"/>
      <c r="E67" s="46"/>
      <c r="F67" s="46">
        <v>0</v>
      </c>
      <c r="G67" s="56"/>
      <c r="H67" s="40" t="s">
        <v>17</v>
      </c>
      <c r="J67" s="185"/>
    </row>
    <row r="68" spans="1:10" s="41" customFormat="1" ht="13.5" thickBot="1" x14ac:dyDescent="0.25">
      <c r="A68" s="106"/>
      <c r="B68" s="493" t="s">
        <v>187</v>
      </c>
      <c r="C68" s="493"/>
      <c r="D68" s="493"/>
      <c r="E68" s="55">
        <f>SUM(E67:E67)</f>
        <v>0</v>
      </c>
      <c r="F68" s="55">
        <f>SUM(F67:F67)</f>
        <v>0</v>
      </c>
      <c r="G68" s="61">
        <f>SUM(G67:G67)</f>
        <v>0</v>
      </c>
      <c r="H68" s="40" t="s">
        <v>17</v>
      </c>
      <c r="J68" s="62" t="s">
        <v>215</v>
      </c>
    </row>
    <row r="69" spans="1:10" x14ac:dyDescent="0.2">
      <c r="H69" s="40" t="s">
        <v>18</v>
      </c>
    </row>
  </sheetData>
  <mergeCells count="42">
    <mergeCell ref="B63:D63"/>
    <mergeCell ref="B64:D64"/>
    <mergeCell ref="B66:D66"/>
    <mergeCell ref="B67:D67"/>
    <mergeCell ref="B68:D68"/>
    <mergeCell ref="B58:D58"/>
    <mergeCell ref="B59:D59"/>
    <mergeCell ref="B60:D60"/>
    <mergeCell ref="B61:D61"/>
    <mergeCell ref="B62:D62"/>
    <mergeCell ref="B57:D57"/>
    <mergeCell ref="B47:D47"/>
    <mergeCell ref="B48:D48"/>
    <mergeCell ref="B49:D49"/>
    <mergeCell ref="B50:D50"/>
    <mergeCell ref="B51:D51"/>
    <mergeCell ref="B52:D52"/>
    <mergeCell ref="B53:D53"/>
    <mergeCell ref="B54:D54"/>
    <mergeCell ref="B55:D55"/>
    <mergeCell ref="B56:D56"/>
    <mergeCell ref="B46:D46"/>
    <mergeCell ref="B13:D14"/>
    <mergeCell ref="B36:D36"/>
    <mergeCell ref="B37:D37"/>
    <mergeCell ref="B38:D38"/>
    <mergeCell ref="B39:D39"/>
    <mergeCell ref="B40:D40"/>
    <mergeCell ref="B41:D41"/>
    <mergeCell ref="B42:D42"/>
    <mergeCell ref="B43:D43"/>
    <mergeCell ref="B44:D44"/>
    <mergeCell ref="B45:D45"/>
    <mergeCell ref="B7:D7"/>
    <mergeCell ref="B8:D9"/>
    <mergeCell ref="B10:D11"/>
    <mergeCell ref="B12:D12"/>
    <mergeCell ref="A1:G1"/>
    <mergeCell ref="A2:G2"/>
    <mergeCell ref="A3:G3"/>
    <mergeCell ref="A4:G4"/>
    <mergeCell ref="A5:G5"/>
  </mergeCells>
  <printOptions horizontalCentered="1"/>
  <pageMargins left="0.7" right="0.7" top="0.65" bottom="0.46" header="0.3" footer="0.21"/>
  <pageSetup fitToHeight="0" orientation="landscape" r:id="rId1"/>
  <headerFooter>
    <oddHeader>&amp;L&amp;"Arial,Bold"&amp;12E. Justification for Technical and Base Adjustments</oddHeader>
    <oddFooter>&amp;C&amp;"Arial,Regular"Exhibit E - Justification for Technical and Base Adjustments</oddFooter>
  </headerFooter>
  <rowBreaks count="2" manualBreakCount="2">
    <brk id="28" max="6" man="1"/>
    <brk id="49"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3"/>
  <sheetViews>
    <sheetView view="pageBreakPreview" zoomScale="80" zoomScaleNormal="100" zoomScaleSheetLayoutView="80" workbookViewId="0">
      <selection activeCell="P55" sqref="P55"/>
    </sheetView>
  </sheetViews>
  <sheetFormatPr defaultColWidth="9.140625" defaultRowHeight="14.25" x14ac:dyDescent="0.2"/>
  <cols>
    <col min="1" max="1" width="37.140625" style="165" customWidth="1"/>
    <col min="2" max="3" width="8.28515625" style="165" customWidth="1"/>
    <col min="4" max="4" width="12.7109375" style="165" customWidth="1"/>
    <col min="5" max="5" width="7.140625" style="165" customWidth="1"/>
    <col min="6" max="6" width="8.7109375" style="165" customWidth="1"/>
    <col min="7" max="7" width="9.140625" style="165" bestFit="1" customWidth="1"/>
    <col min="8" max="8" width="7.140625" style="165" customWidth="1"/>
    <col min="9" max="9" width="8.7109375" style="165" customWidth="1"/>
    <col min="10" max="10" width="9.140625" style="165" bestFit="1" customWidth="1"/>
    <col min="11" max="11" width="7.140625" style="165" customWidth="1"/>
    <col min="12" max="12" width="8.7109375" style="165" customWidth="1"/>
    <col min="13" max="13" width="12.7109375" style="165" customWidth="1"/>
    <col min="14" max="15" width="8.28515625" style="165" customWidth="1"/>
    <col min="16" max="16" width="11.5703125" style="165" customWidth="1"/>
    <col min="17" max="17" width="11.28515625" style="165" bestFit="1" customWidth="1"/>
    <col min="18" max="18" width="12.7109375" style="165" customWidth="1"/>
    <col min="19" max="20" width="8.28515625" style="165" customWidth="1"/>
    <col min="21" max="21" width="12.140625" style="165" customWidth="1"/>
    <col min="22" max="22" width="14" style="4" bestFit="1" customWidth="1"/>
    <col min="23" max="23" width="4.5703125" style="165" customWidth="1"/>
    <col min="24" max="24" width="116.7109375" style="165" customWidth="1"/>
    <col min="25" max="26" width="8.28515625" style="165" customWidth="1"/>
    <col min="27" max="27" width="12.7109375" style="165" customWidth="1"/>
    <col min="28" max="29" width="8.28515625" style="165" customWidth="1"/>
    <col min="30" max="30" width="12.7109375" style="165" customWidth="1"/>
    <col min="31" max="16384" width="9.140625" style="165"/>
  </cols>
  <sheetData>
    <row r="1" spans="1:30" ht="18" x14ac:dyDescent="0.25">
      <c r="A1" s="433" t="s">
        <v>104</v>
      </c>
      <c r="B1" s="433"/>
      <c r="C1" s="433"/>
      <c r="D1" s="433"/>
      <c r="E1" s="433"/>
      <c r="F1" s="433"/>
      <c r="G1" s="433"/>
      <c r="H1" s="433"/>
      <c r="I1" s="433"/>
      <c r="J1" s="433"/>
      <c r="K1" s="433"/>
      <c r="L1" s="433"/>
      <c r="M1" s="433"/>
      <c r="N1" s="433"/>
      <c r="O1" s="433"/>
      <c r="P1" s="433"/>
      <c r="Q1" s="433"/>
      <c r="R1" s="433"/>
      <c r="S1" s="433"/>
      <c r="T1" s="433"/>
      <c r="U1" s="433"/>
      <c r="V1" s="63" t="s">
        <v>17</v>
      </c>
      <c r="W1" s="6"/>
      <c r="X1" s="108" t="s">
        <v>25</v>
      </c>
      <c r="Y1" s="6"/>
      <c r="Z1" s="6"/>
      <c r="AA1" s="6"/>
      <c r="AB1" s="6"/>
      <c r="AC1" s="6"/>
      <c r="AD1" s="6"/>
    </row>
    <row r="2" spans="1:30" ht="15" x14ac:dyDescent="0.2">
      <c r="A2" s="434" t="s">
        <v>305</v>
      </c>
      <c r="B2" s="434"/>
      <c r="C2" s="434"/>
      <c r="D2" s="434"/>
      <c r="E2" s="434"/>
      <c r="F2" s="434"/>
      <c r="G2" s="434"/>
      <c r="H2" s="434"/>
      <c r="I2" s="434"/>
      <c r="J2" s="434"/>
      <c r="K2" s="434"/>
      <c r="L2" s="434"/>
      <c r="M2" s="434"/>
      <c r="N2" s="434"/>
      <c r="O2" s="434"/>
      <c r="P2" s="434"/>
      <c r="Q2" s="434"/>
      <c r="R2" s="434"/>
      <c r="S2" s="434"/>
      <c r="T2" s="434"/>
      <c r="U2" s="434"/>
      <c r="V2" s="63" t="s">
        <v>17</v>
      </c>
      <c r="W2" s="7"/>
      <c r="X2" s="109"/>
      <c r="Y2" s="7"/>
      <c r="Z2" s="7"/>
      <c r="AA2" s="7"/>
      <c r="AB2" s="7"/>
      <c r="AC2" s="7"/>
      <c r="AD2" s="7"/>
    </row>
    <row r="3" spans="1:30" ht="15" x14ac:dyDescent="0.25">
      <c r="A3" s="435" t="s">
        <v>1</v>
      </c>
      <c r="B3" s="435"/>
      <c r="C3" s="435"/>
      <c r="D3" s="435"/>
      <c r="E3" s="435"/>
      <c r="F3" s="435"/>
      <c r="G3" s="435"/>
      <c r="H3" s="435"/>
      <c r="I3" s="435"/>
      <c r="J3" s="435"/>
      <c r="K3" s="435"/>
      <c r="L3" s="435"/>
      <c r="M3" s="435"/>
      <c r="N3" s="435"/>
      <c r="O3" s="435"/>
      <c r="P3" s="435"/>
      <c r="Q3" s="435"/>
      <c r="R3" s="435"/>
      <c r="S3" s="435"/>
      <c r="T3" s="435"/>
      <c r="U3" s="435"/>
      <c r="V3" s="63" t="s">
        <v>17</v>
      </c>
      <c r="W3" s="189"/>
      <c r="X3" s="109" t="s">
        <v>201</v>
      </c>
      <c r="Y3" s="189"/>
      <c r="Z3" s="189"/>
      <c r="AA3" s="189"/>
      <c r="AB3" s="189"/>
      <c r="AC3" s="189"/>
      <c r="AD3" s="189"/>
    </row>
    <row r="4" spans="1:30" x14ac:dyDescent="0.2">
      <c r="A4" s="450" t="s">
        <v>2</v>
      </c>
      <c r="B4" s="450"/>
      <c r="C4" s="450"/>
      <c r="D4" s="450"/>
      <c r="E4" s="450"/>
      <c r="F4" s="450"/>
      <c r="G4" s="450"/>
      <c r="H4" s="450"/>
      <c r="I4" s="450"/>
      <c r="J4" s="450"/>
      <c r="K4" s="450"/>
      <c r="L4" s="450"/>
      <c r="M4" s="450"/>
      <c r="N4" s="450"/>
      <c r="O4" s="450"/>
      <c r="P4" s="450"/>
      <c r="Q4" s="450"/>
      <c r="R4" s="450"/>
      <c r="S4" s="450"/>
      <c r="T4" s="450"/>
      <c r="U4" s="450"/>
      <c r="V4" s="63" t="s">
        <v>17</v>
      </c>
      <c r="W4" s="188"/>
      <c r="X4" s="109" t="s">
        <v>200</v>
      </c>
      <c r="Y4" s="188"/>
      <c r="Z4" s="188"/>
      <c r="AA4" s="188"/>
      <c r="AB4" s="188"/>
      <c r="AC4" s="188"/>
      <c r="AD4" s="188"/>
    </row>
    <row r="5" spans="1:30" ht="15.75" thickBot="1" x14ac:dyDescent="0.3">
      <c r="A5" s="188"/>
      <c r="B5" s="188"/>
      <c r="C5" s="188"/>
      <c r="D5" s="188"/>
      <c r="E5" s="188"/>
      <c r="F5" s="188"/>
      <c r="G5" s="188"/>
      <c r="H5" s="188"/>
      <c r="I5" s="188"/>
      <c r="J5" s="188"/>
      <c r="K5" s="188"/>
      <c r="L5" s="188"/>
      <c r="M5" s="188"/>
      <c r="N5" s="188"/>
      <c r="O5" s="188"/>
      <c r="P5" s="188"/>
      <c r="Q5" s="188"/>
      <c r="R5" s="188"/>
      <c r="S5" s="188"/>
      <c r="T5" s="188"/>
      <c r="U5" s="188"/>
      <c r="V5" s="63" t="s">
        <v>17</v>
      </c>
      <c r="W5" s="188"/>
      <c r="X5" s="110"/>
      <c r="Y5" s="188"/>
      <c r="Z5" s="188"/>
      <c r="AA5" s="188"/>
      <c r="AB5" s="188"/>
      <c r="AC5" s="188"/>
      <c r="AD5" s="188"/>
    </row>
    <row r="6" spans="1:30" ht="15" thickBot="1" x14ac:dyDescent="0.25">
      <c r="A6" s="254"/>
      <c r="B6" s="254"/>
      <c r="C6" s="254"/>
      <c r="D6" s="254"/>
      <c r="E6" s="254"/>
      <c r="F6" s="254"/>
      <c r="G6" s="254"/>
      <c r="H6" s="254"/>
      <c r="I6" s="254"/>
      <c r="J6" s="254"/>
      <c r="K6" s="254"/>
      <c r="L6" s="254"/>
      <c r="M6" s="254"/>
      <c r="N6" s="254"/>
      <c r="O6" s="254"/>
      <c r="P6" s="254"/>
      <c r="Q6" s="254"/>
      <c r="R6" s="254"/>
      <c r="S6" s="254"/>
      <c r="T6" s="254"/>
      <c r="U6" s="254"/>
      <c r="V6" s="63" t="s">
        <v>17</v>
      </c>
      <c r="W6" s="188"/>
      <c r="Y6" s="188"/>
      <c r="Z6" s="188"/>
      <c r="AA6" s="188"/>
      <c r="AB6" s="188"/>
      <c r="AC6" s="188"/>
      <c r="AD6" s="188"/>
    </row>
    <row r="7" spans="1:30" ht="33.75" customHeight="1" x14ac:dyDescent="0.25">
      <c r="A7" s="441" t="s">
        <v>180</v>
      </c>
      <c r="B7" s="444" t="s">
        <v>275</v>
      </c>
      <c r="C7" s="444"/>
      <c r="D7" s="444"/>
      <c r="E7" s="444" t="s">
        <v>287</v>
      </c>
      <c r="F7" s="496"/>
      <c r="G7" s="497"/>
      <c r="H7" s="444" t="s">
        <v>334</v>
      </c>
      <c r="I7" s="496"/>
      <c r="J7" s="497"/>
      <c r="K7" s="444" t="s">
        <v>267</v>
      </c>
      <c r="L7" s="496"/>
      <c r="M7" s="497"/>
      <c r="N7" s="444" t="s">
        <v>96</v>
      </c>
      <c r="O7" s="444"/>
      <c r="P7" s="444"/>
      <c r="Q7" s="213" t="s">
        <v>97</v>
      </c>
      <c r="R7" s="213" t="s">
        <v>193</v>
      </c>
      <c r="S7" s="444" t="s">
        <v>268</v>
      </c>
      <c r="T7" s="444"/>
      <c r="U7" s="445"/>
      <c r="V7" s="63" t="s">
        <v>17</v>
      </c>
      <c r="X7" s="5" t="s">
        <v>216</v>
      </c>
    </row>
    <row r="8" spans="1:30" ht="28.5" x14ac:dyDescent="0.25">
      <c r="A8" s="442"/>
      <c r="B8" s="229" t="s">
        <v>3</v>
      </c>
      <c r="C8" s="229" t="s">
        <v>174</v>
      </c>
      <c r="D8" s="229" t="s">
        <v>4</v>
      </c>
      <c r="E8" s="229" t="s">
        <v>3</v>
      </c>
      <c r="F8" s="229" t="s">
        <v>174</v>
      </c>
      <c r="G8" s="229" t="s">
        <v>4</v>
      </c>
      <c r="H8" s="229" t="s">
        <v>3</v>
      </c>
      <c r="I8" s="229" t="s">
        <v>174</v>
      </c>
      <c r="J8" s="229" t="s">
        <v>4</v>
      </c>
      <c r="K8" s="229" t="s">
        <v>3</v>
      </c>
      <c r="L8" s="229" t="s">
        <v>174</v>
      </c>
      <c r="M8" s="229" t="s">
        <v>4</v>
      </c>
      <c r="N8" s="229" t="s">
        <v>3</v>
      </c>
      <c r="O8" s="229" t="s">
        <v>174</v>
      </c>
      <c r="P8" s="229" t="s">
        <v>4</v>
      </c>
      <c r="Q8" s="229" t="s">
        <v>4</v>
      </c>
      <c r="R8" s="229" t="s">
        <v>4</v>
      </c>
      <c r="S8" s="229" t="s">
        <v>3</v>
      </c>
      <c r="T8" s="229" t="s">
        <v>174</v>
      </c>
      <c r="U8" s="230" t="s">
        <v>4</v>
      </c>
      <c r="V8" s="63" t="s">
        <v>17</v>
      </c>
      <c r="X8" s="5" t="s">
        <v>248</v>
      </c>
    </row>
    <row r="9" spans="1:30" x14ac:dyDescent="0.2">
      <c r="A9" s="260" t="s">
        <v>306</v>
      </c>
      <c r="B9" s="261">
        <v>7228</v>
      </c>
      <c r="C9" s="261">
        <v>6769</v>
      </c>
      <c r="D9" s="261">
        <f>1542458-G9-M9</f>
        <v>1667852</v>
      </c>
      <c r="E9" s="261">
        <v>0</v>
      </c>
      <c r="F9" s="261">
        <v>0</v>
      </c>
      <c r="G9" s="261">
        <v>2099</v>
      </c>
      <c r="H9" s="261">
        <v>0</v>
      </c>
      <c r="I9" s="261">
        <v>0</v>
      </c>
      <c r="J9" s="261">
        <v>0</v>
      </c>
      <c r="K9" s="261">
        <v>0</v>
      </c>
      <c r="L9" s="261">
        <v>0</v>
      </c>
      <c r="M9" s="261">
        <v>-127493</v>
      </c>
      <c r="N9" s="261">
        <v>0</v>
      </c>
      <c r="O9" s="261">
        <v>0</v>
      </c>
      <c r="P9" s="272">
        <v>30120.047354363749</v>
      </c>
      <c r="Q9" s="261">
        <v>59416.085123074437</v>
      </c>
      <c r="R9" s="272">
        <v>3850.9963135558542</v>
      </c>
      <c r="S9" s="255">
        <f t="shared" ref="S9:T12" si="0">B9+N9</f>
        <v>7228</v>
      </c>
      <c r="T9" s="255">
        <f t="shared" si="0"/>
        <v>6769</v>
      </c>
      <c r="U9" s="173">
        <f t="shared" ref="U9:U12" si="1">D9+P9+Q9+R9+J9+M9+G9</f>
        <v>1635845.1287909942</v>
      </c>
      <c r="V9" s="63" t="s">
        <v>17</v>
      </c>
      <c r="W9" s="278"/>
      <c r="X9" s="164"/>
    </row>
    <row r="10" spans="1:30" x14ac:dyDescent="0.2">
      <c r="A10" s="273" t="s">
        <v>331</v>
      </c>
      <c r="B10" s="177">
        <v>12870</v>
      </c>
      <c r="C10" s="177">
        <v>12361</v>
      </c>
      <c r="D10" s="177">
        <f>3001713-G10-M10</f>
        <v>3253626</v>
      </c>
      <c r="E10" s="177">
        <v>0</v>
      </c>
      <c r="F10" s="177">
        <v>0</v>
      </c>
      <c r="G10" s="177">
        <v>4026</v>
      </c>
      <c r="H10" s="177">
        <v>0</v>
      </c>
      <c r="I10" s="177">
        <v>0</v>
      </c>
      <c r="J10" s="177">
        <v>0</v>
      </c>
      <c r="K10" s="177">
        <v>0</v>
      </c>
      <c r="L10" s="177">
        <v>0</v>
      </c>
      <c r="M10" s="177">
        <v>-255939</v>
      </c>
      <c r="N10" s="177">
        <v>0</v>
      </c>
      <c r="O10" s="177">
        <v>0</v>
      </c>
      <c r="P10" s="272">
        <v>58757.832945242801</v>
      </c>
      <c r="Q10" s="261">
        <v>115908.1977145743</v>
      </c>
      <c r="R10" s="272">
        <v>7512.4781645430639</v>
      </c>
      <c r="S10" s="177">
        <f t="shared" si="0"/>
        <v>12870</v>
      </c>
      <c r="T10" s="177">
        <f t="shared" si="0"/>
        <v>12361</v>
      </c>
      <c r="U10" s="173">
        <f t="shared" si="1"/>
        <v>3183891.5088243601</v>
      </c>
      <c r="V10" s="63" t="s">
        <v>17</v>
      </c>
      <c r="W10" s="278"/>
      <c r="X10" s="164" t="s">
        <v>249</v>
      </c>
    </row>
    <row r="11" spans="1:30" x14ac:dyDescent="0.2">
      <c r="A11" s="273" t="s">
        <v>332</v>
      </c>
      <c r="B11" s="177">
        <v>12129</v>
      </c>
      <c r="C11" s="177">
        <v>11480</v>
      </c>
      <c r="D11" s="177">
        <f>2477389-G11-M11</f>
        <v>2607173</v>
      </c>
      <c r="E11" s="177">
        <v>0</v>
      </c>
      <c r="F11" s="177">
        <v>0</v>
      </c>
      <c r="G11" s="177">
        <v>3272</v>
      </c>
      <c r="H11" s="177">
        <v>0</v>
      </c>
      <c r="I11" s="177">
        <v>0</v>
      </c>
      <c r="J11" s="177">
        <v>0</v>
      </c>
      <c r="K11" s="177">
        <v>0</v>
      </c>
      <c r="L11" s="177">
        <v>0</v>
      </c>
      <c r="M11" s="177">
        <v>-133056</v>
      </c>
      <c r="N11" s="177">
        <v>0</v>
      </c>
      <c r="O11" s="177">
        <v>0</v>
      </c>
      <c r="P11" s="272">
        <v>47083.418805156929</v>
      </c>
      <c r="Q11" s="261">
        <v>92878.752370462928</v>
      </c>
      <c r="R11" s="272">
        <v>6019.8468520002716</v>
      </c>
      <c r="S11" s="177">
        <f t="shared" si="0"/>
        <v>12129</v>
      </c>
      <c r="T11" s="177">
        <f t="shared" si="0"/>
        <v>11480</v>
      </c>
      <c r="U11" s="173">
        <f t="shared" si="1"/>
        <v>2623371.0180276199</v>
      </c>
      <c r="V11" s="63" t="s">
        <v>17</v>
      </c>
      <c r="W11" s="278"/>
      <c r="X11" s="164" t="s">
        <v>250</v>
      </c>
    </row>
    <row r="12" spans="1:30" x14ac:dyDescent="0.2">
      <c r="A12" s="257" t="s">
        <v>333</v>
      </c>
      <c r="B12" s="258">
        <v>2127</v>
      </c>
      <c r="C12" s="258">
        <v>2018</v>
      </c>
      <c r="D12" s="258">
        <f>462023-G12-M12</f>
        <v>486661</v>
      </c>
      <c r="E12" s="258">
        <v>0</v>
      </c>
      <c r="F12" s="258">
        <v>0</v>
      </c>
      <c r="G12" s="258">
        <v>623</v>
      </c>
      <c r="H12" s="258">
        <v>0</v>
      </c>
      <c r="I12" s="258">
        <v>0</v>
      </c>
      <c r="J12" s="258">
        <v>0</v>
      </c>
      <c r="K12" s="258">
        <v>0</v>
      </c>
      <c r="L12" s="258">
        <v>0</v>
      </c>
      <c r="M12" s="258">
        <v>-25261</v>
      </c>
      <c r="N12" s="258">
        <v>0</v>
      </c>
      <c r="O12" s="258">
        <v>0</v>
      </c>
      <c r="P12" s="272">
        <v>8788.7008952365177</v>
      </c>
      <c r="Q12" s="261">
        <v>17336.964791888324</v>
      </c>
      <c r="R12" s="272">
        <v>1123.6786699008098</v>
      </c>
      <c r="S12" s="258">
        <f t="shared" si="0"/>
        <v>2127</v>
      </c>
      <c r="T12" s="177">
        <f t="shared" si="0"/>
        <v>2018</v>
      </c>
      <c r="U12" s="259">
        <f t="shared" si="1"/>
        <v>489272.34435702563</v>
      </c>
      <c r="V12" s="63" t="s">
        <v>17</v>
      </c>
      <c r="W12" s="278"/>
    </row>
    <row r="13" spans="1:30" ht="15" x14ac:dyDescent="0.25">
      <c r="A13" s="13" t="s">
        <v>177</v>
      </c>
      <c r="B13" s="137">
        <f t="shared" ref="B13:U13" si="2">SUM(B9:B12)</f>
        <v>34354</v>
      </c>
      <c r="C13" s="137">
        <f t="shared" si="2"/>
        <v>32628</v>
      </c>
      <c r="D13" s="137">
        <f t="shared" si="2"/>
        <v>8015312</v>
      </c>
      <c r="E13" s="137">
        <f t="shared" si="2"/>
        <v>0</v>
      </c>
      <c r="F13" s="137">
        <f t="shared" si="2"/>
        <v>0</v>
      </c>
      <c r="G13" s="137">
        <f t="shared" si="2"/>
        <v>10020</v>
      </c>
      <c r="H13" s="137">
        <f t="shared" si="2"/>
        <v>0</v>
      </c>
      <c r="I13" s="137">
        <f t="shared" si="2"/>
        <v>0</v>
      </c>
      <c r="J13" s="137">
        <f t="shared" si="2"/>
        <v>0</v>
      </c>
      <c r="K13" s="137">
        <f t="shared" si="2"/>
        <v>0</v>
      </c>
      <c r="L13" s="137">
        <f t="shared" si="2"/>
        <v>0</v>
      </c>
      <c r="M13" s="137">
        <f t="shared" si="2"/>
        <v>-541749</v>
      </c>
      <c r="N13" s="137">
        <f t="shared" si="2"/>
        <v>0</v>
      </c>
      <c r="O13" s="137">
        <f t="shared" si="2"/>
        <v>0</v>
      </c>
      <c r="P13" s="357">
        <f t="shared" si="2"/>
        <v>144750</v>
      </c>
      <c r="Q13" s="137">
        <f t="shared" si="2"/>
        <v>285539.99999999994</v>
      </c>
      <c r="R13" s="137">
        <f t="shared" si="2"/>
        <v>18507</v>
      </c>
      <c r="S13" s="137">
        <f t="shared" si="2"/>
        <v>34354</v>
      </c>
      <c r="T13" s="137">
        <f t="shared" si="2"/>
        <v>32628</v>
      </c>
      <c r="U13" s="138">
        <f t="shared" si="2"/>
        <v>7932380.0000000009</v>
      </c>
      <c r="V13" s="63" t="s">
        <v>17</v>
      </c>
      <c r="X13" s="5" t="s">
        <v>251</v>
      </c>
    </row>
    <row r="14" spans="1:30" x14ac:dyDescent="0.2">
      <c r="A14" s="260" t="s">
        <v>31</v>
      </c>
      <c r="B14" s="261"/>
      <c r="C14" s="261">
        <v>3062</v>
      </c>
      <c r="D14" s="261"/>
      <c r="E14" s="261"/>
      <c r="F14" s="261">
        <v>0</v>
      </c>
      <c r="G14" s="261"/>
      <c r="H14" s="261"/>
      <c r="I14" s="261">
        <v>0</v>
      </c>
      <c r="J14" s="261"/>
      <c r="K14" s="261"/>
      <c r="L14" s="261">
        <v>0</v>
      </c>
      <c r="M14" s="261"/>
      <c r="N14" s="261"/>
      <c r="O14" s="261">
        <v>0</v>
      </c>
      <c r="P14" s="261"/>
      <c r="Q14" s="261"/>
      <c r="R14" s="261"/>
      <c r="S14" s="261"/>
      <c r="T14" s="261">
        <f>C14+O14+I14</f>
        <v>3062</v>
      </c>
      <c r="U14" s="262"/>
      <c r="V14" s="63" t="s">
        <v>17</v>
      </c>
    </row>
    <row r="15" spans="1:30" ht="15" x14ac:dyDescent="0.25">
      <c r="A15" s="216" t="s">
        <v>178</v>
      </c>
      <c r="B15" s="177"/>
      <c r="C15" s="177">
        <f>C13+C14</f>
        <v>35690</v>
      </c>
      <c r="D15" s="177"/>
      <c r="E15" s="177"/>
      <c r="F15" s="177">
        <f>F13+F14</f>
        <v>0</v>
      </c>
      <c r="G15" s="177"/>
      <c r="H15" s="177"/>
      <c r="I15" s="177">
        <f>I13+I14</f>
        <v>0</v>
      </c>
      <c r="J15" s="177"/>
      <c r="K15" s="177"/>
      <c r="L15" s="177">
        <f>L13+L14</f>
        <v>0</v>
      </c>
      <c r="M15" s="177"/>
      <c r="N15" s="177"/>
      <c r="O15" s="177">
        <f>O13+O14</f>
        <v>0</v>
      </c>
      <c r="P15" s="177"/>
      <c r="Q15" s="177"/>
      <c r="R15" s="177"/>
      <c r="S15" s="177"/>
      <c r="T15" s="261">
        <f>T13+T14</f>
        <v>35690</v>
      </c>
      <c r="U15" s="173"/>
      <c r="V15" s="63" t="s">
        <v>17</v>
      </c>
      <c r="X15" s="21" t="s">
        <v>103</v>
      </c>
    </row>
    <row r="16" spans="1:30" x14ac:dyDescent="0.2">
      <c r="A16" s="216"/>
      <c r="B16" s="177"/>
      <c r="C16" s="177"/>
      <c r="D16" s="177"/>
      <c r="E16" s="177"/>
      <c r="F16" s="177"/>
      <c r="G16" s="177"/>
      <c r="H16" s="177"/>
      <c r="I16" s="177"/>
      <c r="J16" s="177"/>
      <c r="K16" s="177"/>
      <c r="L16" s="177"/>
      <c r="M16" s="177"/>
      <c r="N16" s="177"/>
      <c r="O16" s="177"/>
      <c r="P16" s="177"/>
      <c r="Q16" s="177"/>
      <c r="R16" s="177"/>
      <c r="S16" s="177"/>
      <c r="T16" s="177"/>
      <c r="U16" s="173"/>
      <c r="V16" s="63" t="s">
        <v>17</v>
      </c>
    </row>
    <row r="17" spans="1:22" x14ac:dyDescent="0.2">
      <c r="A17" s="216" t="s">
        <v>32</v>
      </c>
      <c r="B17" s="177"/>
      <c r="C17" s="177"/>
      <c r="D17" s="177"/>
      <c r="E17" s="177"/>
      <c r="F17" s="177"/>
      <c r="G17" s="177"/>
      <c r="H17" s="177"/>
      <c r="I17" s="177"/>
      <c r="J17" s="177"/>
      <c r="K17" s="177"/>
      <c r="L17" s="177"/>
      <c r="M17" s="177"/>
      <c r="N17" s="177"/>
      <c r="O17" s="177"/>
      <c r="P17" s="177"/>
      <c r="Q17" s="177"/>
      <c r="R17" s="177"/>
      <c r="S17" s="177"/>
      <c r="T17" s="177"/>
      <c r="U17" s="173"/>
      <c r="V17" s="63" t="s">
        <v>17</v>
      </c>
    </row>
    <row r="18" spans="1:22" x14ac:dyDescent="0.2">
      <c r="A18" s="263" t="s">
        <v>33</v>
      </c>
      <c r="B18" s="177"/>
      <c r="C18" s="177">
        <v>0</v>
      </c>
      <c r="D18" s="177"/>
      <c r="E18" s="177"/>
      <c r="F18" s="177">
        <v>0</v>
      </c>
      <c r="G18" s="177"/>
      <c r="H18" s="177"/>
      <c r="I18" s="177">
        <v>0</v>
      </c>
      <c r="J18" s="177"/>
      <c r="K18" s="177"/>
      <c r="L18" s="177">
        <v>0</v>
      </c>
      <c r="M18" s="177"/>
      <c r="N18" s="177"/>
      <c r="O18" s="177">
        <v>0</v>
      </c>
      <c r="P18" s="177"/>
      <c r="Q18" s="177"/>
      <c r="R18" s="177"/>
      <c r="S18" s="177"/>
      <c r="T18" s="177">
        <f>C18+O18+I18</f>
        <v>0</v>
      </c>
      <c r="U18" s="173"/>
      <c r="V18" s="63" t="s">
        <v>17</v>
      </c>
    </row>
    <row r="19" spans="1:22" x14ac:dyDescent="0.2">
      <c r="A19" s="264" t="s">
        <v>34</v>
      </c>
      <c r="B19" s="265"/>
      <c r="C19" s="265">
        <v>0</v>
      </c>
      <c r="D19" s="265"/>
      <c r="E19" s="265"/>
      <c r="F19" s="265">
        <v>0</v>
      </c>
      <c r="G19" s="265"/>
      <c r="H19" s="265"/>
      <c r="I19" s="265">
        <v>0</v>
      </c>
      <c r="J19" s="265"/>
      <c r="K19" s="265"/>
      <c r="L19" s="265">
        <v>0</v>
      </c>
      <c r="M19" s="265"/>
      <c r="N19" s="265"/>
      <c r="O19" s="265">
        <v>0</v>
      </c>
      <c r="P19" s="265"/>
      <c r="Q19" s="265"/>
      <c r="R19" s="265"/>
      <c r="S19" s="265"/>
      <c r="T19" s="177">
        <f>C19+O19+I18</f>
        <v>0</v>
      </c>
      <c r="U19" s="266"/>
      <c r="V19" s="63" t="s">
        <v>17</v>
      </c>
    </row>
    <row r="20" spans="1:22" ht="15" thickBot="1" x14ac:dyDescent="0.25">
      <c r="A20" s="267" t="s">
        <v>179</v>
      </c>
      <c r="B20" s="268"/>
      <c r="C20" s="268">
        <f>C15+C18+C19</f>
        <v>35690</v>
      </c>
      <c r="D20" s="268"/>
      <c r="E20" s="268"/>
      <c r="F20" s="268">
        <f>F15+F18+F19</f>
        <v>0</v>
      </c>
      <c r="G20" s="268"/>
      <c r="H20" s="268"/>
      <c r="I20" s="268">
        <f>I15+I18+I19</f>
        <v>0</v>
      </c>
      <c r="J20" s="268"/>
      <c r="K20" s="268"/>
      <c r="L20" s="268">
        <f>L15+L18+L19</f>
        <v>0</v>
      </c>
      <c r="M20" s="268"/>
      <c r="N20" s="268"/>
      <c r="O20" s="268">
        <f>O15+O18+O19</f>
        <v>0</v>
      </c>
      <c r="P20" s="268"/>
      <c r="Q20" s="268"/>
      <c r="R20" s="268"/>
      <c r="S20" s="268"/>
      <c r="T20" s="268">
        <f>SUM(T15,T18:T19)</f>
        <v>35690</v>
      </c>
      <c r="U20" s="269"/>
      <c r="V20" s="63" t="s">
        <v>17</v>
      </c>
    </row>
    <row r="21" spans="1:22" ht="15" x14ac:dyDescent="0.25">
      <c r="A21" s="202" t="s">
        <v>276</v>
      </c>
      <c r="B21" s="270"/>
      <c r="C21" s="270"/>
      <c r="D21" s="270"/>
      <c r="E21" s="270"/>
      <c r="F21" s="270"/>
      <c r="G21" s="270"/>
      <c r="H21" s="270"/>
      <c r="I21" s="270"/>
      <c r="J21" s="270"/>
      <c r="K21" s="270"/>
      <c r="L21" s="270"/>
      <c r="M21" s="270"/>
      <c r="N21" s="270"/>
      <c r="O21" s="270"/>
      <c r="P21" s="270"/>
      <c r="Q21" s="270"/>
      <c r="R21" s="270"/>
      <c r="S21" s="270"/>
      <c r="T21" s="270"/>
      <c r="U21" s="270"/>
      <c r="V21" s="63" t="s">
        <v>17</v>
      </c>
    </row>
    <row r="22" spans="1:22" x14ac:dyDescent="0.2">
      <c r="A22" s="495" t="s">
        <v>288</v>
      </c>
      <c r="B22" s="495"/>
      <c r="C22" s="495"/>
      <c r="D22" s="495"/>
      <c r="E22" s="495"/>
      <c r="F22" s="495"/>
      <c r="G22" s="495"/>
      <c r="H22" s="495"/>
      <c r="I22" s="495"/>
      <c r="J22" s="495"/>
      <c r="K22" s="495"/>
      <c r="L22" s="495"/>
      <c r="M22" s="495"/>
      <c r="N22" s="495"/>
      <c r="O22" s="495"/>
      <c r="P22" s="495"/>
      <c r="Q22" s="495"/>
      <c r="R22" s="495"/>
      <c r="S22" s="495"/>
      <c r="T22" s="495"/>
      <c r="U22" s="495"/>
      <c r="V22" s="63" t="s">
        <v>17</v>
      </c>
    </row>
    <row r="23" spans="1:22" x14ac:dyDescent="0.2">
      <c r="A23" s="362" t="s">
        <v>441</v>
      </c>
      <c r="B23" s="214"/>
      <c r="C23" s="214"/>
      <c r="D23" s="214"/>
      <c r="E23" s="214"/>
      <c r="F23" s="214"/>
      <c r="G23" s="214"/>
      <c r="H23" s="214"/>
      <c r="I23" s="214"/>
      <c r="J23" s="214"/>
      <c r="K23" s="214"/>
      <c r="L23" s="214"/>
      <c r="M23" s="214"/>
      <c r="N23" s="214"/>
      <c r="O23" s="214"/>
      <c r="P23" s="214"/>
      <c r="Q23" s="214"/>
      <c r="R23" s="214"/>
      <c r="S23" s="214"/>
      <c r="T23" s="214"/>
      <c r="U23" s="214"/>
      <c r="V23" s="63" t="s">
        <v>17</v>
      </c>
    </row>
    <row r="24" spans="1:22" x14ac:dyDescent="0.2">
      <c r="V24" s="63" t="s">
        <v>17</v>
      </c>
    </row>
    <row r="25" spans="1:22" ht="15" x14ac:dyDescent="0.25">
      <c r="A25" s="5" t="s">
        <v>96</v>
      </c>
      <c r="V25" s="63" t="s">
        <v>17</v>
      </c>
    </row>
    <row r="26" spans="1:22" x14ac:dyDescent="0.2">
      <c r="A26" s="276" t="s">
        <v>338</v>
      </c>
      <c r="V26" s="63" t="s">
        <v>17</v>
      </c>
    </row>
    <row r="27" spans="1:22" x14ac:dyDescent="0.2">
      <c r="A27" s="277" t="s">
        <v>337</v>
      </c>
      <c r="V27" s="63" t="s">
        <v>17</v>
      </c>
    </row>
    <row r="28" spans="1:22" x14ac:dyDescent="0.2">
      <c r="A28" s="277" t="s">
        <v>335</v>
      </c>
      <c r="V28" s="63" t="s">
        <v>17</v>
      </c>
    </row>
    <row r="29" spans="1:22" x14ac:dyDescent="0.2">
      <c r="A29" s="277" t="s">
        <v>336</v>
      </c>
      <c r="V29" s="63" t="s">
        <v>17</v>
      </c>
    </row>
    <row r="30" spans="1:22" x14ac:dyDescent="0.2">
      <c r="A30" s="277" t="s">
        <v>434</v>
      </c>
      <c r="V30" s="63" t="s">
        <v>17</v>
      </c>
    </row>
    <row r="31" spans="1:22" x14ac:dyDescent="0.2">
      <c r="A31" s="277" t="s">
        <v>452</v>
      </c>
      <c r="B31" s="277"/>
      <c r="C31" s="277"/>
      <c r="D31" s="277"/>
      <c r="E31" s="277"/>
      <c r="F31" s="277"/>
      <c r="G31" s="277"/>
      <c r="H31" s="277"/>
      <c r="I31" s="277"/>
      <c r="J31" s="277"/>
      <c r="K31" s="277"/>
      <c r="L31" s="277"/>
      <c r="M31" s="277"/>
      <c r="N31" s="277"/>
      <c r="O31" s="277"/>
      <c r="P31" s="277"/>
      <c r="Q31" s="277"/>
      <c r="R31" s="277"/>
      <c r="S31" s="277"/>
      <c r="T31" s="277"/>
      <c r="U31" s="277"/>
      <c r="V31" s="63" t="s">
        <v>17</v>
      </c>
    </row>
    <row r="32" spans="1:22" x14ac:dyDescent="0.2">
      <c r="A32" s="277" t="s">
        <v>453</v>
      </c>
      <c r="B32" s="277"/>
      <c r="C32" s="277"/>
      <c r="D32" s="277"/>
      <c r="E32" s="277"/>
      <c r="F32" s="277"/>
      <c r="G32" s="277"/>
      <c r="H32" s="277"/>
      <c r="I32" s="277"/>
      <c r="J32" s="277"/>
      <c r="K32" s="277"/>
      <c r="L32" s="277"/>
      <c r="M32" s="277"/>
      <c r="N32" s="277"/>
      <c r="O32" s="277"/>
      <c r="P32" s="277"/>
      <c r="Q32" s="277"/>
      <c r="R32" s="277"/>
      <c r="S32" s="277"/>
      <c r="T32" s="277"/>
      <c r="U32" s="277"/>
      <c r="V32" s="63"/>
    </row>
    <row r="33" spans="1:22" x14ac:dyDescent="0.2">
      <c r="A33" s="277" t="s">
        <v>448</v>
      </c>
      <c r="B33" s="271"/>
      <c r="C33" s="271"/>
      <c r="D33" s="271"/>
      <c r="E33" s="271"/>
      <c r="F33" s="271"/>
      <c r="G33" s="271"/>
      <c r="H33" s="271"/>
      <c r="I33" s="271"/>
      <c r="J33" s="271"/>
      <c r="K33" s="271"/>
      <c r="L33" s="271"/>
      <c r="M33" s="271"/>
      <c r="N33" s="271"/>
      <c r="O33" s="271"/>
      <c r="P33" s="271"/>
      <c r="Q33" s="271"/>
      <c r="R33" s="271"/>
      <c r="S33" s="271"/>
      <c r="T33" s="271"/>
      <c r="U33" s="271"/>
      <c r="V33" s="63" t="s">
        <v>17</v>
      </c>
    </row>
    <row r="34" spans="1:22" x14ac:dyDescent="0.2">
      <c r="A34" s="271"/>
      <c r="B34" s="271"/>
      <c r="C34" s="271"/>
      <c r="D34" s="271"/>
      <c r="E34" s="271"/>
      <c r="F34" s="271"/>
      <c r="G34" s="271"/>
      <c r="H34" s="271"/>
      <c r="I34" s="271"/>
      <c r="J34" s="271"/>
      <c r="K34" s="271"/>
      <c r="L34" s="271"/>
      <c r="M34" s="271"/>
      <c r="N34" s="271"/>
      <c r="O34" s="271"/>
      <c r="P34" s="271"/>
      <c r="Q34" s="271"/>
      <c r="R34" s="271"/>
      <c r="S34" s="271"/>
      <c r="T34" s="271"/>
      <c r="U34" s="271"/>
      <c r="V34" s="63" t="s">
        <v>17</v>
      </c>
    </row>
    <row r="35" spans="1:22" ht="15" x14ac:dyDescent="0.25">
      <c r="A35" s="5" t="s">
        <v>228</v>
      </c>
      <c r="V35" s="63" t="s">
        <v>17</v>
      </c>
    </row>
    <row r="36" spans="1:22" x14ac:dyDescent="0.2">
      <c r="A36" s="494" t="s">
        <v>460</v>
      </c>
      <c r="B36" s="494"/>
      <c r="C36" s="494"/>
      <c r="D36" s="494"/>
      <c r="E36" s="494"/>
      <c r="F36" s="494"/>
      <c r="G36" s="494"/>
      <c r="H36" s="494"/>
      <c r="I36" s="494"/>
      <c r="J36" s="494"/>
      <c r="K36" s="494"/>
      <c r="L36" s="494"/>
      <c r="M36" s="494"/>
      <c r="N36" s="494"/>
      <c r="O36" s="494"/>
      <c r="P36" s="494"/>
      <c r="Q36" s="494"/>
      <c r="R36" s="494"/>
      <c r="S36" s="494"/>
      <c r="T36" s="494"/>
      <c r="U36" s="494"/>
      <c r="V36" s="63" t="s">
        <v>17</v>
      </c>
    </row>
    <row r="37" spans="1:22" x14ac:dyDescent="0.2">
      <c r="A37" s="494"/>
      <c r="B37" s="494"/>
      <c r="C37" s="494"/>
      <c r="D37" s="494"/>
      <c r="E37" s="494"/>
      <c r="F37" s="494"/>
      <c r="G37" s="494"/>
      <c r="H37" s="494"/>
      <c r="I37" s="494"/>
      <c r="J37" s="494"/>
      <c r="K37" s="494"/>
      <c r="L37" s="494"/>
      <c r="M37" s="494"/>
      <c r="N37" s="494"/>
      <c r="O37" s="494"/>
      <c r="P37" s="494"/>
      <c r="Q37" s="494"/>
      <c r="R37" s="494"/>
      <c r="S37" s="494"/>
      <c r="T37" s="494"/>
      <c r="U37" s="494"/>
      <c r="V37" s="63"/>
    </row>
    <row r="38" spans="1:22" x14ac:dyDescent="0.2">
      <c r="A38" s="189" t="s">
        <v>461</v>
      </c>
      <c r="B38" s="271"/>
      <c r="C38" s="271"/>
      <c r="D38" s="271"/>
      <c r="E38" s="271"/>
      <c r="F38" s="271"/>
      <c r="G38" s="271"/>
      <c r="H38" s="271"/>
      <c r="I38" s="271"/>
      <c r="J38" s="271"/>
      <c r="K38" s="271"/>
      <c r="L38" s="271"/>
      <c r="M38" s="271"/>
      <c r="N38" s="271"/>
      <c r="O38" s="271"/>
      <c r="P38" s="271"/>
      <c r="Q38" s="271"/>
      <c r="R38" s="271"/>
      <c r="S38" s="271"/>
      <c r="T38" s="271"/>
      <c r="U38" s="271"/>
      <c r="V38" s="63" t="s">
        <v>17</v>
      </c>
    </row>
    <row r="39" spans="1:22" ht="15" x14ac:dyDescent="0.25">
      <c r="A39" s="5" t="s">
        <v>229</v>
      </c>
      <c r="V39" s="63" t="s">
        <v>17</v>
      </c>
    </row>
    <row r="40" spans="1:22" x14ac:dyDescent="0.2">
      <c r="A40" s="277" t="s">
        <v>327</v>
      </c>
      <c r="B40" s="271"/>
      <c r="C40" s="271"/>
      <c r="D40" s="271"/>
      <c r="E40" s="271"/>
      <c r="F40" s="271"/>
      <c r="G40" s="271"/>
      <c r="H40" s="271"/>
      <c r="I40" s="271"/>
      <c r="J40" s="271"/>
      <c r="K40" s="271"/>
      <c r="L40" s="271"/>
      <c r="M40" s="271"/>
      <c r="N40" s="271"/>
      <c r="O40" s="271"/>
      <c r="P40" s="271"/>
      <c r="Q40" s="271"/>
      <c r="R40" s="271"/>
      <c r="S40" s="271"/>
      <c r="T40" s="271"/>
      <c r="U40" s="271"/>
      <c r="V40" s="63" t="s">
        <v>17</v>
      </c>
    </row>
    <row r="41" spans="1:22" x14ac:dyDescent="0.2">
      <c r="A41" s="277" t="s">
        <v>328</v>
      </c>
      <c r="B41" s="271"/>
      <c r="C41" s="271"/>
      <c r="D41" s="271"/>
      <c r="E41" s="271"/>
      <c r="F41" s="271"/>
      <c r="G41" s="271"/>
      <c r="H41" s="271"/>
      <c r="I41" s="271"/>
      <c r="J41" s="271"/>
      <c r="K41" s="271"/>
      <c r="L41" s="271"/>
      <c r="M41" s="271"/>
      <c r="N41" s="271"/>
      <c r="O41" s="271"/>
      <c r="P41" s="271"/>
      <c r="Q41" s="271"/>
      <c r="R41" s="271"/>
      <c r="S41" s="271"/>
      <c r="T41" s="271"/>
      <c r="U41" s="271"/>
      <c r="V41" s="63" t="s">
        <v>17</v>
      </c>
    </row>
    <row r="42" spans="1:22" x14ac:dyDescent="0.2">
      <c r="A42" s="277" t="s">
        <v>329</v>
      </c>
      <c r="V42" s="63" t="s">
        <v>17</v>
      </c>
    </row>
    <row r="43" spans="1:22" x14ac:dyDescent="0.2">
      <c r="A43" s="277" t="s">
        <v>330</v>
      </c>
      <c r="V43" s="63" t="s">
        <v>17</v>
      </c>
    </row>
  </sheetData>
  <mergeCells count="13">
    <mergeCell ref="A36:U37"/>
    <mergeCell ref="S7:U7"/>
    <mergeCell ref="A22:U22"/>
    <mergeCell ref="A1:U1"/>
    <mergeCell ref="A2:U2"/>
    <mergeCell ref="A3:U3"/>
    <mergeCell ref="A4:U4"/>
    <mergeCell ref="A7:A8"/>
    <mergeCell ref="B7:D7"/>
    <mergeCell ref="E7:G7"/>
    <mergeCell ref="H7:J7"/>
    <mergeCell ref="K7:M7"/>
    <mergeCell ref="N7:P7"/>
  </mergeCells>
  <printOptions horizontalCentered="1"/>
  <pageMargins left="0.7" right="0.7" top="0.64" bottom="0.61" header="0.3" footer="0.3"/>
  <pageSetup scale="54" fitToHeight="0"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view="pageBreakPreview" topLeftCell="C1" zoomScale="80" zoomScaleNormal="100" zoomScaleSheetLayoutView="80" workbookViewId="0">
      <selection activeCell="P55" sqref="P55"/>
    </sheetView>
  </sheetViews>
  <sheetFormatPr defaultColWidth="9.140625" defaultRowHeight="14.25" x14ac:dyDescent="0.2"/>
  <cols>
    <col min="1" max="1" width="37.140625" style="165" customWidth="1"/>
    <col min="2" max="3" width="8.28515625" style="165" customWidth="1"/>
    <col min="4" max="4" width="12.7109375" style="165" customWidth="1"/>
    <col min="5" max="5" width="15" style="165" customWidth="1"/>
    <col min="6" max="6" width="8.28515625" style="165" customWidth="1"/>
    <col min="7" max="7" width="9.85546875" style="165" customWidth="1"/>
    <col min="8" max="10" width="12.7109375" style="165" customWidth="1"/>
    <col min="11" max="11" width="8.28515625" style="165" customWidth="1"/>
    <col min="12" max="12" width="11.42578125" style="165" customWidth="1"/>
    <col min="13" max="13" width="12.7109375" style="165" customWidth="1"/>
    <col min="14" max="14" width="14" style="4" bestFit="1" customWidth="1"/>
    <col min="15" max="15" width="4.5703125" style="165" customWidth="1"/>
    <col min="16" max="16" width="116.7109375" style="165" customWidth="1"/>
    <col min="17" max="18" width="8.28515625" style="165" customWidth="1"/>
    <col min="19" max="19" width="12.7109375" style="165" customWidth="1"/>
    <col min="20" max="21" width="8.28515625" style="165" customWidth="1"/>
    <col min="22" max="22" width="12.7109375" style="165" customWidth="1"/>
    <col min="23" max="16384" width="9.140625" style="165"/>
  </cols>
  <sheetData>
    <row r="1" spans="1:22" ht="18" x14ac:dyDescent="0.25">
      <c r="A1" s="433" t="s">
        <v>269</v>
      </c>
      <c r="B1" s="433"/>
      <c r="C1" s="433"/>
      <c r="D1" s="433"/>
      <c r="E1" s="433"/>
      <c r="F1" s="433"/>
      <c r="G1" s="433"/>
      <c r="H1" s="433"/>
      <c r="I1" s="433"/>
      <c r="J1" s="433"/>
      <c r="K1" s="433"/>
      <c r="L1" s="433"/>
      <c r="M1" s="433"/>
      <c r="N1" s="63" t="s">
        <v>17</v>
      </c>
      <c r="O1" s="6"/>
      <c r="P1" s="108" t="s">
        <v>25</v>
      </c>
      <c r="Q1" s="6"/>
      <c r="R1" s="6"/>
      <c r="S1" s="6"/>
      <c r="T1" s="6"/>
      <c r="U1" s="6"/>
      <c r="V1" s="6"/>
    </row>
    <row r="2" spans="1:22" ht="15" x14ac:dyDescent="0.2">
      <c r="A2" s="434" t="s">
        <v>305</v>
      </c>
      <c r="B2" s="434"/>
      <c r="C2" s="434"/>
      <c r="D2" s="434"/>
      <c r="E2" s="434"/>
      <c r="F2" s="434"/>
      <c r="G2" s="434"/>
      <c r="H2" s="434"/>
      <c r="I2" s="434"/>
      <c r="J2" s="434"/>
      <c r="K2" s="434"/>
      <c r="L2" s="434"/>
      <c r="M2" s="434"/>
      <c r="N2" s="63" t="s">
        <v>17</v>
      </c>
      <c r="O2" s="7"/>
      <c r="P2" s="109"/>
      <c r="Q2" s="7"/>
      <c r="R2" s="7"/>
      <c r="S2" s="7"/>
      <c r="T2" s="7"/>
      <c r="U2" s="7"/>
      <c r="V2" s="7"/>
    </row>
    <row r="3" spans="1:22" ht="15" x14ac:dyDescent="0.25">
      <c r="A3" s="435" t="s">
        <v>1</v>
      </c>
      <c r="B3" s="435"/>
      <c r="C3" s="435"/>
      <c r="D3" s="435"/>
      <c r="E3" s="435"/>
      <c r="F3" s="435"/>
      <c r="G3" s="435"/>
      <c r="H3" s="435"/>
      <c r="I3" s="435"/>
      <c r="J3" s="435"/>
      <c r="K3" s="435"/>
      <c r="L3" s="435"/>
      <c r="M3" s="435"/>
      <c r="N3" s="63" t="s">
        <v>17</v>
      </c>
      <c r="O3" s="189"/>
      <c r="P3" s="109" t="s">
        <v>201</v>
      </c>
      <c r="Q3" s="189"/>
      <c r="R3" s="189"/>
      <c r="S3" s="189"/>
      <c r="T3" s="189"/>
      <c r="U3" s="189"/>
      <c r="V3" s="189"/>
    </row>
    <row r="4" spans="1:22" x14ac:dyDescent="0.2">
      <c r="A4" s="450" t="s">
        <v>2</v>
      </c>
      <c r="B4" s="450"/>
      <c r="C4" s="450"/>
      <c r="D4" s="450"/>
      <c r="E4" s="450"/>
      <c r="F4" s="450"/>
      <c r="G4" s="450"/>
      <c r="H4" s="450"/>
      <c r="I4" s="450"/>
      <c r="J4" s="450"/>
      <c r="K4" s="450"/>
      <c r="L4" s="450"/>
      <c r="M4" s="450"/>
      <c r="N4" s="63" t="s">
        <v>17</v>
      </c>
      <c r="O4" s="188"/>
      <c r="P4" s="109" t="s">
        <v>200</v>
      </c>
      <c r="Q4" s="188"/>
      <c r="R4" s="188"/>
      <c r="S4" s="188"/>
      <c r="T4" s="188"/>
      <c r="U4" s="188"/>
      <c r="V4" s="188"/>
    </row>
    <row r="5" spans="1:22" ht="15.75" thickBot="1" x14ac:dyDescent="0.3">
      <c r="A5" s="188"/>
      <c r="B5" s="188"/>
      <c r="C5" s="188"/>
      <c r="D5" s="188"/>
      <c r="E5" s="188"/>
      <c r="F5" s="188"/>
      <c r="G5" s="188"/>
      <c r="H5" s="188"/>
      <c r="I5" s="188"/>
      <c r="J5" s="188"/>
      <c r="K5" s="188"/>
      <c r="L5" s="188"/>
      <c r="M5" s="188"/>
      <c r="N5" s="63" t="s">
        <v>17</v>
      </c>
      <c r="O5" s="188"/>
      <c r="P5" s="110"/>
      <c r="Q5" s="188"/>
      <c r="R5" s="188"/>
      <c r="S5" s="188"/>
      <c r="T5" s="188"/>
      <c r="U5" s="188"/>
      <c r="V5" s="188"/>
    </row>
    <row r="6" spans="1:22" ht="15" thickBot="1" x14ac:dyDescent="0.25">
      <c r="A6" s="254"/>
      <c r="B6" s="254"/>
      <c r="C6" s="254"/>
      <c r="D6" s="254"/>
      <c r="E6" s="254"/>
      <c r="F6" s="254"/>
      <c r="G6" s="254"/>
      <c r="H6" s="254"/>
      <c r="I6" s="254"/>
      <c r="J6" s="254"/>
      <c r="K6" s="254"/>
      <c r="L6" s="254"/>
      <c r="M6" s="228"/>
      <c r="N6" s="63" t="s">
        <v>17</v>
      </c>
      <c r="O6" s="188"/>
      <c r="P6" s="188"/>
      <c r="Q6" s="188"/>
      <c r="R6" s="188"/>
      <c r="S6" s="188"/>
      <c r="T6" s="188"/>
      <c r="U6" s="188"/>
      <c r="V6" s="188"/>
    </row>
    <row r="7" spans="1:22" ht="47.25" customHeight="1" x14ac:dyDescent="0.25">
      <c r="A7" s="441" t="s">
        <v>180</v>
      </c>
      <c r="B7" s="444" t="s">
        <v>299</v>
      </c>
      <c r="C7" s="444"/>
      <c r="D7" s="444"/>
      <c r="E7" s="444" t="s">
        <v>96</v>
      </c>
      <c r="F7" s="444"/>
      <c r="G7" s="444"/>
      <c r="H7" s="213" t="s">
        <v>97</v>
      </c>
      <c r="I7" s="213" t="s">
        <v>193</v>
      </c>
      <c r="J7" s="444" t="s">
        <v>270</v>
      </c>
      <c r="K7" s="444"/>
      <c r="L7" s="445"/>
      <c r="M7" s="63" t="s">
        <v>17</v>
      </c>
      <c r="N7" s="165"/>
      <c r="O7" s="5" t="s">
        <v>98</v>
      </c>
    </row>
    <row r="8" spans="1:22" ht="28.5" x14ac:dyDescent="0.25">
      <c r="A8" s="442"/>
      <c r="B8" s="229" t="s">
        <v>3</v>
      </c>
      <c r="C8" s="229" t="s">
        <v>175</v>
      </c>
      <c r="D8" s="229" t="s">
        <v>4</v>
      </c>
      <c r="E8" s="229" t="s">
        <v>3</v>
      </c>
      <c r="F8" s="229" t="s">
        <v>175</v>
      </c>
      <c r="G8" s="229" t="s">
        <v>4</v>
      </c>
      <c r="H8" s="229" t="s">
        <v>4</v>
      </c>
      <c r="I8" s="229" t="s">
        <v>4</v>
      </c>
      <c r="J8" s="229" t="s">
        <v>3</v>
      </c>
      <c r="K8" s="229" t="s">
        <v>175</v>
      </c>
      <c r="L8" s="230" t="s">
        <v>4</v>
      </c>
      <c r="M8" s="63" t="s">
        <v>17</v>
      </c>
      <c r="N8" s="165"/>
      <c r="O8" s="5" t="s">
        <v>99</v>
      </c>
    </row>
    <row r="9" spans="1:22" x14ac:dyDescent="0.2">
      <c r="A9" s="260" t="s">
        <v>306</v>
      </c>
      <c r="B9" s="255">
        <v>7251</v>
      </c>
      <c r="C9" s="255">
        <v>6785</v>
      </c>
      <c r="D9" s="255">
        <v>1608611</v>
      </c>
      <c r="E9" s="255">
        <v>0</v>
      </c>
      <c r="F9" s="255">
        <v>0</v>
      </c>
      <c r="G9" s="255">
        <v>156</v>
      </c>
      <c r="H9" s="255">
        <v>49508.601517839015</v>
      </c>
      <c r="I9" s="255">
        <v>7520</v>
      </c>
      <c r="J9" s="255">
        <f t="shared" ref="J9:K12" si="0">B9+E9</f>
        <v>7251</v>
      </c>
      <c r="K9" s="255">
        <f t="shared" si="0"/>
        <v>6785</v>
      </c>
      <c r="L9" s="256">
        <f t="shared" ref="L9:L15" si="1">D9+G9+H9+I9</f>
        <v>1665795.6015178391</v>
      </c>
      <c r="M9" s="63" t="s">
        <v>17</v>
      </c>
      <c r="N9" s="165"/>
      <c r="O9" s="164" t="s">
        <v>100</v>
      </c>
    </row>
    <row r="10" spans="1:22" x14ac:dyDescent="0.2">
      <c r="A10" s="273" t="s">
        <v>331</v>
      </c>
      <c r="B10" s="177">
        <v>13013</v>
      </c>
      <c r="C10" s="177">
        <v>12441</v>
      </c>
      <c r="D10" s="177">
        <v>3356825</v>
      </c>
      <c r="E10" s="177">
        <v>0</v>
      </c>
      <c r="F10" s="177">
        <v>0</v>
      </c>
      <c r="G10" s="177">
        <v>324</v>
      </c>
      <c r="H10" s="177">
        <v>103313.79761180295</v>
      </c>
      <c r="I10" s="177">
        <v>15694</v>
      </c>
      <c r="J10" s="177">
        <f t="shared" si="0"/>
        <v>13013</v>
      </c>
      <c r="K10" s="177">
        <f t="shared" si="0"/>
        <v>12441</v>
      </c>
      <c r="L10" s="173">
        <f t="shared" si="1"/>
        <v>3476156.7976118028</v>
      </c>
      <c r="M10" s="63" t="s">
        <v>17</v>
      </c>
      <c r="N10" s="165"/>
      <c r="O10" s="164" t="s">
        <v>101</v>
      </c>
    </row>
    <row r="11" spans="1:22" x14ac:dyDescent="0.2">
      <c r="A11" s="273" t="s">
        <v>332</v>
      </c>
      <c r="B11" s="177">
        <v>12226</v>
      </c>
      <c r="C11" s="177">
        <v>11539</v>
      </c>
      <c r="D11" s="177">
        <v>2790645</v>
      </c>
      <c r="E11" s="177">
        <v>0</v>
      </c>
      <c r="F11" s="177">
        <v>0</v>
      </c>
      <c r="G11" s="177">
        <v>270</v>
      </c>
      <c r="H11" s="177">
        <v>85888.341732556772</v>
      </c>
      <c r="I11" s="177">
        <v>13047</v>
      </c>
      <c r="J11" s="177">
        <f t="shared" si="0"/>
        <v>12226</v>
      </c>
      <c r="K11" s="177">
        <f t="shared" si="0"/>
        <v>11539</v>
      </c>
      <c r="L11" s="173">
        <f t="shared" si="1"/>
        <v>2889850.3417325569</v>
      </c>
      <c r="M11" s="63" t="s">
        <v>17</v>
      </c>
      <c r="N11" s="165"/>
      <c r="O11" s="164" t="s">
        <v>102</v>
      </c>
    </row>
    <row r="12" spans="1:22" x14ac:dyDescent="0.2">
      <c r="A12" s="257" t="s">
        <v>333</v>
      </c>
      <c r="B12" s="258">
        <v>2466</v>
      </c>
      <c r="C12" s="258">
        <v>2192</v>
      </c>
      <c r="D12" s="258">
        <v>489721</v>
      </c>
      <c r="E12" s="258">
        <v>0</v>
      </c>
      <c r="F12" s="258">
        <v>0</v>
      </c>
      <c r="G12" s="258">
        <v>47</v>
      </c>
      <c r="H12" s="258">
        <v>15072.259137801271</v>
      </c>
      <c r="I12" s="258">
        <v>2289</v>
      </c>
      <c r="J12" s="258">
        <f t="shared" si="0"/>
        <v>2466</v>
      </c>
      <c r="K12" s="258">
        <f t="shared" si="0"/>
        <v>2192</v>
      </c>
      <c r="L12" s="259">
        <f t="shared" si="1"/>
        <v>507129.25913780124</v>
      </c>
      <c r="M12" s="63" t="s">
        <v>17</v>
      </c>
      <c r="N12" s="165"/>
    </row>
    <row r="13" spans="1:22" ht="15" x14ac:dyDescent="0.25">
      <c r="A13" s="13" t="s">
        <v>177</v>
      </c>
      <c r="B13" s="137">
        <f>SUM(B9:B12)</f>
        <v>34956</v>
      </c>
      <c r="C13" s="137">
        <f t="shared" ref="C13:K13" si="2">SUM(C9:C12)</f>
        <v>32957</v>
      </c>
      <c r="D13" s="137">
        <f t="shared" si="2"/>
        <v>8245802</v>
      </c>
      <c r="E13" s="137">
        <f t="shared" si="2"/>
        <v>0</v>
      </c>
      <c r="F13" s="137">
        <f t="shared" si="2"/>
        <v>0</v>
      </c>
      <c r="G13" s="137">
        <f t="shared" si="2"/>
        <v>797</v>
      </c>
      <c r="H13" s="137">
        <f>SUM(H9:H12)</f>
        <v>253783.00000000003</v>
      </c>
      <c r="I13" s="357">
        <f>SUM(I9:I12)</f>
        <v>38550</v>
      </c>
      <c r="J13" s="137">
        <f t="shared" si="2"/>
        <v>34956</v>
      </c>
      <c r="K13" s="137">
        <f t="shared" si="2"/>
        <v>32957</v>
      </c>
      <c r="L13" s="138">
        <f t="shared" si="1"/>
        <v>8538932</v>
      </c>
      <c r="M13" s="63" t="s">
        <v>17</v>
      </c>
      <c r="N13" s="165"/>
      <c r="O13" s="5"/>
    </row>
    <row r="14" spans="1:22" x14ac:dyDescent="0.2">
      <c r="A14" s="279" t="s">
        <v>176</v>
      </c>
      <c r="B14" s="255"/>
      <c r="C14" s="255"/>
      <c r="D14" s="255">
        <v>0</v>
      </c>
      <c r="E14" s="255"/>
      <c r="F14" s="255"/>
      <c r="G14" s="255"/>
      <c r="H14" s="255"/>
      <c r="I14" s="255"/>
      <c r="J14" s="255"/>
      <c r="K14" s="255"/>
      <c r="L14" s="256">
        <f t="shared" si="1"/>
        <v>0</v>
      </c>
      <c r="M14" s="63" t="s">
        <v>17</v>
      </c>
      <c r="N14" s="165"/>
    </row>
    <row r="15" spans="1:22" ht="15" x14ac:dyDescent="0.25">
      <c r="A15" s="280" t="s">
        <v>226</v>
      </c>
      <c r="B15" s="281"/>
      <c r="C15" s="281"/>
      <c r="D15" s="281">
        <f>SUM(D13:D14)</f>
        <v>8245802</v>
      </c>
      <c r="E15" s="281"/>
      <c r="F15" s="281"/>
      <c r="G15" s="281"/>
      <c r="H15" s="281"/>
      <c r="I15" s="281"/>
      <c r="J15" s="281"/>
      <c r="K15" s="281"/>
      <c r="L15" s="282">
        <f t="shared" si="1"/>
        <v>8245802</v>
      </c>
      <c r="M15" s="63" t="s">
        <v>17</v>
      </c>
      <c r="N15" s="165"/>
      <c r="O15" s="21" t="s">
        <v>103</v>
      </c>
    </row>
    <row r="16" spans="1:22" x14ac:dyDescent="0.2">
      <c r="A16" s="260" t="s">
        <v>31</v>
      </c>
      <c r="B16" s="261"/>
      <c r="C16" s="261">
        <v>3167</v>
      </c>
      <c r="D16" s="261"/>
      <c r="E16" s="261"/>
      <c r="F16" s="261">
        <v>0</v>
      </c>
      <c r="G16" s="261"/>
      <c r="H16" s="261">
        <v>0</v>
      </c>
      <c r="I16" s="261"/>
      <c r="J16" s="261"/>
      <c r="K16" s="261">
        <f>C16+F16</f>
        <v>3167</v>
      </c>
      <c r="L16" s="262"/>
      <c r="M16" s="63" t="s">
        <v>17</v>
      </c>
      <c r="N16" s="165"/>
    </row>
    <row r="17" spans="1:14" x14ac:dyDescent="0.2">
      <c r="A17" s="216" t="s">
        <v>178</v>
      </c>
      <c r="B17" s="177"/>
      <c r="C17" s="177">
        <f>C13+C16</f>
        <v>36124</v>
      </c>
      <c r="D17" s="177"/>
      <c r="E17" s="177"/>
      <c r="F17" s="177">
        <f>F13+F16</f>
        <v>0</v>
      </c>
      <c r="G17" s="177"/>
      <c r="H17" s="177">
        <v>0</v>
      </c>
      <c r="I17" s="177"/>
      <c r="J17" s="177"/>
      <c r="K17" s="177">
        <f>K13+K16</f>
        <v>36124</v>
      </c>
      <c r="L17" s="173"/>
      <c r="M17" s="63" t="s">
        <v>17</v>
      </c>
      <c r="N17" s="165"/>
    </row>
    <row r="18" spans="1:14" x14ac:dyDescent="0.2">
      <c r="A18" s="216"/>
      <c r="B18" s="177"/>
      <c r="C18" s="177"/>
      <c r="D18" s="177"/>
      <c r="E18" s="177"/>
      <c r="F18" s="177"/>
      <c r="G18" s="177"/>
      <c r="H18" s="177"/>
      <c r="I18" s="177"/>
      <c r="J18" s="177"/>
      <c r="K18" s="177"/>
      <c r="L18" s="173"/>
      <c r="M18" s="63" t="s">
        <v>17</v>
      </c>
      <c r="N18" s="165"/>
    </row>
    <row r="19" spans="1:14" x14ac:dyDescent="0.2">
      <c r="A19" s="216" t="s">
        <v>32</v>
      </c>
      <c r="B19" s="177"/>
      <c r="C19" s="177"/>
      <c r="D19" s="177"/>
      <c r="E19" s="177"/>
      <c r="F19" s="177"/>
      <c r="G19" s="177"/>
      <c r="H19" s="177"/>
      <c r="I19" s="177"/>
      <c r="J19" s="177"/>
      <c r="K19" s="177"/>
      <c r="L19" s="173"/>
      <c r="M19" s="63" t="s">
        <v>17</v>
      </c>
      <c r="N19" s="165"/>
    </row>
    <row r="20" spans="1:14" x14ac:dyDescent="0.2">
      <c r="A20" s="263" t="s">
        <v>33</v>
      </c>
      <c r="B20" s="177"/>
      <c r="C20" s="177">
        <v>0</v>
      </c>
      <c r="D20" s="177"/>
      <c r="E20" s="177"/>
      <c r="F20" s="177">
        <v>0</v>
      </c>
      <c r="G20" s="177"/>
      <c r="H20" s="177">
        <v>0</v>
      </c>
      <c r="I20" s="177"/>
      <c r="J20" s="177"/>
      <c r="K20" s="177">
        <f>C20+F20</f>
        <v>0</v>
      </c>
      <c r="L20" s="173"/>
      <c r="M20" s="63" t="s">
        <v>17</v>
      </c>
      <c r="N20" s="165"/>
    </row>
    <row r="21" spans="1:14" x14ac:dyDescent="0.2">
      <c r="A21" s="264" t="s">
        <v>34</v>
      </c>
      <c r="B21" s="265"/>
      <c r="C21" s="265">
        <v>0</v>
      </c>
      <c r="D21" s="265"/>
      <c r="E21" s="265"/>
      <c r="F21" s="265">
        <v>0</v>
      </c>
      <c r="G21" s="265"/>
      <c r="H21" s="265">
        <v>0</v>
      </c>
      <c r="I21" s="265"/>
      <c r="J21" s="265"/>
      <c r="K21" s="265">
        <f>C21+F21</f>
        <v>0</v>
      </c>
      <c r="L21" s="266"/>
      <c r="M21" s="63" t="s">
        <v>17</v>
      </c>
      <c r="N21" s="165"/>
    </row>
    <row r="22" spans="1:14" ht="15" thickBot="1" x14ac:dyDescent="0.25">
      <c r="A22" s="267" t="s">
        <v>179</v>
      </c>
      <c r="B22" s="268"/>
      <c r="C22" s="268">
        <f>C17+C20+C21</f>
        <v>36124</v>
      </c>
      <c r="D22" s="268"/>
      <c r="E22" s="268"/>
      <c r="F22" s="268">
        <f>F17+F20+F21</f>
        <v>0</v>
      </c>
      <c r="G22" s="268"/>
      <c r="H22" s="268">
        <f>H17+H20+H21</f>
        <v>0</v>
      </c>
      <c r="I22" s="268"/>
      <c r="J22" s="268"/>
      <c r="K22" s="268">
        <f>SUM(K17,K20:K21)</f>
        <v>36124</v>
      </c>
      <c r="L22" s="269"/>
      <c r="M22" s="63" t="s">
        <v>17</v>
      </c>
      <c r="N22" s="165"/>
    </row>
    <row r="23" spans="1:14" x14ac:dyDescent="0.2">
      <c r="M23" s="63" t="s">
        <v>17</v>
      </c>
    </row>
    <row r="24" spans="1:14" x14ac:dyDescent="0.2">
      <c r="M24" s="63" t="s">
        <v>17</v>
      </c>
    </row>
    <row r="25" spans="1:14" ht="15" x14ac:dyDescent="0.25">
      <c r="A25" s="5" t="s">
        <v>96</v>
      </c>
      <c r="M25" s="63" t="s">
        <v>17</v>
      </c>
    </row>
    <row r="26" spans="1:14" ht="15" x14ac:dyDescent="0.2">
      <c r="A26" s="274" t="s">
        <v>440</v>
      </c>
      <c r="M26" s="63" t="s">
        <v>17</v>
      </c>
    </row>
    <row r="27" spans="1:14" ht="15" x14ac:dyDescent="0.2">
      <c r="A27" s="274" t="s">
        <v>454</v>
      </c>
      <c r="B27" s="271"/>
      <c r="C27" s="271"/>
      <c r="D27" s="271"/>
      <c r="E27" s="271"/>
      <c r="F27" s="271"/>
      <c r="G27" s="271"/>
      <c r="H27" s="271"/>
      <c r="I27" s="271"/>
      <c r="J27" s="271"/>
      <c r="K27" s="271"/>
      <c r="L27" s="271"/>
      <c r="M27" s="63" t="s">
        <v>17</v>
      </c>
    </row>
    <row r="28" spans="1:14" x14ac:dyDescent="0.2">
      <c r="A28" s="271"/>
      <c r="B28" s="271"/>
      <c r="C28" s="271"/>
      <c r="D28" s="271"/>
      <c r="E28" s="271"/>
      <c r="F28" s="271"/>
      <c r="G28" s="271"/>
      <c r="H28" s="271"/>
      <c r="I28" s="271"/>
      <c r="J28" s="271"/>
      <c r="K28" s="271"/>
      <c r="L28" s="271"/>
      <c r="M28" s="63" t="s">
        <v>17</v>
      </c>
    </row>
    <row r="29" spans="1:14" ht="15" x14ac:dyDescent="0.25">
      <c r="A29" s="5" t="s">
        <v>228</v>
      </c>
      <c r="M29" s="63" t="s">
        <v>17</v>
      </c>
    </row>
    <row r="30" spans="1:14" ht="33" customHeight="1" x14ac:dyDescent="0.2">
      <c r="A30" s="498" t="s">
        <v>462</v>
      </c>
      <c r="B30" s="498"/>
      <c r="C30" s="498"/>
      <c r="D30" s="498"/>
      <c r="E30" s="498"/>
      <c r="F30" s="498"/>
      <c r="G30" s="498"/>
      <c r="H30" s="498"/>
      <c r="I30" s="498"/>
      <c r="J30" s="498"/>
      <c r="K30" s="498"/>
      <c r="L30" s="498"/>
      <c r="M30" s="63" t="s">
        <v>17</v>
      </c>
    </row>
    <row r="31" spans="1:14" ht="16.5" customHeight="1" x14ac:dyDescent="0.2">
      <c r="A31" s="411" t="s">
        <v>463</v>
      </c>
      <c r="B31" s="388"/>
      <c r="C31" s="388"/>
      <c r="D31" s="388"/>
      <c r="E31" s="388"/>
      <c r="F31" s="388"/>
      <c r="G31" s="388"/>
      <c r="H31" s="388"/>
      <c r="I31" s="388"/>
      <c r="J31" s="388"/>
      <c r="K31" s="388"/>
      <c r="L31" s="388"/>
      <c r="M31" s="63"/>
    </row>
    <row r="32" spans="1:14" x14ac:dyDescent="0.2">
      <c r="A32" s="283"/>
      <c r="B32" s="283"/>
      <c r="C32" s="283"/>
      <c r="D32" s="283"/>
      <c r="E32" s="283"/>
      <c r="F32" s="283"/>
      <c r="G32" s="283"/>
      <c r="H32" s="283"/>
      <c r="I32" s="283"/>
      <c r="J32" s="283"/>
      <c r="K32" s="283"/>
      <c r="L32" s="283"/>
      <c r="M32" s="63" t="s">
        <v>17</v>
      </c>
    </row>
    <row r="33" spans="1:14" ht="15" x14ac:dyDescent="0.25">
      <c r="A33" s="5" t="s">
        <v>339</v>
      </c>
      <c r="M33" s="63" t="s">
        <v>17</v>
      </c>
    </row>
    <row r="34" spans="1:14" ht="15" x14ac:dyDescent="0.2">
      <c r="A34" s="274" t="s">
        <v>455</v>
      </c>
      <c r="B34" s="271"/>
      <c r="C34" s="271"/>
      <c r="D34" s="271"/>
      <c r="E34" s="271"/>
      <c r="F34" s="271"/>
      <c r="G34" s="271"/>
      <c r="H34" s="271"/>
      <c r="I34" s="271"/>
      <c r="J34" s="271"/>
      <c r="K34" s="271"/>
      <c r="L34" s="271"/>
      <c r="M34" s="63" t="s">
        <v>17</v>
      </c>
    </row>
    <row r="35" spans="1:14" ht="15" x14ac:dyDescent="0.2">
      <c r="A35" s="274" t="s">
        <v>444</v>
      </c>
      <c r="M35" s="63" t="s">
        <v>17</v>
      </c>
    </row>
    <row r="36" spans="1:14" ht="15" x14ac:dyDescent="0.2">
      <c r="A36" s="274" t="s">
        <v>340</v>
      </c>
      <c r="M36" s="63" t="s">
        <v>17</v>
      </c>
      <c r="N36" s="63"/>
    </row>
    <row r="37" spans="1:14" ht="15" x14ac:dyDescent="0.2">
      <c r="A37" s="274" t="s">
        <v>341</v>
      </c>
      <c r="M37" s="63" t="s">
        <v>17</v>
      </c>
    </row>
    <row r="38" spans="1:14" x14ac:dyDescent="0.2">
      <c r="M38" s="4" t="s">
        <v>18</v>
      </c>
    </row>
  </sheetData>
  <mergeCells count="9">
    <mergeCell ref="A30:L30"/>
    <mergeCell ref="A1:M1"/>
    <mergeCell ref="A2:M2"/>
    <mergeCell ref="A3:M3"/>
    <mergeCell ref="A4:M4"/>
    <mergeCell ref="A7:A8"/>
    <mergeCell ref="B7:D7"/>
    <mergeCell ref="E7:G7"/>
    <mergeCell ref="J7:L7"/>
  </mergeCells>
  <printOptions horizontalCentered="1"/>
  <pageMargins left="0.7" right="0.7" top="0.66" bottom="0.66" header="0.3" footer="0.3"/>
  <pageSetup scale="77" fitToHeight="0"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9"/>
  <sheetViews>
    <sheetView view="pageBreakPreview" topLeftCell="A7" zoomScale="80" zoomScaleNormal="85" zoomScaleSheetLayoutView="80" workbookViewId="0">
      <selection activeCell="A31" sqref="A31:XFD32"/>
    </sheetView>
  </sheetViews>
  <sheetFormatPr defaultColWidth="9.140625" defaultRowHeight="14.25" x14ac:dyDescent="0.2"/>
  <cols>
    <col min="1" max="1" width="80.140625" style="165" customWidth="1"/>
    <col min="2" max="3" width="8.28515625" style="165" customWidth="1"/>
    <col min="4" max="4" width="12.7109375" style="165" customWidth="1"/>
    <col min="5" max="6" width="8.28515625" style="165" customWidth="1"/>
    <col min="7" max="7" width="12.7109375" style="165" customWidth="1"/>
    <col min="8" max="9" width="8.28515625" style="165" customWidth="1"/>
    <col min="10" max="10" width="12.7109375" style="165" customWidth="1"/>
    <col min="11" max="12" width="8.28515625" style="165" customWidth="1"/>
    <col min="13" max="13" width="12.7109375" style="165" customWidth="1"/>
    <col min="14" max="14" width="14" style="4" bestFit="1" customWidth="1"/>
    <col min="15" max="15" width="4.5703125" style="165" customWidth="1"/>
    <col min="16" max="16" width="116.7109375" style="165" customWidth="1"/>
    <col min="17" max="18" width="8.28515625" style="165" customWidth="1"/>
    <col min="19" max="19" width="12.7109375" style="165" customWidth="1"/>
    <col min="20" max="21" width="8.28515625" style="165" customWidth="1"/>
    <col min="22" max="22" width="12.7109375" style="165" customWidth="1"/>
    <col min="23" max="16384" width="9.140625" style="165"/>
  </cols>
  <sheetData>
    <row r="1" spans="1:22" ht="18" x14ac:dyDescent="0.25">
      <c r="A1" s="433" t="s">
        <v>105</v>
      </c>
      <c r="B1" s="433"/>
      <c r="C1" s="433"/>
      <c r="D1" s="433"/>
      <c r="E1" s="433"/>
      <c r="F1" s="433"/>
      <c r="G1" s="433"/>
      <c r="H1" s="433"/>
      <c r="I1" s="433"/>
      <c r="J1" s="433"/>
      <c r="K1" s="433"/>
      <c r="L1" s="433"/>
      <c r="M1" s="433"/>
      <c r="N1" s="63" t="s">
        <v>17</v>
      </c>
      <c r="O1" s="6"/>
      <c r="P1" s="108" t="s">
        <v>25</v>
      </c>
      <c r="Q1" s="6"/>
      <c r="R1" s="6"/>
      <c r="S1" s="6"/>
      <c r="T1" s="6"/>
      <c r="U1" s="6"/>
      <c r="V1" s="6"/>
    </row>
    <row r="2" spans="1:22" ht="15" x14ac:dyDescent="0.2">
      <c r="A2" s="434" t="s">
        <v>305</v>
      </c>
      <c r="B2" s="434"/>
      <c r="C2" s="434"/>
      <c r="D2" s="434"/>
      <c r="E2" s="434"/>
      <c r="F2" s="434"/>
      <c r="G2" s="434"/>
      <c r="H2" s="434"/>
      <c r="I2" s="434"/>
      <c r="J2" s="434"/>
      <c r="K2" s="434"/>
      <c r="L2" s="434"/>
      <c r="M2" s="434"/>
      <c r="N2" s="63" t="s">
        <v>17</v>
      </c>
      <c r="O2" s="7"/>
      <c r="P2" s="109"/>
      <c r="Q2" s="7"/>
      <c r="R2" s="7"/>
      <c r="S2" s="7"/>
      <c r="T2" s="7"/>
      <c r="U2" s="7"/>
      <c r="V2" s="7"/>
    </row>
    <row r="3" spans="1:22" ht="15" x14ac:dyDescent="0.25">
      <c r="A3" s="435" t="s">
        <v>1</v>
      </c>
      <c r="B3" s="435"/>
      <c r="C3" s="435"/>
      <c r="D3" s="435"/>
      <c r="E3" s="435"/>
      <c r="F3" s="435"/>
      <c r="G3" s="435"/>
      <c r="H3" s="435"/>
      <c r="I3" s="435"/>
      <c r="J3" s="435"/>
      <c r="K3" s="435"/>
      <c r="L3" s="435"/>
      <c r="M3" s="435"/>
      <c r="N3" s="63" t="s">
        <v>17</v>
      </c>
      <c r="O3" s="189"/>
      <c r="P3" s="109" t="s">
        <v>201</v>
      </c>
      <c r="Q3" s="189"/>
      <c r="R3" s="189"/>
      <c r="S3" s="189"/>
      <c r="T3" s="189"/>
      <c r="U3" s="189"/>
      <c r="V3" s="189"/>
    </row>
    <row r="4" spans="1:22" x14ac:dyDescent="0.2">
      <c r="A4" s="450" t="s">
        <v>2</v>
      </c>
      <c r="B4" s="450"/>
      <c r="C4" s="450"/>
      <c r="D4" s="450"/>
      <c r="E4" s="450"/>
      <c r="F4" s="450"/>
      <c r="G4" s="450"/>
      <c r="H4" s="450"/>
      <c r="I4" s="450"/>
      <c r="J4" s="450"/>
      <c r="K4" s="450"/>
      <c r="L4" s="450"/>
      <c r="M4" s="450"/>
      <c r="N4" s="63" t="s">
        <v>17</v>
      </c>
      <c r="O4" s="188"/>
      <c r="P4" s="109" t="s">
        <v>200</v>
      </c>
      <c r="Q4" s="188"/>
      <c r="R4" s="188"/>
      <c r="S4" s="188"/>
      <c r="T4" s="188"/>
      <c r="U4" s="188"/>
      <c r="V4" s="188"/>
    </row>
    <row r="5" spans="1:22" ht="15.75" thickBot="1" x14ac:dyDescent="0.3">
      <c r="A5" s="450"/>
      <c r="B5" s="450"/>
      <c r="C5" s="450"/>
      <c r="D5" s="450"/>
      <c r="E5" s="450"/>
      <c r="F5" s="450"/>
      <c r="G5" s="450"/>
      <c r="H5" s="450"/>
      <c r="I5" s="450"/>
      <c r="J5" s="450"/>
      <c r="K5" s="450"/>
      <c r="L5" s="450"/>
      <c r="M5" s="450"/>
      <c r="N5" s="63" t="s">
        <v>17</v>
      </c>
      <c r="O5" s="188"/>
      <c r="P5" s="110"/>
      <c r="Q5" s="188"/>
      <c r="R5" s="188"/>
      <c r="S5" s="188"/>
      <c r="T5" s="188"/>
      <c r="U5" s="188"/>
      <c r="V5" s="188"/>
    </row>
    <row r="6" spans="1:22" x14ac:dyDescent="0.2">
      <c r="A6" s="499"/>
      <c r="B6" s="499"/>
      <c r="C6" s="499"/>
      <c r="D6" s="499"/>
      <c r="E6" s="499"/>
      <c r="F6" s="499"/>
      <c r="G6" s="499"/>
      <c r="H6" s="499"/>
      <c r="I6" s="499"/>
      <c r="J6" s="499"/>
      <c r="K6" s="499"/>
      <c r="L6" s="499"/>
      <c r="M6" s="499"/>
      <c r="N6" s="63" t="s">
        <v>17</v>
      </c>
      <c r="O6" s="188"/>
      <c r="P6" s="188"/>
      <c r="Q6" s="188"/>
      <c r="R6" s="188"/>
      <c r="S6" s="188"/>
      <c r="T6" s="188"/>
      <c r="U6" s="188"/>
      <c r="V6" s="188"/>
    </row>
    <row r="7" spans="1:22" ht="16.5" customHeight="1" x14ac:dyDescent="0.25">
      <c r="A7" s="500" t="s">
        <v>245</v>
      </c>
      <c r="B7" s="502" t="s">
        <v>435</v>
      </c>
      <c r="C7" s="502"/>
      <c r="D7" s="502"/>
      <c r="E7" s="502" t="s">
        <v>271</v>
      </c>
      <c r="F7" s="502"/>
      <c r="G7" s="502"/>
      <c r="H7" s="502" t="s">
        <v>263</v>
      </c>
      <c r="I7" s="502"/>
      <c r="J7" s="502"/>
      <c r="K7" s="502" t="s">
        <v>106</v>
      </c>
      <c r="L7" s="502"/>
      <c r="M7" s="503"/>
      <c r="N7" s="63" t="s">
        <v>17</v>
      </c>
      <c r="P7" s="5" t="s">
        <v>108</v>
      </c>
    </row>
    <row r="8" spans="1:22" ht="28.5" x14ac:dyDescent="0.2">
      <c r="A8" s="501"/>
      <c r="B8" s="305" t="s">
        <v>110</v>
      </c>
      <c r="C8" s="305" t="s">
        <v>111</v>
      </c>
      <c r="D8" s="305" t="s">
        <v>4</v>
      </c>
      <c r="E8" s="305" t="s">
        <v>110</v>
      </c>
      <c r="F8" s="305" t="s">
        <v>111</v>
      </c>
      <c r="G8" s="305" t="s">
        <v>4</v>
      </c>
      <c r="H8" s="305" t="s">
        <v>110</v>
      </c>
      <c r="I8" s="305" t="s">
        <v>111</v>
      </c>
      <c r="J8" s="305" t="s">
        <v>4</v>
      </c>
      <c r="K8" s="305" t="s">
        <v>110</v>
      </c>
      <c r="L8" s="306" t="s">
        <v>111</v>
      </c>
      <c r="M8" s="229" t="s">
        <v>4</v>
      </c>
      <c r="N8" s="63" t="s">
        <v>17</v>
      </c>
      <c r="P8" s="271" t="s">
        <v>109</v>
      </c>
    </row>
    <row r="9" spans="1:22" ht="15" x14ac:dyDescent="0.2">
      <c r="A9" s="378" t="s">
        <v>436</v>
      </c>
      <c r="B9" s="305"/>
      <c r="C9" s="305"/>
      <c r="D9" s="305"/>
      <c r="E9" s="305"/>
      <c r="F9" s="305"/>
      <c r="G9" s="305"/>
      <c r="H9" s="305"/>
      <c r="I9" s="305"/>
      <c r="J9" s="305"/>
      <c r="K9" s="305"/>
      <c r="L9" s="305"/>
      <c r="M9" s="353"/>
      <c r="N9" s="63"/>
      <c r="P9" s="271"/>
    </row>
    <row r="10" spans="1:22" x14ac:dyDescent="0.2">
      <c r="A10" s="380" t="s">
        <v>358</v>
      </c>
      <c r="B10" s="261">
        <v>14</v>
      </c>
      <c r="C10" s="261">
        <v>14</v>
      </c>
      <c r="D10" s="261">
        <v>12250</v>
      </c>
      <c r="E10" s="261">
        <v>14</v>
      </c>
      <c r="F10" s="261">
        <v>14</v>
      </c>
      <c r="G10" s="261">
        <v>6000</v>
      </c>
      <c r="H10" s="261">
        <v>14</v>
      </c>
      <c r="I10" s="261">
        <v>14</v>
      </c>
      <c r="J10" s="261">
        <v>6000</v>
      </c>
      <c r="K10" s="261">
        <f>H10-E10</f>
        <v>0</v>
      </c>
      <c r="L10" s="261">
        <f t="shared" ref="L10:M24" si="0">I10-F10</f>
        <v>0</v>
      </c>
      <c r="M10" s="261">
        <f t="shared" si="0"/>
        <v>0</v>
      </c>
      <c r="N10" s="63"/>
      <c r="P10" s="271"/>
    </row>
    <row r="11" spans="1:22" x14ac:dyDescent="0.2">
      <c r="A11" s="380" t="s">
        <v>359</v>
      </c>
      <c r="B11" s="261">
        <v>0</v>
      </c>
      <c r="C11" s="261">
        <v>0</v>
      </c>
      <c r="D11" s="261">
        <v>28500</v>
      </c>
      <c r="E11" s="261">
        <v>0</v>
      </c>
      <c r="F11" s="261">
        <v>0</v>
      </c>
      <c r="G11" s="261">
        <v>15000</v>
      </c>
      <c r="H11" s="261">
        <v>0</v>
      </c>
      <c r="I11" s="261">
        <v>0</v>
      </c>
      <c r="J11" s="261">
        <v>15000</v>
      </c>
      <c r="K11" s="261">
        <f t="shared" ref="K11:M58" si="1">H11-E11</f>
        <v>0</v>
      </c>
      <c r="L11" s="261">
        <f t="shared" si="0"/>
        <v>0</v>
      </c>
      <c r="M11" s="261">
        <f t="shared" si="0"/>
        <v>0</v>
      </c>
      <c r="N11" s="63"/>
      <c r="P11" s="271"/>
    </row>
    <row r="12" spans="1:22" x14ac:dyDescent="0.2">
      <c r="A12" s="409" t="s">
        <v>449</v>
      </c>
      <c r="B12" s="261">
        <v>0</v>
      </c>
      <c r="C12" s="261">
        <v>0</v>
      </c>
      <c r="D12" s="261">
        <v>0</v>
      </c>
      <c r="E12" s="261">
        <v>0</v>
      </c>
      <c r="F12" s="261">
        <v>0</v>
      </c>
      <c r="G12" s="261">
        <v>6000</v>
      </c>
      <c r="H12" s="261">
        <v>0</v>
      </c>
      <c r="I12" s="261">
        <v>0</v>
      </c>
      <c r="J12" s="261">
        <v>6000</v>
      </c>
      <c r="K12" s="261">
        <f t="shared" si="1"/>
        <v>0</v>
      </c>
      <c r="L12" s="261">
        <f t="shared" si="0"/>
        <v>0</v>
      </c>
      <c r="M12" s="261">
        <f t="shared" si="0"/>
        <v>0</v>
      </c>
      <c r="N12" s="63"/>
      <c r="P12" s="271"/>
    </row>
    <row r="13" spans="1:22" x14ac:dyDescent="0.2">
      <c r="A13" s="409" t="s">
        <v>360</v>
      </c>
      <c r="B13" s="261">
        <v>19</v>
      </c>
      <c r="C13" s="261">
        <v>19</v>
      </c>
      <c r="D13" s="261">
        <v>5652</v>
      </c>
      <c r="E13" s="261">
        <v>19</v>
      </c>
      <c r="F13" s="261">
        <v>19</v>
      </c>
      <c r="G13" s="261">
        <v>5000</v>
      </c>
      <c r="H13" s="261">
        <v>19</v>
      </c>
      <c r="I13" s="261">
        <v>19</v>
      </c>
      <c r="J13" s="261">
        <v>5000</v>
      </c>
      <c r="K13" s="261">
        <f t="shared" si="1"/>
        <v>0</v>
      </c>
      <c r="L13" s="261">
        <f t="shared" si="0"/>
        <v>0</v>
      </c>
      <c r="M13" s="261">
        <f t="shared" si="0"/>
        <v>0</v>
      </c>
      <c r="N13" s="63"/>
      <c r="P13" s="271"/>
    </row>
    <row r="14" spans="1:22" x14ac:dyDescent="0.2">
      <c r="A14" s="409" t="s">
        <v>361</v>
      </c>
      <c r="B14" s="261">
        <v>256</v>
      </c>
      <c r="C14" s="261">
        <v>256</v>
      </c>
      <c r="D14" s="261">
        <v>56500</v>
      </c>
      <c r="E14" s="261">
        <v>261</v>
      </c>
      <c r="F14" s="261">
        <v>261</v>
      </c>
      <c r="G14" s="261">
        <v>55000</v>
      </c>
      <c r="H14" s="261">
        <v>261</v>
      </c>
      <c r="I14" s="261">
        <v>261</v>
      </c>
      <c r="J14" s="261">
        <v>55000</v>
      </c>
      <c r="K14" s="261">
        <f t="shared" si="1"/>
        <v>0</v>
      </c>
      <c r="L14" s="261">
        <f t="shared" si="0"/>
        <v>0</v>
      </c>
      <c r="M14" s="261">
        <f t="shared" si="0"/>
        <v>0</v>
      </c>
      <c r="N14" s="63"/>
      <c r="P14" s="271"/>
    </row>
    <row r="15" spans="1:22" x14ac:dyDescent="0.2">
      <c r="A15" s="409" t="s">
        <v>362</v>
      </c>
      <c r="B15" s="261">
        <v>779</v>
      </c>
      <c r="C15" s="261">
        <v>779</v>
      </c>
      <c r="D15" s="272">
        <v>145550</v>
      </c>
      <c r="E15" s="261">
        <v>779</v>
      </c>
      <c r="F15" s="261">
        <v>779</v>
      </c>
      <c r="G15" s="261">
        <v>123000</v>
      </c>
      <c r="H15" s="261">
        <v>779</v>
      </c>
      <c r="I15" s="261">
        <v>779</v>
      </c>
      <c r="J15" s="261">
        <v>123000</v>
      </c>
      <c r="K15" s="261">
        <f t="shared" si="1"/>
        <v>0</v>
      </c>
      <c r="L15" s="261">
        <f t="shared" si="0"/>
        <v>0</v>
      </c>
      <c r="M15" s="261">
        <f t="shared" si="0"/>
        <v>0</v>
      </c>
      <c r="N15" s="63"/>
      <c r="P15" s="271"/>
    </row>
    <row r="16" spans="1:22" x14ac:dyDescent="0.2">
      <c r="A16" s="409" t="s">
        <v>363</v>
      </c>
      <c r="B16" s="261">
        <v>0</v>
      </c>
      <c r="C16" s="261">
        <v>0</v>
      </c>
      <c r="D16" s="272">
        <v>116000</v>
      </c>
      <c r="E16" s="261">
        <v>0</v>
      </c>
      <c r="F16" s="261">
        <v>0</v>
      </c>
      <c r="G16" s="261">
        <v>7000</v>
      </c>
      <c r="H16" s="261">
        <v>0</v>
      </c>
      <c r="I16" s="261">
        <v>0</v>
      </c>
      <c r="J16" s="261">
        <v>7000</v>
      </c>
      <c r="K16" s="261">
        <f t="shared" si="1"/>
        <v>0</v>
      </c>
      <c r="L16" s="261">
        <f t="shared" si="0"/>
        <v>0</v>
      </c>
      <c r="M16" s="261">
        <f t="shared" si="0"/>
        <v>0</v>
      </c>
      <c r="N16" s="63"/>
      <c r="P16" s="271"/>
    </row>
    <row r="17" spans="1:16" x14ac:dyDescent="0.2">
      <c r="A17" s="409" t="s">
        <v>364</v>
      </c>
      <c r="B17" s="261">
        <v>78</v>
      </c>
      <c r="C17" s="261">
        <v>78</v>
      </c>
      <c r="D17" s="272">
        <v>314000</v>
      </c>
      <c r="E17" s="261">
        <v>78</v>
      </c>
      <c r="F17" s="261">
        <v>78</v>
      </c>
      <c r="G17" s="261">
        <v>300000</v>
      </c>
      <c r="H17" s="261">
        <v>78</v>
      </c>
      <c r="I17" s="261">
        <v>78</v>
      </c>
      <c r="J17" s="261">
        <v>300000</v>
      </c>
      <c r="K17" s="261">
        <f t="shared" si="1"/>
        <v>0</v>
      </c>
      <c r="L17" s="261">
        <f t="shared" si="0"/>
        <v>0</v>
      </c>
      <c r="M17" s="261">
        <f t="shared" si="0"/>
        <v>0</v>
      </c>
      <c r="N17" s="63"/>
      <c r="P17" s="271"/>
    </row>
    <row r="18" spans="1:16" x14ac:dyDescent="0.2">
      <c r="A18" s="409" t="s">
        <v>365</v>
      </c>
      <c r="B18" s="261">
        <v>0</v>
      </c>
      <c r="C18" s="261">
        <v>0</v>
      </c>
      <c r="D18" s="261">
        <v>10000</v>
      </c>
      <c r="E18" s="261">
        <v>0</v>
      </c>
      <c r="F18" s="261">
        <v>0</v>
      </c>
      <c r="G18" s="261">
        <v>10000</v>
      </c>
      <c r="H18" s="261">
        <v>0</v>
      </c>
      <c r="I18" s="261">
        <v>0</v>
      </c>
      <c r="J18" s="261">
        <v>10000</v>
      </c>
      <c r="K18" s="261">
        <f t="shared" si="1"/>
        <v>0</v>
      </c>
      <c r="L18" s="261">
        <f t="shared" si="0"/>
        <v>0</v>
      </c>
      <c r="M18" s="261">
        <f t="shared" si="0"/>
        <v>0</v>
      </c>
      <c r="N18" s="63"/>
      <c r="P18" s="271"/>
    </row>
    <row r="19" spans="1:16" x14ac:dyDescent="0.2">
      <c r="A19" s="409" t="s">
        <v>366</v>
      </c>
      <c r="B19" s="261">
        <v>159</v>
      </c>
      <c r="C19" s="261">
        <v>139</v>
      </c>
      <c r="D19" s="272">
        <v>116000</v>
      </c>
      <c r="E19" s="261">
        <v>104</v>
      </c>
      <c r="F19" s="261">
        <v>84</v>
      </c>
      <c r="G19" s="261">
        <v>100000</v>
      </c>
      <c r="H19" s="261">
        <v>104</v>
      </c>
      <c r="I19" s="261">
        <v>84</v>
      </c>
      <c r="J19" s="261">
        <v>100000</v>
      </c>
      <c r="K19" s="261">
        <f t="shared" si="1"/>
        <v>0</v>
      </c>
      <c r="L19" s="261">
        <f t="shared" si="0"/>
        <v>0</v>
      </c>
      <c r="M19" s="261">
        <f t="shared" si="0"/>
        <v>0</v>
      </c>
      <c r="N19" s="63"/>
      <c r="P19" s="271"/>
    </row>
    <row r="20" spans="1:16" x14ac:dyDescent="0.2">
      <c r="A20" s="409" t="s">
        <v>367</v>
      </c>
      <c r="B20" s="261">
        <v>0</v>
      </c>
      <c r="C20" s="261">
        <v>0</v>
      </c>
      <c r="D20" s="272">
        <v>30000</v>
      </c>
      <c r="E20" s="261">
        <v>0</v>
      </c>
      <c r="F20" s="261">
        <v>0</v>
      </c>
      <c r="G20" s="261">
        <v>30000</v>
      </c>
      <c r="H20" s="261">
        <v>0</v>
      </c>
      <c r="I20" s="261">
        <v>0</v>
      </c>
      <c r="J20" s="261">
        <v>30000</v>
      </c>
      <c r="K20" s="261">
        <f t="shared" si="1"/>
        <v>0</v>
      </c>
      <c r="L20" s="261">
        <f t="shared" si="0"/>
        <v>0</v>
      </c>
      <c r="M20" s="261">
        <f t="shared" si="0"/>
        <v>0</v>
      </c>
      <c r="N20" s="63"/>
      <c r="P20" s="271"/>
    </row>
    <row r="21" spans="1:16" x14ac:dyDescent="0.2">
      <c r="A21" s="409" t="s">
        <v>368</v>
      </c>
      <c r="B21" s="261">
        <v>0</v>
      </c>
      <c r="C21" s="261">
        <v>0</v>
      </c>
      <c r="D21" s="272">
        <v>50000</v>
      </c>
      <c r="E21" s="261">
        <v>0</v>
      </c>
      <c r="F21" s="261">
        <v>0</v>
      </c>
      <c r="G21" s="261">
        <v>0</v>
      </c>
      <c r="H21" s="261">
        <v>0</v>
      </c>
      <c r="I21" s="261">
        <v>0</v>
      </c>
      <c r="J21" s="261">
        <v>0</v>
      </c>
      <c r="K21" s="261">
        <f t="shared" si="1"/>
        <v>0</v>
      </c>
      <c r="L21" s="261">
        <f t="shared" si="0"/>
        <v>0</v>
      </c>
      <c r="M21" s="261">
        <f t="shared" si="0"/>
        <v>0</v>
      </c>
      <c r="N21" s="63"/>
      <c r="P21" s="271"/>
    </row>
    <row r="22" spans="1:16" ht="15" x14ac:dyDescent="0.25">
      <c r="A22" s="409" t="s">
        <v>369</v>
      </c>
      <c r="B22" s="261">
        <v>134</v>
      </c>
      <c r="C22" s="261">
        <v>134</v>
      </c>
      <c r="D22" s="272">
        <v>33750</v>
      </c>
      <c r="E22" s="261">
        <v>134</v>
      </c>
      <c r="F22" s="261">
        <v>134</v>
      </c>
      <c r="G22" s="261">
        <v>9000</v>
      </c>
      <c r="H22" s="261">
        <v>134</v>
      </c>
      <c r="I22" s="261">
        <v>134</v>
      </c>
      <c r="J22" s="261">
        <v>9000</v>
      </c>
      <c r="K22" s="261">
        <f t="shared" si="1"/>
        <v>0</v>
      </c>
      <c r="L22" s="261">
        <f t="shared" si="0"/>
        <v>0</v>
      </c>
      <c r="M22" s="261">
        <f t="shared" si="0"/>
        <v>0</v>
      </c>
      <c r="N22" s="63" t="s">
        <v>17</v>
      </c>
      <c r="P22" s="5"/>
    </row>
    <row r="23" spans="1:16" x14ac:dyDescent="0.2">
      <c r="A23" s="409" t="s">
        <v>370</v>
      </c>
      <c r="B23" s="261">
        <v>0</v>
      </c>
      <c r="C23" s="261">
        <v>0</v>
      </c>
      <c r="D23" s="272">
        <v>21000</v>
      </c>
      <c r="E23" s="261">
        <v>0</v>
      </c>
      <c r="F23" s="261">
        <v>0</v>
      </c>
      <c r="G23" s="261">
        <v>16000</v>
      </c>
      <c r="H23" s="261">
        <v>0</v>
      </c>
      <c r="I23" s="261">
        <v>0</v>
      </c>
      <c r="J23" s="261">
        <v>16000</v>
      </c>
      <c r="K23" s="261">
        <f>H23-E23</f>
        <v>0</v>
      </c>
      <c r="L23" s="261">
        <f t="shared" si="0"/>
        <v>0</v>
      </c>
      <c r="M23" s="261">
        <f t="shared" si="0"/>
        <v>0</v>
      </c>
      <c r="N23" s="63" t="s">
        <v>17</v>
      </c>
      <c r="P23" s="165" t="s">
        <v>112</v>
      </c>
    </row>
    <row r="24" spans="1:16" x14ac:dyDescent="0.2">
      <c r="A24" s="409" t="s">
        <v>371</v>
      </c>
      <c r="B24" s="261">
        <v>0</v>
      </c>
      <c r="C24" s="261">
        <v>0</v>
      </c>
      <c r="D24" s="272">
        <v>151000</v>
      </c>
      <c r="E24" s="261">
        <v>0</v>
      </c>
      <c r="F24" s="261">
        <v>0</v>
      </c>
      <c r="G24" s="261">
        <v>30000</v>
      </c>
      <c r="H24" s="261">
        <v>0</v>
      </c>
      <c r="I24" s="261">
        <v>0</v>
      </c>
      <c r="J24" s="261">
        <v>30000</v>
      </c>
      <c r="K24" s="261">
        <f t="shared" si="1"/>
        <v>0</v>
      </c>
      <c r="L24" s="261">
        <f t="shared" si="0"/>
        <v>0</v>
      </c>
      <c r="M24" s="261">
        <f t="shared" si="0"/>
        <v>0</v>
      </c>
      <c r="N24" s="63"/>
    </row>
    <row r="25" spans="1:16" x14ac:dyDescent="0.2">
      <c r="A25" s="409" t="s">
        <v>372</v>
      </c>
      <c r="B25" s="261">
        <v>0</v>
      </c>
      <c r="C25" s="261">
        <v>0</v>
      </c>
      <c r="D25" s="272">
        <v>17550</v>
      </c>
      <c r="E25" s="261">
        <v>0</v>
      </c>
      <c r="F25" s="261">
        <v>0</v>
      </c>
      <c r="G25" s="261">
        <v>5000</v>
      </c>
      <c r="H25" s="261">
        <v>0</v>
      </c>
      <c r="I25" s="261">
        <v>0</v>
      </c>
      <c r="J25" s="261">
        <v>5000</v>
      </c>
      <c r="K25" s="261">
        <f t="shared" si="1"/>
        <v>0</v>
      </c>
      <c r="L25" s="261">
        <f t="shared" si="1"/>
        <v>0</v>
      </c>
      <c r="M25" s="261">
        <f t="shared" si="1"/>
        <v>0</v>
      </c>
      <c r="N25" s="63" t="s">
        <v>17</v>
      </c>
    </row>
    <row r="26" spans="1:16" x14ac:dyDescent="0.2">
      <c r="A26" s="409" t="s">
        <v>447</v>
      </c>
      <c r="B26" s="261">
        <v>1001</v>
      </c>
      <c r="C26" s="261">
        <v>1001</v>
      </c>
      <c r="D26" s="272">
        <v>202000</v>
      </c>
      <c r="E26" s="261">
        <v>1001</v>
      </c>
      <c r="F26" s="261">
        <v>1001</v>
      </c>
      <c r="G26" s="261">
        <v>192000</v>
      </c>
      <c r="H26" s="261">
        <v>1001</v>
      </c>
      <c r="I26" s="261">
        <v>1001</v>
      </c>
      <c r="J26" s="261">
        <v>192000</v>
      </c>
      <c r="K26" s="261">
        <f t="shared" si="1"/>
        <v>0</v>
      </c>
      <c r="L26" s="261">
        <f t="shared" si="1"/>
        <v>0</v>
      </c>
      <c r="M26" s="261">
        <f t="shared" si="1"/>
        <v>0</v>
      </c>
      <c r="N26" s="63"/>
    </row>
    <row r="27" spans="1:16" x14ac:dyDescent="0.2">
      <c r="A27" s="380" t="s">
        <v>373</v>
      </c>
      <c r="B27" s="261">
        <v>0</v>
      </c>
      <c r="C27" s="261">
        <v>0</v>
      </c>
      <c r="D27" s="261">
        <v>0</v>
      </c>
      <c r="E27" s="261">
        <v>0</v>
      </c>
      <c r="F27" s="261">
        <v>0</v>
      </c>
      <c r="G27" s="261">
        <v>500</v>
      </c>
      <c r="H27" s="261">
        <v>0</v>
      </c>
      <c r="I27" s="261">
        <v>0</v>
      </c>
      <c r="J27" s="261">
        <v>500</v>
      </c>
      <c r="K27" s="261">
        <f t="shared" si="1"/>
        <v>0</v>
      </c>
      <c r="L27" s="261">
        <f t="shared" si="1"/>
        <v>0</v>
      </c>
      <c r="M27" s="261">
        <f t="shared" si="1"/>
        <v>0</v>
      </c>
      <c r="N27" s="63"/>
    </row>
    <row r="28" spans="1:16" hidden="1" x14ac:dyDescent="0.2">
      <c r="A28" s="379"/>
      <c r="B28" s="261">
        <v>0</v>
      </c>
      <c r="C28" s="261">
        <v>0</v>
      </c>
      <c r="D28" s="261"/>
      <c r="E28" s="261"/>
      <c r="F28" s="261"/>
      <c r="G28" s="261"/>
      <c r="H28" s="261"/>
      <c r="I28" s="261"/>
      <c r="J28" s="261"/>
      <c r="K28" s="261">
        <f t="shared" si="1"/>
        <v>0</v>
      </c>
      <c r="L28" s="261">
        <f t="shared" si="1"/>
        <v>0</v>
      </c>
      <c r="M28" s="261">
        <f t="shared" si="1"/>
        <v>0</v>
      </c>
      <c r="N28" s="63"/>
    </row>
    <row r="29" spans="1:16" hidden="1" x14ac:dyDescent="0.2">
      <c r="A29" s="379"/>
      <c r="B29" s="261">
        <v>0</v>
      </c>
      <c r="C29" s="261">
        <v>0</v>
      </c>
      <c r="D29" s="261"/>
      <c r="E29" s="261"/>
      <c r="F29" s="261"/>
      <c r="G29" s="261"/>
      <c r="H29" s="261"/>
      <c r="I29" s="261"/>
      <c r="J29" s="261"/>
      <c r="K29" s="261">
        <f t="shared" si="1"/>
        <v>0</v>
      </c>
      <c r="L29" s="261">
        <f t="shared" si="1"/>
        <v>0</v>
      </c>
      <c r="M29" s="261">
        <f t="shared" si="1"/>
        <v>0</v>
      </c>
      <c r="N29" s="63"/>
    </row>
    <row r="30" spans="1:16" hidden="1" x14ac:dyDescent="0.2">
      <c r="A30" s="379"/>
      <c r="B30" s="261">
        <v>0</v>
      </c>
      <c r="C30" s="261">
        <v>0</v>
      </c>
      <c r="D30" s="261"/>
      <c r="E30" s="261"/>
      <c r="F30" s="261"/>
      <c r="G30" s="261"/>
      <c r="H30" s="261"/>
      <c r="I30" s="261"/>
      <c r="J30" s="261"/>
      <c r="K30" s="261">
        <f t="shared" si="1"/>
        <v>0</v>
      </c>
      <c r="L30" s="261">
        <f t="shared" si="1"/>
        <v>0</v>
      </c>
      <c r="M30" s="261">
        <f t="shared" si="1"/>
        <v>0</v>
      </c>
      <c r="N30" s="63"/>
    </row>
    <row r="31" spans="1:16" hidden="1" x14ac:dyDescent="0.2">
      <c r="A31" s="379"/>
      <c r="B31" s="261">
        <v>0</v>
      </c>
      <c r="C31" s="261">
        <v>0</v>
      </c>
      <c r="D31" s="261"/>
      <c r="E31" s="261"/>
      <c r="F31" s="261"/>
      <c r="G31" s="261"/>
      <c r="H31" s="261"/>
      <c r="I31" s="261"/>
      <c r="J31" s="261"/>
      <c r="K31" s="261">
        <f t="shared" si="1"/>
        <v>0</v>
      </c>
      <c r="L31" s="261">
        <f t="shared" si="1"/>
        <v>0</v>
      </c>
      <c r="M31" s="261">
        <f t="shared" si="1"/>
        <v>0</v>
      </c>
      <c r="N31" s="63"/>
    </row>
    <row r="32" spans="1:16" hidden="1" x14ac:dyDescent="0.2">
      <c r="A32" s="379"/>
      <c r="B32" s="261">
        <v>0</v>
      </c>
      <c r="C32" s="261">
        <v>0</v>
      </c>
      <c r="D32" s="261"/>
      <c r="E32" s="261"/>
      <c r="F32" s="261"/>
      <c r="G32" s="261"/>
      <c r="H32" s="261"/>
      <c r="I32" s="261"/>
      <c r="J32" s="261"/>
      <c r="K32" s="261">
        <f t="shared" si="1"/>
        <v>0</v>
      </c>
      <c r="L32" s="261">
        <f t="shared" si="1"/>
        <v>0</v>
      </c>
      <c r="M32" s="261">
        <f t="shared" si="1"/>
        <v>0</v>
      </c>
      <c r="N32" s="63"/>
    </row>
    <row r="33" spans="1:14" hidden="1" x14ac:dyDescent="0.2">
      <c r="A33" s="379"/>
      <c r="B33" s="261">
        <v>0</v>
      </c>
      <c r="C33" s="261">
        <v>0</v>
      </c>
      <c r="D33" s="261"/>
      <c r="E33" s="261"/>
      <c r="F33" s="261"/>
      <c r="G33" s="261"/>
      <c r="H33" s="261"/>
      <c r="I33" s="261"/>
      <c r="J33" s="261"/>
      <c r="K33" s="261">
        <f t="shared" si="1"/>
        <v>0</v>
      </c>
      <c r="L33" s="261">
        <f t="shared" si="1"/>
        <v>0</v>
      </c>
      <c r="M33" s="261">
        <f t="shared" si="1"/>
        <v>0</v>
      </c>
      <c r="N33" s="63"/>
    </row>
    <row r="34" spans="1:14" hidden="1" x14ac:dyDescent="0.2">
      <c r="A34" s="379" t="s">
        <v>107</v>
      </c>
      <c r="B34" s="261">
        <v>0</v>
      </c>
      <c r="C34" s="261">
        <v>0</v>
      </c>
      <c r="D34" s="261">
        <v>0</v>
      </c>
      <c r="E34" s="261">
        <v>0</v>
      </c>
      <c r="F34" s="261">
        <v>0</v>
      </c>
      <c r="G34" s="261">
        <v>0</v>
      </c>
      <c r="H34" s="261">
        <v>0</v>
      </c>
      <c r="I34" s="261">
        <v>0</v>
      </c>
      <c r="J34" s="261">
        <v>0</v>
      </c>
      <c r="K34" s="261">
        <f t="shared" si="1"/>
        <v>0</v>
      </c>
      <c r="L34" s="261">
        <f t="shared" si="1"/>
        <v>0</v>
      </c>
      <c r="M34" s="261">
        <f t="shared" si="1"/>
        <v>0</v>
      </c>
      <c r="N34" s="63" t="s">
        <v>17</v>
      </c>
    </row>
    <row r="35" spans="1:14" ht="15" x14ac:dyDescent="0.25">
      <c r="A35" s="381" t="s">
        <v>437</v>
      </c>
      <c r="B35" s="261"/>
      <c r="C35" s="261"/>
      <c r="D35" s="261"/>
      <c r="E35" s="261"/>
      <c r="F35" s="261"/>
      <c r="G35" s="261"/>
      <c r="H35" s="261"/>
      <c r="I35" s="261"/>
      <c r="J35" s="261"/>
      <c r="K35" s="261"/>
      <c r="L35" s="261"/>
      <c r="M35" s="261"/>
      <c r="N35" s="63"/>
    </row>
    <row r="36" spans="1:14" x14ac:dyDescent="0.2">
      <c r="A36" s="380" t="s">
        <v>374</v>
      </c>
      <c r="B36" s="261">
        <v>0</v>
      </c>
      <c r="C36" s="261">
        <v>0</v>
      </c>
      <c r="D36" s="261">
        <v>2140</v>
      </c>
      <c r="E36" s="261">
        <v>0</v>
      </c>
      <c r="F36" s="261">
        <v>0</v>
      </c>
      <c r="G36" s="272">
        <v>6000</v>
      </c>
      <c r="H36" s="272">
        <v>0</v>
      </c>
      <c r="I36" s="272">
        <v>0</v>
      </c>
      <c r="J36" s="272">
        <v>6000</v>
      </c>
      <c r="K36" s="261">
        <f t="shared" si="1"/>
        <v>0</v>
      </c>
      <c r="L36" s="261">
        <f t="shared" si="1"/>
        <v>0</v>
      </c>
      <c r="M36" s="261">
        <f t="shared" si="1"/>
        <v>0</v>
      </c>
      <c r="N36" s="63"/>
    </row>
    <row r="37" spans="1:14" x14ac:dyDescent="0.2">
      <c r="A37" s="380" t="s">
        <v>375</v>
      </c>
      <c r="B37" s="261">
        <v>0</v>
      </c>
      <c r="C37" s="261">
        <v>0</v>
      </c>
      <c r="D37" s="261">
        <v>2350</v>
      </c>
      <c r="E37" s="261">
        <v>0</v>
      </c>
      <c r="F37" s="261">
        <v>0</v>
      </c>
      <c r="G37" s="272">
        <v>10000</v>
      </c>
      <c r="H37" s="272">
        <v>0</v>
      </c>
      <c r="I37" s="272">
        <v>0</v>
      </c>
      <c r="J37" s="272">
        <v>10000</v>
      </c>
      <c r="K37" s="261">
        <f t="shared" si="1"/>
        <v>0</v>
      </c>
      <c r="L37" s="261">
        <f t="shared" si="1"/>
        <v>0</v>
      </c>
      <c r="M37" s="261">
        <f t="shared" si="1"/>
        <v>0</v>
      </c>
      <c r="N37" s="63"/>
    </row>
    <row r="38" spans="1:14" x14ac:dyDescent="0.2">
      <c r="A38" s="380" t="s">
        <v>376</v>
      </c>
      <c r="B38" s="261">
        <v>0</v>
      </c>
      <c r="C38" s="261">
        <v>0</v>
      </c>
      <c r="D38" s="261">
        <v>8050</v>
      </c>
      <c r="E38" s="261">
        <v>0</v>
      </c>
      <c r="F38" s="261">
        <v>0</v>
      </c>
      <c r="G38" s="272">
        <v>8050</v>
      </c>
      <c r="H38" s="272">
        <v>0</v>
      </c>
      <c r="I38" s="272">
        <v>0</v>
      </c>
      <c r="J38" s="272">
        <v>8050</v>
      </c>
      <c r="K38" s="261">
        <f t="shared" si="1"/>
        <v>0</v>
      </c>
      <c r="L38" s="261">
        <f t="shared" si="1"/>
        <v>0</v>
      </c>
      <c r="M38" s="261">
        <f t="shared" si="1"/>
        <v>0</v>
      </c>
      <c r="N38" s="63"/>
    </row>
    <row r="39" spans="1:14" x14ac:dyDescent="0.2">
      <c r="A39" s="380" t="s">
        <v>377</v>
      </c>
      <c r="B39" s="261">
        <v>0</v>
      </c>
      <c r="C39" s="261">
        <v>0</v>
      </c>
      <c r="D39" s="261">
        <v>5000</v>
      </c>
      <c r="E39" s="261">
        <v>0</v>
      </c>
      <c r="F39" s="261">
        <v>0</v>
      </c>
      <c r="G39" s="272">
        <v>30000</v>
      </c>
      <c r="H39" s="272">
        <v>0</v>
      </c>
      <c r="I39" s="272">
        <v>0</v>
      </c>
      <c r="J39" s="272">
        <v>30000</v>
      </c>
      <c r="K39" s="261">
        <f t="shared" si="1"/>
        <v>0</v>
      </c>
      <c r="L39" s="261">
        <f t="shared" si="1"/>
        <v>0</v>
      </c>
      <c r="M39" s="261">
        <f t="shared" si="1"/>
        <v>0</v>
      </c>
      <c r="N39" s="63"/>
    </row>
    <row r="40" spans="1:14" x14ac:dyDescent="0.2">
      <c r="A40" s="380" t="s">
        <v>378</v>
      </c>
      <c r="B40" s="261">
        <v>0</v>
      </c>
      <c r="C40" s="261">
        <v>0</v>
      </c>
      <c r="D40" s="261">
        <v>2100</v>
      </c>
      <c r="E40" s="261">
        <v>0</v>
      </c>
      <c r="F40" s="261">
        <v>0</v>
      </c>
      <c r="G40" s="272">
        <v>90000</v>
      </c>
      <c r="H40" s="272">
        <v>0</v>
      </c>
      <c r="I40" s="272">
        <v>0</v>
      </c>
      <c r="J40" s="272">
        <v>90000</v>
      </c>
      <c r="K40" s="261">
        <f t="shared" si="1"/>
        <v>0</v>
      </c>
      <c r="L40" s="261">
        <f t="shared" si="1"/>
        <v>0</v>
      </c>
      <c r="M40" s="261">
        <f t="shared" si="1"/>
        <v>0</v>
      </c>
      <c r="N40" s="63"/>
    </row>
    <row r="41" spans="1:14" x14ac:dyDescent="0.2">
      <c r="A41" s="380" t="s">
        <v>379</v>
      </c>
      <c r="B41" s="261">
        <v>0</v>
      </c>
      <c r="C41" s="261">
        <v>0</v>
      </c>
      <c r="D41" s="261">
        <v>890</v>
      </c>
      <c r="E41" s="261">
        <v>0</v>
      </c>
      <c r="F41" s="261">
        <v>0</v>
      </c>
      <c r="G41" s="272">
        <v>20000</v>
      </c>
      <c r="H41" s="272">
        <v>0</v>
      </c>
      <c r="I41" s="272">
        <v>0</v>
      </c>
      <c r="J41" s="272">
        <v>20000</v>
      </c>
      <c r="K41" s="261">
        <f t="shared" si="1"/>
        <v>0</v>
      </c>
      <c r="L41" s="261">
        <f t="shared" si="1"/>
        <v>0</v>
      </c>
      <c r="M41" s="261">
        <f t="shared" si="1"/>
        <v>0</v>
      </c>
      <c r="N41" s="63"/>
    </row>
    <row r="42" spans="1:14" x14ac:dyDescent="0.2">
      <c r="A42" s="380" t="s">
        <v>380</v>
      </c>
      <c r="B42" s="261">
        <v>801</v>
      </c>
      <c r="C42" s="261">
        <v>801</v>
      </c>
      <c r="D42" s="261">
        <v>139708</v>
      </c>
      <c r="E42" s="261">
        <v>797</v>
      </c>
      <c r="F42" s="261">
        <v>797</v>
      </c>
      <c r="G42" s="272">
        <v>140000</v>
      </c>
      <c r="H42" s="272">
        <v>797</v>
      </c>
      <c r="I42" s="272">
        <v>797</v>
      </c>
      <c r="J42" s="272">
        <v>140000</v>
      </c>
      <c r="K42" s="261">
        <f t="shared" si="1"/>
        <v>0</v>
      </c>
      <c r="L42" s="261">
        <f t="shared" si="1"/>
        <v>0</v>
      </c>
      <c r="M42" s="261">
        <f t="shared" si="1"/>
        <v>0</v>
      </c>
      <c r="N42" s="63"/>
    </row>
    <row r="43" spans="1:14" x14ac:dyDescent="0.2">
      <c r="A43" s="380" t="s">
        <v>381</v>
      </c>
      <c r="B43" s="261">
        <v>0</v>
      </c>
      <c r="C43" s="261">
        <v>0</v>
      </c>
      <c r="D43" s="261">
        <v>76527</v>
      </c>
      <c r="E43" s="261">
        <v>0</v>
      </c>
      <c r="F43" s="261">
        <v>0</v>
      </c>
      <c r="G43" s="272">
        <v>75000</v>
      </c>
      <c r="H43" s="272">
        <v>0</v>
      </c>
      <c r="I43" s="272">
        <v>0</v>
      </c>
      <c r="J43" s="272">
        <v>75000</v>
      </c>
      <c r="K43" s="261">
        <f t="shared" si="1"/>
        <v>0</v>
      </c>
      <c r="L43" s="261">
        <f t="shared" si="1"/>
        <v>0</v>
      </c>
      <c r="M43" s="261">
        <f t="shared" si="1"/>
        <v>0</v>
      </c>
      <c r="N43" s="63"/>
    </row>
    <row r="44" spans="1:14" x14ac:dyDescent="0.2">
      <c r="A44" s="380" t="s">
        <v>382</v>
      </c>
      <c r="B44" s="261">
        <v>0</v>
      </c>
      <c r="C44" s="261">
        <v>0</v>
      </c>
      <c r="D44" s="261">
        <v>13000</v>
      </c>
      <c r="E44" s="261">
        <v>0</v>
      </c>
      <c r="F44" s="261">
        <v>0</v>
      </c>
      <c r="G44" s="272">
        <v>20000</v>
      </c>
      <c r="H44" s="272">
        <v>0</v>
      </c>
      <c r="I44" s="272">
        <v>0</v>
      </c>
      <c r="J44" s="272">
        <v>20000</v>
      </c>
      <c r="K44" s="261">
        <f t="shared" si="1"/>
        <v>0</v>
      </c>
      <c r="L44" s="261">
        <f t="shared" si="1"/>
        <v>0</v>
      </c>
      <c r="M44" s="261">
        <f t="shared" si="1"/>
        <v>0</v>
      </c>
      <c r="N44" s="63"/>
    </row>
    <row r="45" spans="1:14" x14ac:dyDescent="0.2">
      <c r="A45" s="380" t="s">
        <v>383</v>
      </c>
      <c r="B45" s="261">
        <v>0</v>
      </c>
      <c r="C45" s="261">
        <v>0</v>
      </c>
      <c r="D45" s="261">
        <v>297389</v>
      </c>
      <c r="E45" s="261">
        <v>0</v>
      </c>
      <c r="F45" s="261">
        <v>0</v>
      </c>
      <c r="G45" s="272">
        <v>200000</v>
      </c>
      <c r="H45" s="272">
        <v>0</v>
      </c>
      <c r="I45" s="272">
        <v>0</v>
      </c>
      <c r="J45" s="272">
        <v>200000</v>
      </c>
      <c r="K45" s="261">
        <f t="shared" si="1"/>
        <v>0</v>
      </c>
      <c r="L45" s="261">
        <f t="shared" si="1"/>
        <v>0</v>
      </c>
      <c r="M45" s="261">
        <f t="shared" si="1"/>
        <v>0</v>
      </c>
      <c r="N45" s="63"/>
    </row>
    <row r="46" spans="1:14" x14ac:dyDescent="0.2">
      <c r="A46" s="380" t="s">
        <v>384</v>
      </c>
      <c r="B46" s="261">
        <v>0</v>
      </c>
      <c r="C46" s="261">
        <v>0</v>
      </c>
      <c r="D46" s="261">
        <v>4175</v>
      </c>
      <c r="E46" s="261">
        <v>0</v>
      </c>
      <c r="F46" s="261">
        <v>0</v>
      </c>
      <c r="G46" s="272">
        <v>95000</v>
      </c>
      <c r="H46" s="272">
        <v>0</v>
      </c>
      <c r="I46" s="272">
        <v>0</v>
      </c>
      <c r="J46" s="272">
        <v>95000</v>
      </c>
      <c r="K46" s="261">
        <f t="shared" si="1"/>
        <v>0</v>
      </c>
      <c r="L46" s="261">
        <f t="shared" si="1"/>
        <v>0</v>
      </c>
      <c r="M46" s="261">
        <f t="shared" si="1"/>
        <v>0</v>
      </c>
      <c r="N46" s="63"/>
    </row>
    <row r="47" spans="1:14" ht="15" x14ac:dyDescent="0.25">
      <c r="A47" s="381" t="s">
        <v>438</v>
      </c>
      <c r="B47" s="261"/>
      <c r="C47" s="261"/>
      <c r="D47" s="261"/>
      <c r="E47" s="261"/>
      <c r="F47" s="261"/>
      <c r="G47" s="261"/>
      <c r="H47" s="261"/>
      <c r="I47" s="261"/>
      <c r="J47" s="261"/>
      <c r="K47" s="261"/>
      <c r="L47" s="261"/>
      <c r="M47" s="261"/>
      <c r="N47" s="63"/>
    </row>
    <row r="48" spans="1:14" x14ac:dyDescent="0.2">
      <c r="A48" s="380" t="s">
        <v>385</v>
      </c>
      <c r="B48" s="261">
        <v>0</v>
      </c>
      <c r="C48" s="261">
        <v>0</v>
      </c>
      <c r="D48" s="261">
        <v>3</v>
      </c>
      <c r="E48" s="261">
        <v>0</v>
      </c>
      <c r="F48" s="261">
        <v>0</v>
      </c>
      <c r="G48" s="272">
        <v>3</v>
      </c>
      <c r="H48" s="261">
        <v>0</v>
      </c>
      <c r="I48" s="261">
        <v>0</v>
      </c>
      <c r="J48" s="261">
        <v>3</v>
      </c>
      <c r="K48" s="261">
        <f t="shared" si="1"/>
        <v>0</v>
      </c>
      <c r="L48" s="261">
        <f t="shared" si="1"/>
        <v>0</v>
      </c>
      <c r="M48" s="261">
        <f t="shared" si="1"/>
        <v>0</v>
      </c>
      <c r="N48" s="63"/>
    </row>
    <row r="49" spans="1:16" ht="15" x14ac:dyDescent="0.25">
      <c r="A49" s="381" t="s">
        <v>439</v>
      </c>
      <c r="B49" s="261"/>
      <c r="C49" s="261"/>
      <c r="D49" s="261"/>
      <c r="E49" s="261"/>
      <c r="F49" s="261"/>
      <c r="G49" s="261"/>
      <c r="H49" s="261"/>
      <c r="I49" s="261"/>
      <c r="J49" s="261"/>
      <c r="K49" s="261"/>
      <c r="L49" s="261"/>
      <c r="M49" s="261"/>
      <c r="N49" s="63"/>
    </row>
    <row r="50" spans="1:16" x14ac:dyDescent="0.2">
      <c r="A50" s="380" t="s">
        <v>386</v>
      </c>
      <c r="B50" s="261">
        <v>0</v>
      </c>
      <c r="C50" s="261">
        <v>0</v>
      </c>
      <c r="D50" s="261">
        <v>0</v>
      </c>
      <c r="E50" s="261">
        <v>0</v>
      </c>
      <c r="F50" s="261">
        <v>0</v>
      </c>
      <c r="G50" s="261">
        <v>18000</v>
      </c>
      <c r="H50" s="261">
        <v>0</v>
      </c>
      <c r="I50" s="261">
        <v>0</v>
      </c>
      <c r="J50" s="261">
        <v>18000</v>
      </c>
      <c r="K50" s="261">
        <f t="shared" si="1"/>
        <v>0</v>
      </c>
      <c r="L50" s="261">
        <f t="shared" si="1"/>
        <v>0</v>
      </c>
      <c r="M50" s="261">
        <f t="shared" si="1"/>
        <v>0</v>
      </c>
      <c r="N50" s="63"/>
    </row>
    <row r="51" spans="1:16" x14ac:dyDescent="0.2">
      <c r="A51" s="380" t="s">
        <v>387</v>
      </c>
      <c r="B51" s="261">
        <v>0</v>
      </c>
      <c r="C51" s="261">
        <v>0</v>
      </c>
      <c r="D51" s="261">
        <v>0</v>
      </c>
      <c r="E51" s="261">
        <v>0</v>
      </c>
      <c r="F51" s="261">
        <v>0</v>
      </c>
      <c r="G51" s="261">
        <v>30000</v>
      </c>
      <c r="H51" s="261">
        <v>0</v>
      </c>
      <c r="I51" s="261">
        <v>0</v>
      </c>
      <c r="J51" s="261">
        <v>30000</v>
      </c>
      <c r="K51" s="261">
        <f t="shared" si="1"/>
        <v>0</v>
      </c>
      <c r="L51" s="261">
        <f t="shared" si="1"/>
        <v>0</v>
      </c>
      <c r="M51" s="261">
        <f t="shared" si="1"/>
        <v>0</v>
      </c>
      <c r="N51" s="63"/>
    </row>
    <row r="52" spans="1:16" x14ac:dyDescent="0.2">
      <c r="A52" s="380" t="s">
        <v>388</v>
      </c>
      <c r="B52" s="261">
        <v>0</v>
      </c>
      <c r="C52" s="261">
        <v>0</v>
      </c>
      <c r="D52" s="261">
        <v>0</v>
      </c>
      <c r="E52" s="261">
        <v>0</v>
      </c>
      <c r="F52" s="261">
        <v>0</v>
      </c>
      <c r="G52" s="261">
        <v>25000</v>
      </c>
      <c r="H52" s="261">
        <v>0</v>
      </c>
      <c r="I52" s="261">
        <v>0</v>
      </c>
      <c r="J52" s="261">
        <v>25000</v>
      </c>
      <c r="K52" s="261">
        <f t="shared" si="1"/>
        <v>0</v>
      </c>
      <c r="L52" s="261">
        <f t="shared" si="1"/>
        <v>0</v>
      </c>
      <c r="M52" s="261">
        <f t="shared" si="1"/>
        <v>0</v>
      </c>
      <c r="N52" s="63"/>
    </row>
    <row r="53" spans="1:16" x14ac:dyDescent="0.2">
      <c r="A53" s="380" t="s">
        <v>389</v>
      </c>
      <c r="B53" s="261">
        <v>0</v>
      </c>
      <c r="C53" s="261">
        <v>0</v>
      </c>
      <c r="D53" s="261">
        <v>0</v>
      </c>
      <c r="E53" s="261">
        <v>0</v>
      </c>
      <c r="F53" s="261">
        <v>0</v>
      </c>
      <c r="G53" s="261">
        <v>20000</v>
      </c>
      <c r="H53" s="261">
        <v>0</v>
      </c>
      <c r="I53" s="261">
        <v>0</v>
      </c>
      <c r="J53" s="261">
        <v>20000</v>
      </c>
      <c r="K53" s="261">
        <f t="shared" si="1"/>
        <v>0</v>
      </c>
      <c r="L53" s="261">
        <f t="shared" si="1"/>
        <v>0</v>
      </c>
      <c r="M53" s="261">
        <f t="shared" si="1"/>
        <v>0</v>
      </c>
      <c r="N53" s="63"/>
    </row>
    <row r="54" spans="1:16" x14ac:dyDescent="0.2">
      <c r="A54" s="380" t="s">
        <v>390</v>
      </c>
      <c r="B54" s="261">
        <v>0</v>
      </c>
      <c r="C54" s="261">
        <v>0</v>
      </c>
      <c r="D54" s="261">
        <v>0</v>
      </c>
      <c r="E54" s="261">
        <v>0</v>
      </c>
      <c r="F54" s="261">
        <v>0</v>
      </c>
      <c r="G54" s="261">
        <v>16000</v>
      </c>
      <c r="H54" s="261">
        <v>0</v>
      </c>
      <c r="I54" s="261">
        <v>0</v>
      </c>
      <c r="J54" s="261">
        <v>16000</v>
      </c>
      <c r="K54" s="261">
        <f t="shared" si="1"/>
        <v>0</v>
      </c>
      <c r="L54" s="261">
        <f t="shared" si="1"/>
        <v>0</v>
      </c>
      <c r="M54" s="261">
        <f t="shared" si="1"/>
        <v>0</v>
      </c>
      <c r="N54" s="63"/>
    </row>
    <row r="55" spans="1:16" x14ac:dyDescent="0.2">
      <c r="A55" s="380" t="s">
        <v>391</v>
      </c>
      <c r="B55" s="177">
        <v>0</v>
      </c>
      <c r="C55" s="177">
        <v>0</v>
      </c>
      <c r="D55" s="177">
        <v>0</v>
      </c>
      <c r="E55" s="177">
        <v>0</v>
      </c>
      <c r="F55" s="177">
        <v>0</v>
      </c>
      <c r="G55" s="177">
        <v>8000</v>
      </c>
      <c r="H55" s="177">
        <v>0</v>
      </c>
      <c r="I55" s="177">
        <v>0</v>
      </c>
      <c r="J55" s="177">
        <v>8000</v>
      </c>
      <c r="K55" s="177">
        <f t="shared" si="1"/>
        <v>0</v>
      </c>
      <c r="L55" s="177">
        <f t="shared" si="1"/>
        <v>0</v>
      </c>
      <c r="M55" s="261">
        <f t="shared" si="1"/>
        <v>0</v>
      </c>
      <c r="N55" s="63"/>
    </row>
    <row r="56" spans="1:16" x14ac:dyDescent="0.2">
      <c r="A56" s="380" t="s">
        <v>392</v>
      </c>
      <c r="B56" s="177">
        <v>0</v>
      </c>
      <c r="C56" s="177">
        <v>0</v>
      </c>
      <c r="D56" s="177">
        <v>0</v>
      </c>
      <c r="E56" s="177">
        <v>0</v>
      </c>
      <c r="F56" s="177">
        <v>0</v>
      </c>
      <c r="G56" s="177">
        <v>5000</v>
      </c>
      <c r="H56" s="177">
        <v>0</v>
      </c>
      <c r="I56" s="177">
        <v>0</v>
      </c>
      <c r="J56" s="177">
        <v>5000</v>
      </c>
      <c r="K56" s="177">
        <f t="shared" si="1"/>
        <v>0</v>
      </c>
      <c r="L56" s="177">
        <f t="shared" si="1"/>
        <v>0</v>
      </c>
      <c r="M56" s="261">
        <f t="shared" si="1"/>
        <v>0</v>
      </c>
      <c r="N56" s="63"/>
    </row>
    <row r="57" spans="1:16" x14ac:dyDescent="0.2">
      <c r="A57" s="379" t="s">
        <v>450</v>
      </c>
      <c r="B57" s="410">
        <v>0</v>
      </c>
      <c r="C57" s="410">
        <v>0</v>
      </c>
      <c r="D57" s="410">
        <v>0</v>
      </c>
      <c r="E57" s="410">
        <v>0</v>
      </c>
      <c r="F57" s="410">
        <v>0</v>
      </c>
      <c r="G57" s="410">
        <v>6000</v>
      </c>
      <c r="H57" s="410">
        <v>0</v>
      </c>
      <c r="I57" s="410">
        <v>0</v>
      </c>
      <c r="J57" s="410">
        <v>6000</v>
      </c>
      <c r="K57" s="410">
        <f t="shared" si="1"/>
        <v>0</v>
      </c>
      <c r="L57" s="410">
        <f t="shared" si="1"/>
        <v>0</v>
      </c>
      <c r="M57" s="410">
        <f t="shared" si="1"/>
        <v>0</v>
      </c>
      <c r="N57" s="63"/>
    </row>
    <row r="58" spans="1:16" x14ac:dyDescent="0.2">
      <c r="A58" s="379" t="s">
        <v>446</v>
      </c>
      <c r="B58" s="322">
        <v>0</v>
      </c>
      <c r="C58" s="322">
        <v>-159</v>
      </c>
      <c r="D58" s="322">
        <v>0</v>
      </c>
      <c r="E58" s="322">
        <v>0</v>
      </c>
      <c r="F58" s="322">
        <v>0</v>
      </c>
      <c r="G58" s="322">
        <v>0</v>
      </c>
      <c r="H58" s="322">
        <v>0</v>
      </c>
      <c r="I58" s="322">
        <v>0</v>
      </c>
      <c r="J58" s="322">
        <v>0</v>
      </c>
      <c r="K58" s="322">
        <f t="shared" si="1"/>
        <v>0</v>
      </c>
      <c r="L58" s="322">
        <f t="shared" si="1"/>
        <v>0</v>
      </c>
      <c r="M58" s="322">
        <f t="shared" si="1"/>
        <v>0</v>
      </c>
      <c r="N58" s="63"/>
    </row>
    <row r="59" spans="1:16" ht="15" x14ac:dyDescent="0.25">
      <c r="A59" s="307" t="s">
        <v>217</v>
      </c>
      <c r="B59" s="137">
        <f t="shared" ref="B59:M59" si="2">SUM(B10:B58)</f>
        <v>3241</v>
      </c>
      <c r="C59" s="357">
        <f t="shared" si="2"/>
        <v>3062</v>
      </c>
      <c r="D59" s="137">
        <f t="shared" si="2"/>
        <v>1861084</v>
      </c>
      <c r="E59" s="137">
        <f t="shared" si="2"/>
        <v>3187</v>
      </c>
      <c r="F59" s="137">
        <f t="shared" si="2"/>
        <v>3167</v>
      </c>
      <c r="G59" s="137">
        <f t="shared" si="2"/>
        <v>1731553</v>
      </c>
      <c r="H59" s="137">
        <f t="shared" si="2"/>
        <v>3187</v>
      </c>
      <c r="I59" s="137">
        <f t="shared" si="2"/>
        <v>3167</v>
      </c>
      <c r="J59" s="137">
        <f t="shared" si="2"/>
        <v>1731553</v>
      </c>
      <c r="K59" s="137">
        <f t="shared" si="2"/>
        <v>0</v>
      </c>
      <c r="L59" s="137">
        <f t="shared" si="2"/>
        <v>0</v>
      </c>
      <c r="M59" s="137">
        <f t="shared" si="2"/>
        <v>0</v>
      </c>
      <c r="N59" s="63" t="s">
        <v>17</v>
      </c>
    </row>
    <row r="60" spans="1:16" x14ac:dyDescent="0.2">
      <c r="N60" s="63" t="s">
        <v>17</v>
      </c>
    </row>
    <row r="61" spans="1:16" ht="18" hidden="1" customHeight="1" x14ac:dyDescent="0.2">
      <c r="A61" s="441" t="s">
        <v>194</v>
      </c>
      <c r="B61" s="444" t="s">
        <v>268</v>
      </c>
      <c r="C61" s="444"/>
      <c r="D61" s="444"/>
      <c r="E61" s="444" t="s">
        <v>271</v>
      </c>
      <c r="F61" s="444"/>
      <c r="G61" s="444"/>
      <c r="H61" s="444" t="s">
        <v>263</v>
      </c>
      <c r="I61" s="444"/>
      <c r="J61" s="444"/>
      <c r="K61" s="444" t="s">
        <v>106</v>
      </c>
      <c r="L61" s="444"/>
      <c r="M61" s="445"/>
      <c r="N61" s="63" t="s">
        <v>17</v>
      </c>
    </row>
    <row r="62" spans="1:16" ht="30" hidden="1" x14ac:dyDescent="0.25">
      <c r="A62" s="442"/>
      <c r="B62" s="229" t="s">
        <v>110</v>
      </c>
      <c r="C62" s="229" t="s">
        <v>111</v>
      </c>
      <c r="D62" s="229" t="s">
        <v>4</v>
      </c>
      <c r="E62" s="229" t="s">
        <v>110</v>
      </c>
      <c r="F62" s="229" t="s">
        <v>111</v>
      </c>
      <c r="G62" s="229" t="s">
        <v>4</v>
      </c>
      <c r="H62" s="229" t="s">
        <v>110</v>
      </c>
      <c r="I62" s="229" t="s">
        <v>111</v>
      </c>
      <c r="J62" s="229" t="s">
        <v>4</v>
      </c>
      <c r="K62" s="229" t="s">
        <v>110</v>
      </c>
      <c r="L62" s="229" t="s">
        <v>111</v>
      </c>
      <c r="M62" s="230" t="s">
        <v>4</v>
      </c>
      <c r="N62" s="63" t="s">
        <v>17</v>
      </c>
      <c r="P62" s="64" t="s">
        <v>244</v>
      </c>
    </row>
    <row r="63" spans="1:16" ht="15" hidden="1" x14ac:dyDescent="0.25">
      <c r="A63" s="215" t="s">
        <v>26</v>
      </c>
      <c r="B63" s="255">
        <v>0</v>
      </c>
      <c r="C63" s="255">
        <v>0</v>
      </c>
      <c r="D63" s="255">
        <v>0</v>
      </c>
      <c r="E63" s="255">
        <v>0</v>
      </c>
      <c r="F63" s="255">
        <v>0</v>
      </c>
      <c r="G63" s="255">
        <v>0</v>
      </c>
      <c r="H63" s="255">
        <v>0</v>
      </c>
      <c r="I63" s="255">
        <v>0</v>
      </c>
      <c r="J63" s="255">
        <v>0</v>
      </c>
      <c r="K63" s="255">
        <f>H63-E63</f>
        <v>0</v>
      </c>
      <c r="L63" s="255">
        <f t="shared" ref="L63:M66" si="3">I63-F63</f>
        <v>0</v>
      </c>
      <c r="M63" s="256">
        <f t="shared" si="3"/>
        <v>0</v>
      </c>
      <c r="N63" s="63" t="s">
        <v>17</v>
      </c>
      <c r="P63" s="5"/>
    </row>
    <row r="64" spans="1:16" hidden="1" x14ac:dyDescent="0.2">
      <c r="A64" s="216" t="s">
        <v>27</v>
      </c>
      <c r="B64" s="177">
        <v>0</v>
      </c>
      <c r="C64" s="177">
        <v>0</v>
      </c>
      <c r="D64" s="177">
        <v>0</v>
      </c>
      <c r="E64" s="177">
        <v>0</v>
      </c>
      <c r="F64" s="177">
        <v>0</v>
      </c>
      <c r="G64" s="177">
        <v>0</v>
      </c>
      <c r="H64" s="177">
        <v>0</v>
      </c>
      <c r="I64" s="177">
        <v>0</v>
      </c>
      <c r="J64" s="177">
        <v>0</v>
      </c>
      <c r="K64" s="177">
        <f t="shared" ref="K64:K66" si="4">H64-E64</f>
        <v>0</v>
      </c>
      <c r="L64" s="177">
        <f t="shared" si="3"/>
        <v>0</v>
      </c>
      <c r="M64" s="173">
        <f t="shared" si="3"/>
        <v>0</v>
      </c>
      <c r="N64" s="63" t="s">
        <v>17</v>
      </c>
    </row>
    <row r="65" spans="1:16" hidden="1" x14ac:dyDescent="0.2">
      <c r="A65" s="216" t="s">
        <v>28</v>
      </c>
      <c r="B65" s="177">
        <v>0</v>
      </c>
      <c r="C65" s="177">
        <v>0</v>
      </c>
      <c r="D65" s="177">
        <v>0</v>
      </c>
      <c r="E65" s="177">
        <v>0</v>
      </c>
      <c r="F65" s="177">
        <v>0</v>
      </c>
      <c r="G65" s="177">
        <v>0</v>
      </c>
      <c r="H65" s="177">
        <v>0</v>
      </c>
      <c r="I65" s="177">
        <v>0</v>
      </c>
      <c r="J65" s="177">
        <v>0</v>
      </c>
      <c r="K65" s="177">
        <f t="shared" si="4"/>
        <v>0</v>
      </c>
      <c r="L65" s="177">
        <f t="shared" si="3"/>
        <v>0</v>
      </c>
      <c r="M65" s="173">
        <f t="shared" si="3"/>
        <v>0</v>
      </c>
      <c r="N65" s="63" t="s">
        <v>17</v>
      </c>
    </row>
    <row r="66" spans="1:16" hidden="1" x14ac:dyDescent="0.2">
      <c r="A66" s="308" t="s">
        <v>29</v>
      </c>
      <c r="B66" s="281">
        <v>0</v>
      </c>
      <c r="C66" s="281">
        <v>0</v>
      </c>
      <c r="D66" s="281">
        <v>0</v>
      </c>
      <c r="E66" s="281">
        <v>0</v>
      </c>
      <c r="F66" s="281">
        <v>0</v>
      </c>
      <c r="G66" s="281">
        <v>0</v>
      </c>
      <c r="H66" s="281">
        <v>0</v>
      </c>
      <c r="I66" s="281">
        <v>0</v>
      </c>
      <c r="J66" s="281">
        <v>0</v>
      </c>
      <c r="K66" s="281">
        <f t="shared" si="4"/>
        <v>0</v>
      </c>
      <c r="L66" s="281">
        <f t="shared" si="3"/>
        <v>0</v>
      </c>
      <c r="M66" s="282">
        <f t="shared" si="3"/>
        <v>0</v>
      </c>
      <c r="N66" s="63" t="s">
        <v>17</v>
      </c>
    </row>
    <row r="67" spans="1:16" ht="15" hidden="1" x14ac:dyDescent="0.25">
      <c r="A67" s="13" t="s">
        <v>217</v>
      </c>
      <c r="B67" s="137">
        <f>SUM(B63:B66)</f>
        <v>0</v>
      </c>
      <c r="C67" s="137">
        <f t="shared" ref="C67:M67" si="5">SUM(C63:C66)</f>
        <v>0</v>
      </c>
      <c r="D67" s="137">
        <f t="shared" si="5"/>
        <v>0</v>
      </c>
      <c r="E67" s="137">
        <f t="shared" si="5"/>
        <v>0</v>
      </c>
      <c r="F67" s="137">
        <f t="shared" si="5"/>
        <v>0</v>
      </c>
      <c r="G67" s="137">
        <f t="shared" si="5"/>
        <v>0</v>
      </c>
      <c r="H67" s="137">
        <f t="shared" si="5"/>
        <v>0</v>
      </c>
      <c r="I67" s="137">
        <f t="shared" si="5"/>
        <v>0</v>
      </c>
      <c r="J67" s="137">
        <f t="shared" si="5"/>
        <v>0</v>
      </c>
      <c r="K67" s="137">
        <f t="shared" si="5"/>
        <v>0</v>
      </c>
      <c r="L67" s="137">
        <f t="shared" si="5"/>
        <v>0</v>
      </c>
      <c r="M67" s="138">
        <f t="shared" si="5"/>
        <v>0</v>
      </c>
      <c r="N67" s="63" t="s">
        <v>17</v>
      </c>
      <c r="P67" s="5"/>
    </row>
    <row r="68" spans="1:16" hidden="1" x14ac:dyDescent="0.2">
      <c r="N68" s="63" t="s">
        <v>17</v>
      </c>
    </row>
    <row r="69" spans="1:16" x14ac:dyDescent="0.2">
      <c r="N69" s="63" t="s">
        <v>18</v>
      </c>
    </row>
  </sheetData>
  <mergeCells count="16">
    <mergeCell ref="A7:A8"/>
    <mergeCell ref="B7:D7"/>
    <mergeCell ref="E7:G7"/>
    <mergeCell ref="H7:J7"/>
    <mergeCell ref="K7:M7"/>
    <mergeCell ref="A61:A62"/>
    <mergeCell ref="B61:D61"/>
    <mergeCell ref="E61:G61"/>
    <mergeCell ref="H61:J61"/>
    <mergeCell ref="K61:M61"/>
    <mergeCell ref="A6:M6"/>
    <mergeCell ref="A1:M1"/>
    <mergeCell ref="A2:M2"/>
    <mergeCell ref="A3:M3"/>
    <mergeCell ref="A4:M4"/>
    <mergeCell ref="A5:M5"/>
  </mergeCells>
  <printOptions horizontalCentered="1"/>
  <pageMargins left="0.7" right="0.7" top="0.75" bottom="0.75" header="0.3" footer="0.3"/>
  <pageSetup scale="62"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23</vt:i4>
      </vt:variant>
    </vt:vector>
  </HeadingPairs>
  <TitlesOfParts>
    <vt:vector size="42" baseType="lpstr">
      <vt:lpstr>A. Organization Chart</vt:lpstr>
      <vt:lpstr>B. Summ of Req.</vt:lpstr>
      <vt:lpstr>B. Summ of Req. by DU</vt:lpstr>
      <vt:lpstr>C. Program Changes by DU</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 </vt:lpstr>
      <vt:lpstr>L. Studies</vt:lpstr>
      <vt:lpstr>B. Summ of Req.(CNST)</vt:lpstr>
      <vt:lpstr>B. Summ of Req. by DU (CNST)</vt:lpstr>
      <vt:lpstr>D. Strat Goals &amp; Object (CNST)</vt:lpstr>
      <vt:lpstr>F. 2013 Crosswalk (CNST)</vt:lpstr>
      <vt:lpstr>G. 2014 Crosswalk (CNST)</vt:lpstr>
      <vt:lpstr>K. Summary by OC (CNST)</vt:lpstr>
      <vt:lpstr>'A. Organization Chart'!Print_Area</vt:lpstr>
      <vt:lpstr>'B. Summ of Req.'!Print_Area</vt:lpstr>
      <vt:lpstr>'B. Summ of Req. by DU'!Print_Area</vt:lpstr>
      <vt:lpstr>'B. Summ of Req. by DU (CNST)'!Print_Area</vt:lpstr>
      <vt:lpstr>'B. Summ of Req.(CNST)'!Print_Area</vt:lpstr>
      <vt:lpstr>'C. Program Changes by DU'!Print_Area</vt:lpstr>
      <vt:lpstr>'D. Strat Goals &amp; Object (CNST)'!Print_Area</vt:lpstr>
      <vt:lpstr>'D. Strategic Goals &amp; Objectives'!Print_Area</vt:lpstr>
      <vt:lpstr>'E. ATB Justification'!Print_Area</vt:lpstr>
      <vt:lpstr>'F. 2013 Crosswalk'!Print_Area</vt:lpstr>
      <vt:lpstr>'F. 2013 Crosswalk (CNST)'!Print_Area</vt:lpstr>
      <vt:lpstr>'G. 2014 Crosswalk'!Print_Area</vt:lpstr>
      <vt:lpstr>'G. 2014 Crosswalk (CNST)'!Print_Area</vt:lpstr>
      <vt:lpstr>'H. Reimbursable Resources'!Print_Area</vt:lpstr>
      <vt:lpstr>'I. Permanent Positions'!Print_Area</vt:lpstr>
      <vt:lpstr>'J. Financial Analysis'!Print_Area</vt:lpstr>
      <vt:lpstr>'K. Summary by OC '!Print_Area</vt:lpstr>
      <vt:lpstr>'K. Summary by OC (CNST)'!Print_Area</vt:lpstr>
      <vt:lpstr>'L. Studies'!Print_Area</vt:lpstr>
      <vt:lpstr>'D. Strat Goals &amp; Object (CNST)'!Print_Titles</vt:lpstr>
      <vt:lpstr>'D. Strategic Goals &amp; Objectives'!Print_Titles</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tphan</cp:lastModifiedBy>
  <cp:lastPrinted>2014-03-07T22:38:51Z</cp:lastPrinted>
  <dcterms:created xsi:type="dcterms:W3CDTF">2012-12-06T16:08:32Z</dcterms:created>
  <dcterms:modified xsi:type="dcterms:W3CDTF">2014-03-19T12:24:48Z</dcterms:modified>
</cp:coreProperties>
</file>