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285" windowWidth="19440" windowHeight="11940" tabRatio="808"/>
  </bookViews>
  <sheets>
    <sheet name="B. Summ of Req. - M&amp;A" sheetId="2" r:id="rId1"/>
    <sheet name="B. Summ of Req. by DU - M&amp;A" sheetId="3" r:id="rId2"/>
    <sheet name="C. Program Changes by DU - M&amp;A" sheetId="4" r:id="rId3"/>
    <sheet name="E. ATB Justification - M&amp;A" sheetId="5" r:id="rId4"/>
    <sheet name="F. 2013 Crosswalk - M&amp;A" sheetId="6" r:id="rId5"/>
    <sheet name="G. 2014 Crosswalk - M&amp;A" sheetId="7" r:id="rId6"/>
    <sheet name="H. Reimbursable Resources - M&amp;A" sheetId="8" r:id="rId7"/>
    <sheet name="I. Permanent Positions - M&amp;A" sheetId="9" r:id="rId8"/>
    <sheet name="K. Summary by OC - M&amp;A" sheetId="10" r:id="rId9"/>
    <sheet name="B. Summ of Req. - RES" sheetId="11" r:id="rId10"/>
    <sheet name="B. Summ of Req. by DU - RES" sheetId="12" r:id="rId11"/>
    <sheet name="C. Program Changes by DU -RES" sheetId="13" r:id="rId12"/>
    <sheet name="D. Strategic Goals &amp; Objs - RES" sheetId="14" r:id="rId13"/>
    <sheet name="F. 2013 Crosswalk -RES" sheetId="15" r:id="rId14"/>
    <sheet name="G. 2014 Crosswalk -RES" sheetId="16" r:id="rId15"/>
    <sheet name="H. Reimbursable Resources - RES" sheetId="17" r:id="rId16"/>
    <sheet name="J. Financial Analysis - RES" sheetId="18" r:id="rId17"/>
    <sheet name="K. Summary by OC - RES" sheetId="19" r:id="rId18"/>
    <sheet name="B. Summ of Req. - S&amp;L" sheetId="20" r:id="rId19"/>
    <sheet name="B. Summ of Req. by DU - S&amp;L" sheetId="21" r:id="rId20"/>
    <sheet name="C. Program Changes by DU - S&amp;L" sheetId="22" r:id="rId21"/>
    <sheet name="D. Strategic Goals &amp; Obj. - S&amp;L" sheetId="23" r:id="rId22"/>
    <sheet name="F. 2013 Crosswalk - S&amp;L" sheetId="24" r:id="rId23"/>
    <sheet name="G. 2014 Crosswalk - S&amp;L" sheetId="25" r:id="rId24"/>
    <sheet name="H. Reimbursable Resources - S&amp;L" sheetId="26" r:id="rId25"/>
    <sheet name="J. Financial Analysis - S&amp;L" sheetId="27" r:id="rId26"/>
    <sheet name="K. Summary by OC - S&amp;L" sheetId="28" r:id="rId27"/>
    <sheet name="B. Summ of Req. - JJ" sheetId="29" r:id="rId28"/>
    <sheet name="B. Summ of Req. by DU - JJ" sheetId="30" r:id="rId29"/>
    <sheet name="C. Program Changes by DU - JJ" sheetId="31" r:id="rId30"/>
    <sheet name="D. Strategic Goals &amp; Objs - JJ" sheetId="32" r:id="rId31"/>
    <sheet name="F. 2013 Crosswalk - JJ" sheetId="33" r:id="rId32"/>
    <sheet name="G. 2014 Crosswalk - JJ" sheetId="34" r:id="rId33"/>
    <sheet name="H. Reimbursable Resources - JJ" sheetId="35" r:id="rId34"/>
    <sheet name="J. Financial Analysis -JJ" sheetId="36" r:id="rId35"/>
    <sheet name="K. Summary by OC - JJ" sheetId="37" r:id="rId36"/>
    <sheet name="B. Summ of Req. - PSOB" sheetId="38" r:id="rId37"/>
    <sheet name="B. Summ of Req. by DU - PSOB" sheetId="39" r:id="rId38"/>
    <sheet name="D. Strategic Goals &amp; Obs - PSOB" sheetId="40" r:id="rId39"/>
    <sheet name="E. ATB Justification- PSOB" sheetId="54" r:id="rId40"/>
    <sheet name="F. 2013 Crosswalk - PSOB" sheetId="41" r:id="rId41"/>
    <sheet name="G. 2014 Crosswalk - PSOB" sheetId="42" r:id="rId42"/>
    <sheet name="K. Summary by OC - PSOB" sheetId="43" r:id="rId43"/>
    <sheet name="B. Summ of Req. - CVF" sheetId="44" r:id="rId44"/>
    <sheet name="B. Summ of Req. by DU - CVF" sheetId="45" r:id="rId45"/>
    <sheet name="C. Program Changes by DU - CVF" sheetId="46" r:id="rId46"/>
    <sheet name="D. Strategic Goals &amp; Obj- CVF" sheetId="47" r:id="rId47"/>
    <sheet name="F. 2013 Crosswalk - CVF" sheetId="48" r:id="rId48"/>
    <sheet name="G. 2014 Crosswalk - CVF" sheetId="49" r:id="rId49"/>
    <sheet name="J. Financial Analysis - CVF" sheetId="50" r:id="rId50"/>
    <sheet name="K. Summary by OC - CVF" sheetId="51" r:id="rId51"/>
    <sheet name="L. Studies" sheetId="52" r:id="rId52"/>
    <sheet name="N. Summary of Program Changes" sheetId="53" r:id="rId53"/>
  </sheets>
  <definedNames>
    <definedName name="_1_______________GA_ROLLUP" localSheetId="39">#REF!</definedName>
    <definedName name="_1_______________GA_ROLLUP">#REF!</definedName>
    <definedName name="_10______GA_ROLLUP" localSheetId="39">#REF!</definedName>
    <definedName name="_10______GA_ROLLUP">#REF!</definedName>
    <definedName name="_11_____POS_BY_CAT" localSheetId="39">#REF!</definedName>
    <definedName name="_11_____POS_BY_CAT">#REF!</definedName>
    <definedName name="_11POS_BY_CAT" localSheetId="39">#REF!</definedName>
    <definedName name="_11POS_BY_CAT" localSheetId="51">#REF!</definedName>
    <definedName name="_11POS_BY_CAT">#REF!</definedName>
    <definedName name="_12____ATTORNEY_SUPP" localSheetId="39">#REF!</definedName>
    <definedName name="_12____ATTORNEY_SUPP">#REF!</definedName>
    <definedName name="_13__ATTORNEY_SUPP" localSheetId="39">#REF!</definedName>
    <definedName name="_13__ATTORNEY_SUPP">#REF!</definedName>
    <definedName name="_14__GA_ROLLUP" localSheetId="39">#REF!</definedName>
    <definedName name="_14__GA_ROLLUP">#REF!</definedName>
    <definedName name="_15__POS_BY_CAT" localSheetId="39">#REF!</definedName>
    <definedName name="_15__POS_BY_CAT">#REF!</definedName>
    <definedName name="_16ATTORNEY_SUPP" localSheetId="39">#REF!</definedName>
    <definedName name="_16ATTORNEY_SUPP">#REF!</definedName>
    <definedName name="_17GA_ROLLUP" localSheetId="39">#REF!</definedName>
    <definedName name="_17GA_ROLLUP">#REF!</definedName>
    <definedName name="_18POS_BY_CAT" localSheetId="39">#REF!</definedName>
    <definedName name="_18POS_BY_CAT">#REF!</definedName>
    <definedName name="_1ATTORNEY_SUPP" localSheetId="39">#REF!</definedName>
    <definedName name="_1ATTORNEY_SUPP" localSheetId="51">#REF!</definedName>
    <definedName name="_1ATTORNEY_SUPP">#REF!</definedName>
    <definedName name="_2_____________GA_ROLLUP" localSheetId="39">#REF!</definedName>
    <definedName name="_2_____________GA_ROLLUP">#REF!</definedName>
    <definedName name="_2ATTORNEY_SUPP" localSheetId="39">#REF!</definedName>
    <definedName name="_2ATTORNEY_SUPP" localSheetId="51">#REF!</definedName>
    <definedName name="_2ATTORNEY_SUPP">#REF!</definedName>
    <definedName name="_2GA_ROLLUP" localSheetId="39">#REF!</definedName>
    <definedName name="_2GA_ROLLUP">#REF!</definedName>
    <definedName name="_3_____________POS_BY_CAT" localSheetId="39">#REF!</definedName>
    <definedName name="_3_____________POS_BY_CAT">#REF!</definedName>
    <definedName name="_3POS_BY_CAT" localSheetId="39">#REF!</definedName>
    <definedName name="_3POS_BY_CAT" localSheetId="51">#REF!</definedName>
    <definedName name="_3POS_BY_CAT">#REF!</definedName>
    <definedName name="_4___________POS_BY_CAT" localSheetId="39">#REF!</definedName>
    <definedName name="_4___________POS_BY_CAT">#REF!</definedName>
    <definedName name="_5__________ATTORNEY_SUPP" localSheetId="39">#REF!</definedName>
    <definedName name="_5__________ATTORNEY_SUPP">#REF!</definedName>
    <definedName name="_6__________GA_ROLLUP" localSheetId="39">#REF!</definedName>
    <definedName name="_6__________GA_ROLLUP">#REF!</definedName>
    <definedName name="_6GA_ROLLUP" localSheetId="39">#REF!</definedName>
    <definedName name="_6GA_ROLLUP" localSheetId="51">#REF!</definedName>
    <definedName name="_6GA_ROLLUP">#REF!</definedName>
    <definedName name="_7________ATTORNEY_SUPP" localSheetId="39">#REF!</definedName>
    <definedName name="_7________ATTORNEY_SUPP">#REF!</definedName>
    <definedName name="_7GA_ROLLUP" localSheetId="39">#REF!</definedName>
    <definedName name="_7GA_ROLLUP">#REF!</definedName>
    <definedName name="_8________POS_BY_CAT" localSheetId="39">#REF!</definedName>
    <definedName name="_8________POS_BY_CAT">#REF!</definedName>
    <definedName name="_9______ATTORNEY_SUPP" localSheetId="39">#REF!</definedName>
    <definedName name="_9______ATTORNEY_SUPP">#REF!</definedName>
    <definedName name="_9POS_BY_CAT" localSheetId="39">#REF!</definedName>
    <definedName name="_9POS_BY_CAT" localSheetId="51">#REF!</definedName>
    <definedName name="_9POS_BY_CAT">#REF!</definedName>
    <definedName name="DL" localSheetId="39">#REF!</definedName>
    <definedName name="DL" localSheetId="51">#REF!</definedName>
    <definedName name="DL">#REF!</definedName>
    <definedName name="EXECSUPP" localSheetId="39">#REF!</definedName>
    <definedName name="EXECSUPP" localSheetId="51">#REF!</definedName>
    <definedName name="EXECSUPP">#REF!</definedName>
    <definedName name="FY0711.1" localSheetId="39">#REF!</definedName>
    <definedName name="FY0711.1">#REF!</definedName>
    <definedName name="FY0711.5" localSheetId="39">#REF!</definedName>
    <definedName name="FY0711.5">#REF!</definedName>
    <definedName name="FY0712.1" localSheetId="39">#REF!</definedName>
    <definedName name="FY0712.1">#REF!</definedName>
    <definedName name="FY0721.0" localSheetId="39">#REF!</definedName>
    <definedName name="FY0721.0">#REF!</definedName>
    <definedName name="FY0722.0" localSheetId="39">#REF!</definedName>
    <definedName name="FY0722.0">#REF!</definedName>
    <definedName name="FY0723.1" localSheetId="39">#REF!</definedName>
    <definedName name="FY0723.1">#REF!</definedName>
    <definedName name="FY0723.2" localSheetId="39">#REF!</definedName>
    <definedName name="FY0723.2">#REF!</definedName>
    <definedName name="FY0723.3" localSheetId="39">#REF!</definedName>
    <definedName name="FY0723.3">#REF!</definedName>
    <definedName name="FY0724.0" localSheetId="39">#REF!</definedName>
    <definedName name="FY0724.0">#REF!</definedName>
    <definedName name="FY0725.2" localSheetId="39">#REF!</definedName>
    <definedName name="FY0725.2">#REF!</definedName>
    <definedName name="FY0725.3" localSheetId="39">#REF!</definedName>
    <definedName name="FY0725.3">#REF!</definedName>
    <definedName name="FY0725.6" localSheetId="39">#REF!</definedName>
    <definedName name="FY0725.6">#REF!</definedName>
    <definedName name="FY0726.0" localSheetId="39">#REF!</definedName>
    <definedName name="FY0726.0">#REF!</definedName>
    <definedName name="FY0731.0" localSheetId="39">#REF!</definedName>
    <definedName name="FY0731.0">#REF!</definedName>
    <definedName name="FY0732.0" localSheetId="39">#REF!</definedName>
    <definedName name="FY0732.0">#REF!</definedName>
    <definedName name="FY07Ling" localSheetId="39">#REF!</definedName>
    <definedName name="FY07Ling">#REF!</definedName>
    <definedName name="FY07Mult" localSheetId="39">#REF!</definedName>
    <definedName name="FY07Mult">#REF!</definedName>
    <definedName name="FY07PEPI" localSheetId="39">#REF!</definedName>
    <definedName name="FY07PEPI">#REF!</definedName>
    <definedName name="FY07Tot" localSheetId="39">#REF!</definedName>
    <definedName name="FY07Tot">#REF!</definedName>
    <definedName name="FY07Train" localSheetId="39">#REF!</definedName>
    <definedName name="FY07Train">#REF!</definedName>
    <definedName name="FY0811.1" localSheetId="39">#REF!</definedName>
    <definedName name="FY0811.1">#REF!</definedName>
    <definedName name="FY0811.5" localSheetId="39">#REF!</definedName>
    <definedName name="FY0811.5">#REF!</definedName>
    <definedName name="FY0812.1" localSheetId="39">#REF!</definedName>
    <definedName name="FY0812.1">#REF!</definedName>
    <definedName name="FY0821.0" localSheetId="39">#REF!</definedName>
    <definedName name="FY0821.0">#REF!</definedName>
    <definedName name="FY0822.0" localSheetId="39">#REF!</definedName>
    <definedName name="FY0822.0">#REF!</definedName>
    <definedName name="FY0823.1" localSheetId="39">#REF!</definedName>
    <definedName name="FY0823.1">#REF!</definedName>
    <definedName name="FY0823.2" localSheetId="39">#REF!</definedName>
    <definedName name="FY0823.2">#REF!</definedName>
    <definedName name="FY0823.3" localSheetId="39">#REF!</definedName>
    <definedName name="FY0823.3">#REF!</definedName>
    <definedName name="FY0824.0" localSheetId="39">#REF!</definedName>
    <definedName name="FY0824.0">#REF!</definedName>
    <definedName name="FY0825.2" localSheetId="39">#REF!</definedName>
    <definedName name="FY0825.2">#REF!</definedName>
    <definedName name="FY0825.3" localSheetId="39">#REF!</definedName>
    <definedName name="FY0825.3">#REF!</definedName>
    <definedName name="FY0825.6" localSheetId="39">#REF!</definedName>
    <definedName name="FY0825.6">#REF!</definedName>
    <definedName name="FY0826.0" localSheetId="39">#REF!</definedName>
    <definedName name="FY0826.0">#REF!</definedName>
    <definedName name="FY0831.0" localSheetId="39">#REF!</definedName>
    <definedName name="FY0831.0">#REF!</definedName>
    <definedName name="FY0832.0" localSheetId="39">#REF!</definedName>
    <definedName name="FY0832.0">#REF!</definedName>
    <definedName name="FY08Ling" localSheetId="39">#REF!</definedName>
    <definedName name="FY08Ling">#REF!</definedName>
    <definedName name="FY08Mult" localSheetId="39">#REF!</definedName>
    <definedName name="FY08Mult">#REF!</definedName>
    <definedName name="FY08PEPI" localSheetId="39">#REF!</definedName>
    <definedName name="FY08PEPI">#REF!</definedName>
    <definedName name="FY08Tot" localSheetId="39">#REF!</definedName>
    <definedName name="FY08Tot">#REF!</definedName>
    <definedName name="FY08Train" localSheetId="39">#REF!</definedName>
    <definedName name="FY08Train">#REF!</definedName>
    <definedName name="FY0911.1" localSheetId="39">#REF!</definedName>
    <definedName name="FY0911.1">#REF!</definedName>
    <definedName name="FY0911.5" localSheetId="39">#REF!</definedName>
    <definedName name="FY0911.5">#REF!</definedName>
    <definedName name="FY0912.1" localSheetId="39">#REF!</definedName>
    <definedName name="FY0912.1">#REF!</definedName>
    <definedName name="FY0921.0" localSheetId="39">#REF!</definedName>
    <definedName name="FY0921.0">#REF!</definedName>
    <definedName name="FY0922.0" localSheetId="39">#REF!</definedName>
    <definedName name="FY0922.0">#REF!</definedName>
    <definedName name="FY0923.1" localSheetId="39">#REF!</definedName>
    <definedName name="FY0923.1">#REF!</definedName>
    <definedName name="FY0923.2" localSheetId="39">#REF!</definedName>
    <definedName name="FY0923.2">#REF!</definedName>
    <definedName name="FY0923.3" localSheetId="39">#REF!</definedName>
    <definedName name="FY0923.3">#REF!</definedName>
    <definedName name="FY0924.0" localSheetId="39">#REF!</definedName>
    <definedName name="FY0924.0">#REF!</definedName>
    <definedName name="FY0925.2" localSheetId="39">#REF!</definedName>
    <definedName name="FY0925.2">#REF!</definedName>
    <definedName name="FY0925.3" localSheetId="39">#REF!</definedName>
    <definedName name="FY0925.3">#REF!</definedName>
    <definedName name="FY0925.6" localSheetId="39">#REF!</definedName>
    <definedName name="FY0925.6">#REF!</definedName>
    <definedName name="FY0926.0" localSheetId="39">#REF!</definedName>
    <definedName name="FY0926.0">#REF!</definedName>
    <definedName name="FY0931.0" localSheetId="39">#REF!</definedName>
    <definedName name="FY0931.0">#REF!</definedName>
    <definedName name="FY0932.0" localSheetId="39">#REF!</definedName>
    <definedName name="FY0932.0">#REF!</definedName>
    <definedName name="FY09Ling" localSheetId="39">#REF!</definedName>
    <definedName name="FY09Ling">#REF!</definedName>
    <definedName name="FY09Mult" localSheetId="39">#REF!</definedName>
    <definedName name="FY09Mult">#REF!</definedName>
    <definedName name="FY09PEPI" localSheetId="39">#REF!</definedName>
    <definedName name="FY09PEPI">#REF!</definedName>
    <definedName name="FY09Tot" localSheetId="39">#REF!</definedName>
    <definedName name="FY09Tot">#REF!</definedName>
    <definedName name="FY09Train" localSheetId="39">#REF!</definedName>
    <definedName name="FY09Train">#REF!</definedName>
    <definedName name="INTEL" localSheetId="39">#REF!</definedName>
    <definedName name="INTEL" localSheetId="51">#REF!</definedName>
    <definedName name="INTEL">#REF!</definedName>
    <definedName name="JMD" localSheetId="39">#REF!</definedName>
    <definedName name="JMD" localSheetId="51">#REF!</definedName>
    <definedName name="JMD">#REF!</definedName>
    <definedName name="PART" localSheetId="39">#REF!</definedName>
    <definedName name="PART">#REF!</definedName>
    <definedName name="_xlnm.Print_Area" localSheetId="43">'B. Summ of Req. - CVF'!$A$1:$D$30</definedName>
    <definedName name="_xlnm.Print_Area" localSheetId="27">'B. Summ of Req. - JJ'!$A$1:$D$45</definedName>
    <definedName name="_xlnm.Print_Area" localSheetId="0">'B. Summ of Req. - M&amp;A'!$A$1:$D$32</definedName>
    <definedName name="_xlnm.Print_Area" localSheetId="36">'B. Summ of Req. - PSOB'!$A$1:$D$27</definedName>
    <definedName name="_xlnm.Print_Area" localSheetId="9">'B. Summ of Req. - RES'!$A$1:$D$42</definedName>
    <definedName name="_xlnm.Print_Area" localSheetId="18">'B. Summ of Req. - S&amp;L'!$A$1:$D$68</definedName>
    <definedName name="_xlnm.Print_Area" localSheetId="44">'B. Summ of Req. by DU - CVF'!$A$1:$M$34</definedName>
    <definedName name="_xlnm.Print_Area" localSheetId="28">'B. Summ of Req. by DU - JJ'!$A$1:$M$71</definedName>
    <definedName name="_xlnm.Print_Area" localSheetId="1">'B. Summ of Req. by DU - M&amp;A'!$A$1:$M$34</definedName>
    <definedName name="_xlnm.Print_Area" localSheetId="37">'B. Summ of Req. by DU - PSOB'!$A$1:$M$37</definedName>
    <definedName name="_xlnm.Print_Area" localSheetId="10">'B. Summ of Req. by DU - RES'!$A$1:$M$49</definedName>
    <definedName name="_xlnm.Print_Area" localSheetId="19">'B. Summ of Req. by DU - S&amp;L'!$A$1:$M$154</definedName>
    <definedName name="_xlnm.Print_Area" localSheetId="45">'C. Program Changes by DU - CVF'!$A$1:$J$10</definedName>
    <definedName name="_xlnm.Print_Area" localSheetId="29">'C. Program Changes by DU - JJ'!$A$1:$J$23</definedName>
    <definedName name="_xlnm.Print_Area" localSheetId="2">'C. Program Changes by DU - M&amp;A'!$A$1:$J$11</definedName>
    <definedName name="_xlnm.Print_Area" localSheetId="20">'C. Program Changes by DU - S&amp;L'!$A$1:$J$43</definedName>
    <definedName name="_xlnm.Print_Area" localSheetId="11">'C. Program Changes by DU -RES'!$A$1:$J$19</definedName>
    <definedName name="_xlnm.Print_Area" localSheetId="46">'D. Strategic Goals &amp; Obj- CVF'!$A$1:$N$35</definedName>
    <definedName name="_xlnm.Print_Area" localSheetId="21">'D. Strategic Goals &amp; Obj. - S&amp;L'!$A$1:$N$35</definedName>
    <definedName name="_xlnm.Print_Area" localSheetId="30">'D. Strategic Goals &amp; Objs - JJ'!$A$1:$N$35</definedName>
    <definedName name="_xlnm.Print_Area" localSheetId="12">'D. Strategic Goals &amp; Objs - RES'!$A$1:$N$35</definedName>
    <definedName name="_xlnm.Print_Area" localSheetId="38">'D. Strategic Goals &amp; Obs - PSOB'!$A$1:$N$35</definedName>
    <definedName name="_xlnm.Print_Area" localSheetId="3">'E. ATB Justification - M&amp;A'!$A$1:$G$18</definedName>
    <definedName name="_xlnm.Print_Area" localSheetId="39">'E. ATB Justification- PSOB'!$A$1:$G$11</definedName>
    <definedName name="_xlnm.Print_Area" localSheetId="47">'F. 2013 Crosswalk - CVF'!$A$1:$U$31</definedName>
    <definedName name="_xlnm.Print_Area" localSheetId="31">'F. 2013 Crosswalk - JJ'!$A$1:$U$44</definedName>
    <definedName name="_xlnm.Print_Area" localSheetId="4">'F. 2013 Crosswalk - M&amp;A'!$A$1:$U$31</definedName>
    <definedName name="_xlnm.Print_Area" localSheetId="40">'F. 2013 Crosswalk - PSOB'!$A$1:$U$32</definedName>
    <definedName name="_xlnm.Print_Area" localSheetId="22">'F. 2013 Crosswalk - S&amp;L'!$A$1:$U$88</definedName>
    <definedName name="_xlnm.Print_Area" localSheetId="13">'F. 2013 Crosswalk -RES'!$A$1:$U$49</definedName>
    <definedName name="_xlnm.Print_Area" localSheetId="48">'G. 2014 Crosswalk - CVF'!$A$1:$L$30</definedName>
    <definedName name="_xlnm.Print_Area" localSheetId="32">'G. 2014 Crosswalk - JJ'!$A$1:$L$46</definedName>
    <definedName name="_xlnm.Print_Area" localSheetId="5">'G. 2014 Crosswalk - M&amp;A'!$A$1:$L$30</definedName>
    <definedName name="_xlnm.Print_Area" localSheetId="41">'G. 2014 Crosswalk - PSOB'!$A$1:$O$31</definedName>
    <definedName name="_xlnm.Print_Area" localSheetId="23">'G. 2014 Crosswalk - S&amp;L'!$A$1:$L$94</definedName>
    <definedName name="_xlnm.Print_Area" localSheetId="14">'G. 2014 Crosswalk -RES'!$A$1:$L$39</definedName>
    <definedName name="_xlnm.Print_Area" localSheetId="33">'H. Reimbursable Resources - JJ'!$A$1:$M$20</definedName>
    <definedName name="_xlnm.Print_Area" localSheetId="6">'H. Reimbursable Resources - M&amp;A'!$A$1:$M$16</definedName>
    <definedName name="_xlnm.Print_Area" localSheetId="15">'H. Reimbursable Resources - RES'!$A$1:$M$23</definedName>
    <definedName name="_xlnm.Print_Area" localSheetId="24">'H. Reimbursable Resources - S&amp;L'!$A$1:$M$23</definedName>
    <definedName name="_xlnm.Print_Area" localSheetId="7">'I. Permanent Positions - M&amp;A'!$A$1:$J$36</definedName>
    <definedName name="_xlnm.Print_Area" localSheetId="49">'J. Financial Analysis - CVF'!$A$1:$E$20</definedName>
    <definedName name="_xlnm.Print_Area" localSheetId="16">'J. Financial Analysis - RES'!$A$1:$M$19</definedName>
    <definedName name="_xlnm.Print_Area" localSheetId="25">'J. Financial Analysis - S&amp;L'!$A$1:$O$74</definedName>
    <definedName name="_xlnm.Print_Area" localSheetId="34">'J. Financial Analysis -JJ'!$A$1:$M$35</definedName>
    <definedName name="_xlnm.Print_Area" localSheetId="50">'K. Summary by OC - CVF'!$A$1:$I$50</definedName>
    <definedName name="_xlnm.Print_Area" localSheetId="35">'K. Summary by OC - JJ'!$A$1:$I$51</definedName>
    <definedName name="_xlnm.Print_Area" localSheetId="8">'K. Summary by OC - M&amp;A'!$A$1:$I$50</definedName>
    <definedName name="_xlnm.Print_Area" localSheetId="42">'K. Summary by OC - PSOB'!$A$1:$I$50</definedName>
    <definedName name="_xlnm.Print_Area" localSheetId="17">'K. Summary by OC - RES'!$A$1:$I$52</definedName>
    <definedName name="_xlnm.Print_Area" localSheetId="26">'K. Summary by OC - S&amp;L'!$A$1:$I$52</definedName>
    <definedName name="_xlnm.Print_Area" localSheetId="51">'L. Studies'!$A$1:$J$31</definedName>
    <definedName name="_xlnm.Print_Area" localSheetId="52">'N. Summary of Program Changes'!$A$1:$E$142</definedName>
    <definedName name="_xlnm.Print_Area">#REF!</definedName>
    <definedName name="_xlnm.Print_Titles" localSheetId="18">'B. Summ of Req. - S&amp;L'!$1:$7</definedName>
    <definedName name="_xlnm.Print_Titles" localSheetId="28">'B. Summ of Req. by DU - JJ'!$1:$4</definedName>
    <definedName name="_xlnm.Print_Titles" localSheetId="19">'B. Summ of Req. by DU - S&amp;L'!$1:$4</definedName>
    <definedName name="_xlnm.Print_Titles" localSheetId="46">'D. Strategic Goals &amp; Obj- CVF'!$1:$8</definedName>
    <definedName name="_xlnm.Print_Titles" localSheetId="21">'D. Strategic Goals &amp; Obj. - S&amp;L'!$1:$8</definedName>
    <definedName name="_xlnm.Print_Titles" localSheetId="30">'D. Strategic Goals &amp; Objs - JJ'!$1:$8</definedName>
    <definedName name="_xlnm.Print_Titles" localSheetId="12">'D. Strategic Goals &amp; Objs - RES'!$1:$8</definedName>
    <definedName name="_xlnm.Print_Titles" localSheetId="38">'D. Strategic Goals &amp; Obs - PSOB'!$1:$8</definedName>
    <definedName name="_xlnm.Print_Titles" localSheetId="3">'E. ATB Justification - M&amp;A'!$1:$6</definedName>
    <definedName name="_xlnm.Print_Titles" localSheetId="39">'E. ATB Justification- PSOB'!$1:$6</definedName>
    <definedName name="_xlnm.Print_Titles" localSheetId="22">'F. 2013 Crosswalk - S&amp;L'!$1:$8</definedName>
    <definedName name="_xlnm.Print_Titles" localSheetId="23">'G. 2014 Crosswalk - S&amp;L'!$1:$7</definedName>
    <definedName name="_xlnm.Print_Titles" localSheetId="49">'J. Financial Analysis - CVF'!$1:$7</definedName>
    <definedName name="_xlnm.Print_Titles" localSheetId="16">'J. Financial Analysis - RES'!$1:$5</definedName>
    <definedName name="_xlnm.Print_Titles" localSheetId="25">'J. Financial Analysis - S&amp;L'!$1:$5</definedName>
    <definedName name="_xlnm.Print_Titles" localSheetId="34">'J. Financial Analysis -JJ'!$1:$5</definedName>
    <definedName name="_xlnm.Print_Titles" localSheetId="51">'L. Studies'!$2:$7</definedName>
    <definedName name="_xlnm.Print_Titles" localSheetId="52">'N. Summary of Program Changes'!$1:$1</definedName>
    <definedName name="REIMPRO" localSheetId="39">#REF!</definedName>
    <definedName name="REIMPRO" localSheetId="51">#REF!</definedName>
    <definedName name="REIMPRO" localSheetId="52">#REF!</definedName>
    <definedName name="REIMPRO">#REF!</definedName>
    <definedName name="REIMSOR" localSheetId="39">#REF!</definedName>
    <definedName name="REIMSOR" localSheetId="51">#REF!</definedName>
    <definedName name="REIMSOR" localSheetId="52">#REF!</definedName>
    <definedName name="REIMSOR">#REF!</definedName>
    <definedName name="Test" localSheetId="39">#REF!</definedName>
    <definedName name="Test" localSheetId="51">#REF!</definedName>
    <definedName name="Test">#REF!</definedName>
    <definedName name="Z_0858FC5C_8AD0_4060_88AE_AD6AA1B94ED6_.wvu.Cols" localSheetId="52" hidden="1">'N. Summary of Program Changes'!#REF!,'N. Summary of Program Changes'!#REF!,'N. Summary of Program Changes'!#REF!</definedName>
    <definedName name="Z_0858FC5C_8AD0_4060_88AE_AD6AA1B94ED6_.wvu.PrintArea" localSheetId="52" hidden="1">'N. Summary of Program Changes'!$A$1:$A$142</definedName>
    <definedName name="Z_0858FC5C_8AD0_4060_88AE_AD6AA1B94ED6_.wvu.PrintTitles" localSheetId="52" hidden="1">'N. Summary of Program Changes'!$1:$1</definedName>
    <definedName name="Z_0858FC5C_8AD0_4060_88AE_AD6AA1B94ED6_.wvu.Rows" localSheetId="52" hidden="1">'N. Summary of Program Changes'!#REF!,'N. Summary of Program Changes'!#REF!,'N. Summary of Program Changes'!#REF!,'N. Summary of Program Changes'!#REF!,'N. Summary of Program Changes'!#REF!,'N. Summary of Program Changes'!#REF!</definedName>
    <definedName name="Z_0BB5DC4B_BC2A_4489_BE17_5E267FA1EF63_.wvu.Cols" localSheetId="22" hidden="1">'F. 2013 Crosswalk - S&amp;L'!$B:$G,'F. 2013 Crosswalk - S&amp;L'!$K:$U</definedName>
    <definedName name="Z_0BB5DC4B_BC2A_4489_BE17_5E267FA1EF63_.wvu.PrintArea" localSheetId="43" hidden="1">'B. Summ of Req. - CVF'!$A$1:$D$30</definedName>
    <definedName name="Z_0BB5DC4B_BC2A_4489_BE17_5E267FA1EF63_.wvu.PrintArea" localSheetId="27" hidden="1">'B. Summ of Req. - JJ'!$A$1:$D$45</definedName>
    <definedName name="Z_0BB5DC4B_BC2A_4489_BE17_5E267FA1EF63_.wvu.PrintArea" localSheetId="0" hidden="1">'B. Summ of Req. - M&amp;A'!$A$1:$D$32</definedName>
    <definedName name="Z_0BB5DC4B_BC2A_4489_BE17_5E267FA1EF63_.wvu.PrintArea" localSheetId="36" hidden="1">'B. Summ of Req. - PSOB'!$A$1:$D$27</definedName>
    <definedName name="Z_0BB5DC4B_BC2A_4489_BE17_5E267FA1EF63_.wvu.PrintArea" localSheetId="9" hidden="1">'B. Summ of Req. - RES'!$A$1:$D$42</definedName>
    <definedName name="Z_0BB5DC4B_BC2A_4489_BE17_5E267FA1EF63_.wvu.PrintArea" localSheetId="18" hidden="1">'B. Summ of Req. - S&amp;L'!$A$1:$D$68</definedName>
    <definedName name="Z_0BB5DC4B_BC2A_4489_BE17_5E267FA1EF63_.wvu.PrintArea" localSheetId="44" hidden="1">'B. Summ of Req. by DU - CVF'!$A$1:$M$34</definedName>
    <definedName name="Z_0BB5DC4B_BC2A_4489_BE17_5E267FA1EF63_.wvu.PrintArea" localSheetId="28" hidden="1">'B. Summ of Req. by DU - JJ'!$A$1:$M$71</definedName>
    <definedName name="Z_0BB5DC4B_BC2A_4489_BE17_5E267FA1EF63_.wvu.PrintArea" localSheetId="1" hidden="1">'B. Summ of Req. by DU - M&amp;A'!$A$1:$M$34</definedName>
    <definedName name="Z_0BB5DC4B_BC2A_4489_BE17_5E267FA1EF63_.wvu.PrintArea" localSheetId="37" hidden="1">'B. Summ of Req. by DU - PSOB'!$A$1:$M$37</definedName>
    <definedName name="Z_0BB5DC4B_BC2A_4489_BE17_5E267FA1EF63_.wvu.PrintArea" localSheetId="10" hidden="1">'B. Summ of Req. by DU - RES'!$A$1:$M$49</definedName>
    <definedName name="Z_0BB5DC4B_BC2A_4489_BE17_5E267FA1EF63_.wvu.PrintArea" localSheetId="19" hidden="1">'B. Summ of Req. by DU - S&amp;L'!$A$1:$M$154</definedName>
    <definedName name="Z_0BB5DC4B_BC2A_4489_BE17_5E267FA1EF63_.wvu.PrintArea" localSheetId="45" hidden="1">'C. Program Changes by DU - CVF'!$A$1:$J$10</definedName>
    <definedName name="Z_0BB5DC4B_BC2A_4489_BE17_5E267FA1EF63_.wvu.PrintArea" localSheetId="29" hidden="1">'C. Program Changes by DU - JJ'!$A$1:$J$23</definedName>
    <definedName name="Z_0BB5DC4B_BC2A_4489_BE17_5E267FA1EF63_.wvu.PrintArea" localSheetId="2" hidden="1">'C. Program Changes by DU - M&amp;A'!$A$1:$J$11</definedName>
    <definedName name="Z_0BB5DC4B_BC2A_4489_BE17_5E267FA1EF63_.wvu.PrintArea" localSheetId="20" hidden="1">'C. Program Changes by DU - S&amp;L'!$A$1:$J$43</definedName>
    <definedName name="Z_0BB5DC4B_BC2A_4489_BE17_5E267FA1EF63_.wvu.PrintArea" localSheetId="11" hidden="1">'C. Program Changes by DU -RES'!$A$1:$J$19</definedName>
    <definedName name="Z_0BB5DC4B_BC2A_4489_BE17_5E267FA1EF63_.wvu.PrintArea" localSheetId="46" hidden="1">'D. Strategic Goals &amp; Obj- CVF'!$A$1:$N$35</definedName>
    <definedName name="Z_0BB5DC4B_BC2A_4489_BE17_5E267FA1EF63_.wvu.PrintArea" localSheetId="21" hidden="1">'D. Strategic Goals &amp; Obj. - S&amp;L'!$A$1:$N$35</definedName>
    <definedName name="Z_0BB5DC4B_BC2A_4489_BE17_5E267FA1EF63_.wvu.PrintArea" localSheetId="30" hidden="1">'D. Strategic Goals &amp; Objs - JJ'!$A$1:$N$35</definedName>
    <definedName name="Z_0BB5DC4B_BC2A_4489_BE17_5E267FA1EF63_.wvu.PrintArea" localSheetId="12" hidden="1">'D. Strategic Goals &amp; Objs - RES'!$A$1:$N$35</definedName>
    <definedName name="Z_0BB5DC4B_BC2A_4489_BE17_5E267FA1EF63_.wvu.PrintArea" localSheetId="38" hidden="1">'D. Strategic Goals &amp; Obs - PSOB'!$A$1:$N$35</definedName>
    <definedName name="Z_0BB5DC4B_BC2A_4489_BE17_5E267FA1EF63_.wvu.PrintArea" localSheetId="3" hidden="1">'E. ATB Justification - M&amp;A'!$A$1:$G$18</definedName>
    <definedName name="Z_0BB5DC4B_BC2A_4489_BE17_5E267FA1EF63_.wvu.PrintArea" localSheetId="39" hidden="1">'E. ATB Justification- PSOB'!$A$1:$G$11</definedName>
    <definedName name="Z_0BB5DC4B_BC2A_4489_BE17_5E267FA1EF63_.wvu.PrintArea" localSheetId="47" hidden="1">'F. 2013 Crosswalk - CVF'!$A$1:$U$31</definedName>
    <definedName name="Z_0BB5DC4B_BC2A_4489_BE17_5E267FA1EF63_.wvu.PrintArea" localSheetId="31" hidden="1">'F. 2013 Crosswalk - JJ'!$A$1:$U$44</definedName>
    <definedName name="Z_0BB5DC4B_BC2A_4489_BE17_5E267FA1EF63_.wvu.PrintArea" localSheetId="4" hidden="1">'F. 2013 Crosswalk - M&amp;A'!$A$1:$U$31</definedName>
    <definedName name="Z_0BB5DC4B_BC2A_4489_BE17_5E267FA1EF63_.wvu.PrintArea" localSheetId="40" hidden="1">'F. 2013 Crosswalk - PSOB'!$A$1:$U$32</definedName>
    <definedName name="Z_0BB5DC4B_BC2A_4489_BE17_5E267FA1EF63_.wvu.PrintArea" localSheetId="22" hidden="1">'F. 2013 Crosswalk - S&amp;L'!$A$1:$U$91</definedName>
    <definedName name="Z_0BB5DC4B_BC2A_4489_BE17_5E267FA1EF63_.wvu.PrintArea" localSheetId="13" hidden="1">'F. 2013 Crosswalk -RES'!$A$1:$U$49</definedName>
    <definedName name="Z_0BB5DC4B_BC2A_4489_BE17_5E267FA1EF63_.wvu.PrintArea" localSheetId="48" hidden="1">'G. 2014 Crosswalk - CVF'!$A$1:$L$30</definedName>
    <definedName name="Z_0BB5DC4B_BC2A_4489_BE17_5E267FA1EF63_.wvu.PrintArea" localSheetId="32" hidden="1">'G. 2014 Crosswalk - JJ'!$A$1:$L$47</definedName>
    <definedName name="Z_0BB5DC4B_BC2A_4489_BE17_5E267FA1EF63_.wvu.PrintArea" localSheetId="5" hidden="1">'G. 2014 Crosswalk - M&amp;A'!$A$1:$L$30</definedName>
    <definedName name="Z_0BB5DC4B_BC2A_4489_BE17_5E267FA1EF63_.wvu.PrintArea" localSheetId="41" hidden="1">'G. 2014 Crosswalk - PSOB'!$A$1:$O$31</definedName>
    <definedName name="Z_0BB5DC4B_BC2A_4489_BE17_5E267FA1EF63_.wvu.PrintArea" localSheetId="23" hidden="1">'G. 2014 Crosswalk - S&amp;L'!$A$1:$L$94</definedName>
    <definedName name="Z_0BB5DC4B_BC2A_4489_BE17_5E267FA1EF63_.wvu.PrintArea" localSheetId="14" hidden="1">'G. 2014 Crosswalk -RES'!$A$1:$L$40</definedName>
    <definedName name="Z_0BB5DC4B_BC2A_4489_BE17_5E267FA1EF63_.wvu.PrintArea" localSheetId="33" hidden="1">'H. Reimbursable Resources - JJ'!$A$1:$M$20</definedName>
    <definedName name="Z_0BB5DC4B_BC2A_4489_BE17_5E267FA1EF63_.wvu.PrintArea" localSheetId="6" hidden="1">'H. Reimbursable Resources - M&amp;A'!$A$1:$M$16</definedName>
    <definedName name="Z_0BB5DC4B_BC2A_4489_BE17_5E267FA1EF63_.wvu.PrintArea" localSheetId="15" hidden="1">'H. Reimbursable Resources - RES'!$A$1:$M$23</definedName>
    <definedName name="Z_0BB5DC4B_BC2A_4489_BE17_5E267FA1EF63_.wvu.PrintArea" localSheetId="24" hidden="1">'H. Reimbursable Resources - S&amp;L'!$A$1:$M$23</definedName>
    <definedName name="Z_0BB5DC4B_BC2A_4489_BE17_5E267FA1EF63_.wvu.PrintArea" localSheetId="7" hidden="1">'I. Permanent Positions - M&amp;A'!$A$1:$J$36</definedName>
    <definedName name="Z_0BB5DC4B_BC2A_4489_BE17_5E267FA1EF63_.wvu.PrintArea" localSheetId="49" hidden="1">'J. Financial Analysis - CVF'!$A$1:$E$20</definedName>
    <definedName name="Z_0BB5DC4B_BC2A_4489_BE17_5E267FA1EF63_.wvu.PrintArea" localSheetId="16" hidden="1">'J. Financial Analysis - RES'!$A$1:$M$19</definedName>
    <definedName name="Z_0BB5DC4B_BC2A_4489_BE17_5E267FA1EF63_.wvu.PrintArea" localSheetId="25" hidden="1">'J. Financial Analysis - S&amp;L'!$A$1:$O$74</definedName>
    <definedName name="Z_0BB5DC4B_BC2A_4489_BE17_5E267FA1EF63_.wvu.PrintArea" localSheetId="34" hidden="1">'J. Financial Analysis -JJ'!$A$1:$M$35</definedName>
    <definedName name="Z_0BB5DC4B_BC2A_4489_BE17_5E267FA1EF63_.wvu.PrintArea" localSheetId="50" hidden="1">'K. Summary by OC - CVF'!$A$1:$I$50</definedName>
    <definedName name="Z_0BB5DC4B_BC2A_4489_BE17_5E267FA1EF63_.wvu.PrintArea" localSheetId="35" hidden="1">'K. Summary by OC - JJ'!$A$1:$I$53</definedName>
    <definedName name="Z_0BB5DC4B_BC2A_4489_BE17_5E267FA1EF63_.wvu.PrintArea" localSheetId="8" hidden="1">'K. Summary by OC - M&amp;A'!$A$1:$I$50</definedName>
    <definedName name="Z_0BB5DC4B_BC2A_4489_BE17_5E267FA1EF63_.wvu.PrintArea" localSheetId="42" hidden="1">'K. Summary by OC - PSOB'!$A$1:$I$51</definedName>
    <definedName name="Z_0BB5DC4B_BC2A_4489_BE17_5E267FA1EF63_.wvu.PrintArea" localSheetId="17" hidden="1">'K. Summary by OC - RES'!$A$1:$I$52</definedName>
    <definedName name="Z_0BB5DC4B_BC2A_4489_BE17_5E267FA1EF63_.wvu.PrintArea" localSheetId="26" hidden="1">'K. Summary by OC - S&amp;L'!$A$1:$I$52</definedName>
    <definedName name="Z_0BB5DC4B_BC2A_4489_BE17_5E267FA1EF63_.wvu.PrintArea" localSheetId="51" hidden="1">'L. Studies'!$A$1:$J$31</definedName>
    <definedName name="Z_0BB5DC4B_BC2A_4489_BE17_5E267FA1EF63_.wvu.PrintTitles" localSheetId="46" hidden="1">'D. Strategic Goals &amp; Obj- CVF'!$1:$8</definedName>
    <definedName name="Z_0BB5DC4B_BC2A_4489_BE17_5E267FA1EF63_.wvu.PrintTitles" localSheetId="21" hidden="1">'D. Strategic Goals &amp; Obj. - S&amp;L'!$1:$8</definedName>
    <definedName name="Z_0BB5DC4B_BC2A_4489_BE17_5E267FA1EF63_.wvu.PrintTitles" localSheetId="30" hidden="1">'D. Strategic Goals &amp; Objs - JJ'!$1:$8</definedName>
    <definedName name="Z_0BB5DC4B_BC2A_4489_BE17_5E267FA1EF63_.wvu.PrintTitles" localSheetId="12" hidden="1">'D. Strategic Goals &amp; Objs - RES'!$1:$8</definedName>
    <definedName name="Z_0BB5DC4B_BC2A_4489_BE17_5E267FA1EF63_.wvu.PrintTitles" localSheetId="38" hidden="1">'D. Strategic Goals &amp; Obs - PSOB'!$1:$8</definedName>
    <definedName name="Z_0BB5DC4B_BC2A_4489_BE17_5E267FA1EF63_.wvu.PrintTitles" localSheetId="3" hidden="1">'E. ATB Justification - M&amp;A'!$1:$6</definedName>
    <definedName name="Z_0BB5DC4B_BC2A_4489_BE17_5E267FA1EF63_.wvu.PrintTitles" localSheetId="39" hidden="1">'E. ATB Justification- PSOB'!$1:$6</definedName>
    <definedName name="Z_0BB5DC4B_BC2A_4489_BE17_5E267FA1EF63_.wvu.PrintTitles" localSheetId="22" hidden="1">'F. 2013 Crosswalk - S&amp;L'!$7:$8</definedName>
    <definedName name="Z_0BB5DC4B_BC2A_4489_BE17_5E267FA1EF63_.wvu.PrintTitles" localSheetId="23" hidden="1">'G. 2014 Crosswalk - S&amp;L'!$6:$7</definedName>
    <definedName name="Z_0BB5DC4B_BC2A_4489_BE17_5E267FA1EF63_.wvu.PrintTitles" localSheetId="49" hidden="1">'J. Financial Analysis - CVF'!$1:$7</definedName>
    <definedName name="Z_0BB5DC4B_BC2A_4489_BE17_5E267FA1EF63_.wvu.PrintTitles" localSheetId="16" hidden="1">'J. Financial Analysis - RES'!$1:$5</definedName>
    <definedName name="Z_0BB5DC4B_BC2A_4489_BE17_5E267FA1EF63_.wvu.PrintTitles" localSheetId="25" hidden="1">'J. Financial Analysis - S&amp;L'!$1:$5</definedName>
    <definedName name="Z_0BB5DC4B_BC2A_4489_BE17_5E267FA1EF63_.wvu.PrintTitles" localSheetId="34" hidden="1">'J. Financial Analysis -JJ'!$1:$5</definedName>
    <definedName name="Z_0BB5DC4B_BC2A_4489_BE17_5E267FA1EF63_.wvu.PrintTitles" localSheetId="51" hidden="1">'L. Studies'!$2:$7</definedName>
    <definedName name="Z_6C58FFE1_D756_42C4_A1BC_AA7F1DC1E56F_.wvu.PrintArea" localSheetId="43" hidden="1">'B. Summ of Req. - CVF'!$A$1:$D$30</definedName>
    <definedName name="Z_6C58FFE1_D756_42C4_A1BC_AA7F1DC1E56F_.wvu.PrintArea" localSheetId="27" hidden="1">'B. Summ of Req. - JJ'!$A$1:$D$45</definedName>
    <definedName name="Z_6C58FFE1_D756_42C4_A1BC_AA7F1DC1E56F_.wvu.PrintArea" localSheetId="0" hidden="1">'B. Summ of Req. - M&amp;A'!$A$1:$D$32</definedName>
    <definedName name="Z_6C58FFE1_D756_42C4_A1BC_AA7F1DC1E56F_.wvu.PrintArea" localSheetId="36" hidden="1">'B. Summ of Req. - PSOB'!$A$1:$D$27</definedName>
    <definedName name="Z_6C58FFE1_D756_42C4_A1BC_AA7F1DC1E56F_.wvu.PrintArea" localSheetId="9" hidden="1">'B. Summ of Req. - RES'!$A$1:$D$42</definedName>
    <definedName name="Z_6C58FFE1_D756_42C4_A1BC_AA7F1DC1E56F_.wvu.PrintArea" localSheetId="18" hidden="1">'B. Summ of Req. - S&amp;L'!$A$1:$D$68</definedName>
    <definedName name="Z_6C58FFE1_D756_42C4_A1BC_AA7F1DC1E56F_.wvu.PrintArea" localSheetId="44" hidden="1">'B. Summ of Req. by DU - CVF'!$A$1:$M$34</definedName>
    <definedName name="Z_6C58FFE1_D756_42C4_A1BC_AA7F1DC1E56F_.wvu.PrintArea" localSheetId="28" hidden="1">'B. Summ of Req. by DU - JJ'!$A$1:$M$71</definedName>
    <definedName name="Z_6C58FFE1_D756_42C4_A1BC_AA7F1DC1E56F_.wvu.PrintArea" localSheetId="1" hidden="1">'B. Summ of Req. by DU - M&amp;A'!$A$1:$M$34</definedName>
    <definedName name="Z_6C58FFE1_D756_42C4_A1BC_AA7F1DC1E56F_.wvu.PrintArea" localSheetId="37" hidden="1">'B. Summ of Req. by DU - PSOB'!$A$1:$M$37</definedName>
    <definedName name="Z_6C58FFE1_D756_42C4_A1BC_AA7F1DC1E56F_.wvu.PrintArea" localSheetId="10" hidden="1">'B. Summ of Req. by DU - RES'!$A$1:$M$49</definedName>
    <definedName name="Z_6C58FFE1_D756_42C4_A1BC_AA7F1DC1E56F_.wvu.PrintArea" localSheetId="19" hidden="1">'B. Summ of Req. by DU - S&amp;L'!$A$1:$M$154</definedName>
    <definedName name="Z_6C58FFE1_D756_42C4_A1BC_AA7F1DC1E56F_.wvu.PrintArea" localSheetId="45" hidden="1">'C. Program Changes by DU - CVF'!$A$1:$J$10</definedName>
    <definedName name="Z_6C58FFE1_D756_42C4_A1BC_AA7F1DC1E56F_.wvu.PrintArea" localSheetId="29" hidden="1">'C. Program Changes by DU - JJ'!$A$1:$J$23</definedName>
    <definedName name="Z_6C58FFE1_D756_42C4_A1BC_AA7F1DC1E56F_.wvu.PrintArea" localSheetId="2" hidden="1">'C. Program Changes by DU - M&amp;A'!$A$1:$J$11</definedName>
    <definedName name="Z_6C58FFE1_D756_42C4_A1BC_AA7F1DC1E56F_.wvu.PrintArea" localSheetId="20" hidden="1">'C. Program Changes by DU - S&amp;L'!$A$1:$J$43</definedName>
    <definedName name="Z_6C58FFE1_D756_42C4_A1BC_AA7F1DC1E56F_.wvu.PrintArea" localSheetId="11" hidden="1">'C. Program Changes by DU -RES'!$A$1:$J$19</definedName>
    <definedName name="Z_6C58FFE1_D756_42C4_A1BC_AA7F1DC1E56F_.wvu.PrintArea" localSheetId="46" hidden="1">'D. Strategic Goals &amp; Obj- CVF'!$A$1:$N$35</definedName>
    <definedName name="Z_6C58FFE1_D756_42C4_A1BC_AA7F1DC1E56F_.wvu.PrintArea" localSheetId="21" hidden="1">'D. Strategic Goals &amp; Obj. - S&amp;L'!$A$1:$N$35</definedName>
    <definedName name="Z_6C58FFE1_D756_42C4_A1BC_AA7F1DC1E56F_.wvu.PrintArea" localSheetId="30" hidden="1">'D. Strategic Goals &amp; Objs - JJ'!$A$1:$N$35</definedName>
    <definedName name="Z_6C58FFE1_D756_42C4_A1BC_AA7F1DC1E56F_.wvu.PrintArea" localSheetId="12" hidden="1">'D. Strategic Goals &amp; Objs - RES'!$A$1:$N$35</definedName>
    <definedName name="Z_6C58FFE1_D756_42C4_A1BC_AA7F1DC1E56F_.wvu.PrintArea" localSheetId="38" hidden="1">'D. Strategic Goals &amp; Obs - PSOB'!$A$1:$N$35</definedName>
    <definedName name="Z_6C58FFE1_D756_42C4_A1BC_AA7F1DC1E56F_.wvu.PrintArea" localSheetId="3" hidden="1">'E. ATB Justification - M&amp;A'!$A$1:$G$18</definedName>
    <definedName name="Z_6C58FFE1_D756_42C4_A1BC_AA7F1DC1E56F_.wvu.PrintArea" localSheetId="39" hidden="1">'E. ATB Justification- PSOB'!$A$1:$G$11</definedName>
    <definedName name="Z_6C58FFE1_D756_42C4_A1BC_AA7F1DC1E56F_.wvu.PrintArea" localSheetId="47" hidden="1">'F. 2013 Crosswalk - CVF'!$A$1:$U$31</definedName>
    <definedName name="Z_6C58FFE1_D756_42C4_A1BC_AA7F1DC1E56F_.wvu.PrintArea" localSheetId="31" hidden="1">'F. 2013 Crosswalk - JJ'!$A$1:$U$44</definedName>
    <definedName name="Z_6C58FFE1_D756_42C4_A1BC_AA7F1DC1E56F_.wvu.PrintArea" localSheetId="4" hidden="1">'F. 2013 Crosswalk - M&amp;A'!$A$1:$U$31</definedName>
    <definedName name="Z_6C58FFE1_D756_42C4_A1BC_AA7F1DC1E56F_.wvu.PrintArea" localSheetId="40" hidden="1">'F. 2013 Crosswalk - PSOB'!$A$1:$U$32</definedName>
    <definedName name="Z_6C58FFE1_D756_42C4_A1BC_AA7F1DC1E56F_.wvu.PrintArea" localSheetId="22" hidden="1">'F. 2013 Crosswalk - S&amp;L'!$A$1:$U$91</definedName>
    <definedName name="Z_6C58FFE1_D756_42C4_A1BC_AA7F1DC1E56F_.wvu.PrintArea" localSheetId="13" hidden="1">'F. 2013 Crosswalk -RES'!$A$1:$U$49</definedName>
    <definedName name="Z_6C58FFE1_D756_42C4_A1BC_AA7F1DC1E56F_.wvu.PrintArea" localSheetId="48" hidden="1">'G. 2014 Crosswalk - CVF'!$A$1:$L$30</definedName>
    <definedName name="Z_6C58FFE1_D756_42C4_A1BC_AA7F1DC1E56F_.wvu.PrintArea" localSheetId="32" hidden="1">'G. 2014 Crosswalk - JJ'!$A$1:$L$47</definedName>
    <definedName name="Z_6C58FFE1_D756_42C4_A1BC_AA7F1DC1E56F_.wvu.PrintArea" localSheetId="5" hidden="1">'G. 2014 Crosswalk - M&amp;A'!$A$1:$L$30</definedName>
    <definedName name="Z_6C58FFE1_D756_42C4_A1BC_AA7F1DC1E56F_.wvu.PrintArea" localSheetId="41" hidden="1">'G. 2014 Crosswalk - PSOB'!$A$1:$O$31</definedName>
    <definedName name="Z_6C58FFE1_D756_42C4_A1BC_AA7F1DC1E56F_.wvu.PrintArea" localSheetId="23" hidden="1">'G. 2014 Crosswalk - S&amp;L'!$A$1:$L$94</definedName>
    <definedName name="Z_6C58FFE1_D756_42C4_A1BC_AA7F1DC1E56F_.wvu.PrintArea" localSheetId="14" hidden="1">'G. 2014 Crosswalk -RES'!$A$1:$L$39</definedName>
    <definedName name="Z_6C58FFE1_D756_42C4_A1BC_AA7F1DC1E56F_.wvu.PrintArea" localSheetId="33" hidden="1">'H. Reimbursable Resources - JJ'!$A$1:$M$20</definedName>
    <definedName name="Z_6C58FFE1_D756_42C4_A1BC_AA7F1DC1E56F_.wvu.PrintArea" localSheetId="6" hidden="1">'H. Reimbursable Resources - M&amp;A'!$A$1:$M$16</definedName>
    <definedName name="Z_6C58FFE1_D756_42C4_A1BC_AA7F1DC1E56F_.wvu.PrintArea" localSheetId="15" hidden="1">'H. Reimbursable Resources - RES'!$A$1:$M$23</definedName>
    <definedName name="Z_6C58FFE1_D756_42C4_A1BC_AA7F1DC1E56F_.wvu.PrintArea" localSheetId="24" hidden="1">'H. Reimbursable Resources - S&amp;L'!$A$1:$M$23</definedName>
    <definedName name="Z_6C58FFE1_D756_42C4_A1BC_AA7F1DC1E56F_.wvu.PrintArea" localSheetId="7" hidden="1">'I. Permanent Positions - M&amp;A'!$A$1:$J$36</definedName>
    <definedName name="Z_6C58FFE1_D756_42C4_A1BC_AA7F1DC1E56F_.wvu.PrintArea" localSheetId="49" hidden="1">'J. Financial Analysis - CVF'!$A$1:$E$20</definedName>
    <definedName name="Z_6C58FFE1_D756_42C4_A1BC_AA7F1DC1E56F_.wvu.PrintArea" localSheetId="16" hidden="1">'J. Financial Analysis - RES'!$A$1:$M$19</definedName>
    <definedName name="Z_6C58FFE1_D756_42C4_A1BC_AA7F1DC1E56F_.wvu.PrintArea" localSheetId="25" hidden="1">'J. Financial Analysis - S&amp;L'!$A$1:$O$74</definedName>
    <definedName name="Z_6C58FFE1_D756_42C4_A1BC_AA7F1DC1E56F_.wvu.PrintArea" localSheetId="34" hidden="1">'J. Financial Analysis -JJ'!$A$1:$M$35</definedName>
    <definedName name="Z_6C58FFE1_D756_42C4_A1BC_AA7F1DC1E56F_.wvu.PrintArea" localSheetId="50" hidden="1">'K. Summary by OC - CVF'!$A$1:$I$50</definedName>
    <definedName name="Z_6C58FFE1_D756_42C4_A1BC_AA7F1DC1E56F_.wvu.PrintArea" localSheetId="35" hidden="1">'K. Summary by OC - JJ'!$A$1:$I$53</definedName>
    <definedName name="Z_6C58FFE1_D756_42C4_A1BC_AA7F1DC1E56F_.wvu.PrintArea" localSheetId="8" hidden="1">'K. Summary by OC - M&amp;A'!$A$1:$I$50</definedName>
    <definedName name="Z_6C58FFE1_D756_42C4_A1BC_AA7F1DC1E56F_.wvu.PrintArea" localSheetId="42" hidden="1">'K. Summary by OC - PSOB'!$A$1:$I$50</definedName>
    <definedName name="Z_6C58FFE1_D756_42C4_A1BC_AA7F1DC1E56F_.wvu.PrintArea" localSheetId="17" hidden="1">'K. Summary by OC - RES'!$A$1:$I$52</definedName>
    <definedName name="Z_6C58FFE1_D756_42C4_A1BC_AA7F1DC1E56F_.wvu.PrintArea" localSheetId="26" hidden="1">'K. Summary by OC - S&amp;L'!$A$1:$I$52</definedName>
    <definedName name="Z_6C58FFE1_D756_42C4_A1BC_AA7F1DC1E56F_.wvu.PrintArea" localSheetId="51" hidden="1">'L. Studies'!$A$1:$J$31</definedName>
    <definedName name="Z_6C58FFE1_D756_42C4_A1BC_AA7F1DC1E56F_.wvu.PrintTitles" localSheetId="46" hidden="1">'D. Strategic Goals &amp; Obj- CVF'!$1:$8</definedName>
    <definedName name="Z_6C58FFE1_D756_42C4_A1BC_AA7F1DC1E56F_.wvu.PrintTitles" localSheetId="21" hidden="1">'D. Strategic Goals &amp; Obj. - S&amp;L'!$1:$8</definedName>
    <definedName name="Z_6C58FFE1_D756_42C4_A1BC_AA7F1DC1E56F_.wvu.PrintTitles" localSheetId="30" hidden="1">'D. Strategic Goals &amp; Objs - JJ'!$1:$8</definedName>
    <definedName name="Z_6C58FFE1_D756_42C4_A1BC_AA7F1DC1E56F_.wvu.PrintTitles" localSheetId="12" hidden="1">'D. Strategic Goals &amp; Objs - RES'!$1:$8</definedName>
    <definedName name="Z_6C58FFE1_D756_42C4_A1BC_AA7F1DC1E56F_.wvu.PrintTitles" localSheetId="38" hidden="1">'D. Strategic Goals &amp; Obs - PSOB'!$1:$8</definedName>
    <definedName name="Z_6C58FFE1_D756_42C4_A1BC_AA7F1DC1E56F_.wvu.PrintTitles" localSheetId="3" hidden="1">'E. ATB Justification - M&amp;A'!$1:$6</definedName>
    <definedName name="Z_6C58FFE1_D756_42C4_A1BC_AA7F1DC1E56F_.wvu.PrintTitles" localSheetId="39" hidden="1">'E. ATB Justification- PSOB'!$1:$6</definedName>
    <definedName name="Z_6C58FFE1_D756_42C4_A1BC_AA7F1DC1E56F_.wvu.PrintTitles" localSheetId="22" hidden="1">'F. 2013 Crosswalk - S&amp;L'!$7:$8</definedName>
    <definedName name="Z_6C58FFE1_D756_42C4_A1BC_AA7F1DC1E56F_.wvu.PrintTitles" localSheetId="23" hidden="1">'G. 2014 Crosswalk - S&amp;L'!$6:$7</definedName>
    <definedName name="Z_6C58FFE1_D756_42C4_A1BC_AA7F1DC1E56F_.wvu.PrintTitles" localSheetId="49" hidden="1">'J. Financial Analysis - CVF'!$1:$7</definedName>
    <definedName name="Z_6C58FFE1_D756_42C4_A1BC_AA7F1DC1E56F_.wvu.PrintTitles" localSheetId="16" hidden="1">'J. Financial Analysis - RES'!$1:$5</definedName>
    <definedName name="Z_6C58FFE1_D756_42C4_A1BC_AA7F1DC1E56F_.wvu.PrintTitles" localSheetId="25" hidden="1">'J. Financial Analysis - S&amp;L'!$1:$5</definedName>
    <definedName name="Z_6C58FFE1_D756_42C4_A1BC_AA7F1DC1E56F_.wvu.PrintTitles" localSheetId="34" hidden="1">'J. Financial Analysis -JJ'!$1:$5</definedName>
    <definedName name="Z_6C58FFE1_D756_42C4_A1BC_AA7F1DC1E56F_.wvu.PrintTitles" localSheetId="51" hidden="1">'L. Studies'!$2:$7</definedName>
    <definedName name="Z_7BDFB364_C862_4B80_8C96_4E86C1CE68C8_.wvu.Cols" localSheetId="52" hidden="1">'N. Summary of Program Changes'!#REF!,'N. Summary of Program Changes'!#REF!,'N. Summary of Program Changes'!#REF!,'N. Summary of Program Changes'!#REF!,'N. Summary of Program Changes'!#REF!,'N. Summary of Program Changes'!#REF!</definedName>
    <definedName name="Z_7BDFB364_C862_4B80_8C96_4E86C1CE68C8_.wvu.PrintArea" localSheetId="52" hidden="1">'N. Summary of Program Changes'!$A$1:$A$142</definedName>
    <definedName name="Z_7BDFB364_C862_4B80_8C96_4E86C1CE68C8_.wvu.PrintTitles" localSheetId="52" hidden="1">'N. Summary of Program Changes'!$1:$1</definedName>
    <definedName name="Z_7BDFB364_C862_4B80_8C96_4E86C1CE68C8_.wvu.Rows" localSheetId="52" hidden="1">'N. Summary of Program Changes'!#REF!,'N. Summary of Program Changes'!#REF!,'N. Summary of Program Changes'!#REF!,'N. Summary of Program Changes'!#REF!</definedName>
    <definedName name="Z_813CAA79_4F95_4F45_9A26_39BE18E37FFC_.wvu.PrintArea" localSheetId="51" hidden="1">'L. Studies'!$A$1:$G$1</definedName>
    <definedName name="Z_9FB1A6BC_70E4_42BD_85D0_E751D5BBCA34_.wvu.Cols" localSheetId="52" hidden="1">'N. Summary of Program Changes'!#REF!,'N. Summary of Program Changes'!#REF!,'N. Summary of Program Changes'!#REF!,'N. Summary of Program Changes'!#REF!,'N. Summary of Program Changes'!#REF!,'N. Summary of Program Changes'!#REF!</definedName>
    <definedName name="Z_9FB1A6BC_70E4_42BD_85D0_E751D5BBCA34_.wvu.PrintArea" localSheetId="52" hidden="1">'N. Summary of Program Changes'!$A$1:$A$142</definedName>
    <definedName name="Z_9FB1A6BC_70E4_42BD_85D0_E751D5BBCA34_.wvu.PrintTitles" localSheetId="52" hidden="1">'N. Summary of Program Changes'!$1:$1</definedName>
    <definedName name="Z_9FB1A6BC_70E4_42BD_85D0_E751D5BBCA34_.wvu.Rows" localSheetId="52" hidden="1">'N. Summary of Program Changes'!#REF!,'N. Summary of Program Changes'!#REF!,'N. Summary of Program Changes'!#REF!,'N. Summary of Program Changes'!#REF!,'N. Summary of Program Changes'!#REF!,'N. Summary of Program Changes'!#REF!,'N. Summary of Program Changes'!#REF!,'N. Summary of Program Changes'!#REF!</definedName>
    <definedName name="Z_A788DF77_74F1_49E4_8B34_BFBDB7664F30_.wvu.PrintArea" localSheetId="43" hidden="1">'B. Summ of Req. - CVF'!$A$1:$D$30</definedName>
    <definedName name="Z_A788DF77_74F1_49E4_8B34_BFBDB7664F30_.wvu.PrintArea" localSheetId="27" hidden="1">'B. Summ of Req. - JJ'!$A$1:$D$45</definedName>
    <definedName name="Z_A788DF77_74F1_49E4_8B34_BFBDB7664F30_.wvu.PrintArea" localSheetId="0" hidden="1">'B. Summ of Req. - M&amp;A'!$A$1:$D$32</definedName>
    <definedName name="Z_A788DF77_74F1_49E4_8B34_BFBDB7664F30_.wvu.PrintArea" localSheetId="36" hidden="1">'B. Summ of Req. - PSOB'!$A$1:$D$27</definedName>
    <definedName name="Z_A788DF77_74F1_49E4_8B34_BFBDB7664F30_.wvu.PrintArea" localSheetId="9" hidden="1">'B. Summ of Req. - RES'!$A$1:$D$42</definedName>
    <definedName name="Z_A788DF77_74F1_49E4_8B34_BFBDB7664F30_.wvu.PrintArea" localSheetId="18" hidden="1">'B. Summ of Req. - S&amp;L'!$A$1:$D$68</definedName>
    <definedName name="Z_A788DF77_74F1_49E4_8B34_BFBDB7664F30_.wvu.PrintArea" localSheetId="44" hidden="1">'B. Summ of Req. by DU - CVF'!$A$1:$M$34</definedName>
    <definedName name="Z_A788DF77_74F1_49E4_8B34_BFBDB7664F30_.wvu.PrintArea" localSheetId="28" hidden="1">'B. Summ of Req. by DU - JJ'!$A$1:$M$71</definedName>
    <definedName name="Z_A788DF77_74F1_49E4_8B34_BFBDB7664F30_.wvu.PrintArea" localSheetId="1" hidden="1">'B. Summ of Req. by DU - M&amp;A'!$A$1:$M$34</definedName>
    <definedName name="Z_A788DF77_74F1_49E4_8B34_BFBDB7664F30_.wvu.PrintArea" localSheetId="37" hidden="1">'B. Summ of Req. by DU - PSOB'!$A$1:$M$37</definedName>
    <definedName name="Z_A788DF77_74F1_49E4_8B34_BFBDB7664F30_.wvu.PrintArea" localSheetId="10" hidden="1">'B. Summ of Req. by DU - RES'!$A$1:$M$49</definedName>
    <definedName name="Z_A788DF77_74F1_49E4_8B34_BFBDB7664F30_.wvu.PrintArea" localSheetId="19" hidden="1">'B. Summ of Req. by DU - S&amp;L'!$A$1:$M$154</definedName>
    <definedName name="Z_A788DF77_74F1_49E4_8B34_BFBDB7664F30_.wvu.PrintArea" localSheetId="45" hidden="1">'C. Program Changes by DU - CVF'!$A$1:$J$10</definedName>
    <definedName name="Z_A788DF77_74F1_49E4_8B34_BFBDB7664F30_.wvu.PrintArea" localSheetId="29" hidden="1">'C. Program Changes by DU - JJ'!$A$1:$J$23</definedName>
    <definedName name="Z_A788DF77_74F1_49E4_8B34_BFBDB7664F30_.wvu.PrintArea" localSheetId="2" hidden="1">'C. Program Changes by DU - M&amp;A'!$A$1:$J$11</definedName>
    <definedName name="Z_A788DF77_74F1_49E4_8B34_BFBDB7664F30_.wvu.PrintArea" localSheetId="20" hidden="1">'C. Program Changes by DU - S&amp;L'!$A$1:$J$43</definedName>
    <definedName name="Z_A788DF77_74F1_49E4_8B34_BFBDB7664F30_.wvu.PrintArea" localSheetId="11" hidden="1">'C. Program Changes by DU -RES'!$A$1:$J$19</definedName>
    <definedName name="Z_A788DF77_74F1_49E4_8B34_BFBDB7664F30_.wvu.PrintArea" localSheetId="46" hidden="1">'D. Strategic Goals &amp; Obj- CVF'!$A$1:$N$35</definedName>
    <definedName name="Z_A788DF77_74F1_49E4_8B34_BFBDB7664F30_.wvu.PrintArea" localSheetId="21" hidden="1">'D. Strategic Goals &amp; Obj. - S&amp;L'!$A$1:$N$35</definedName>
    <definedName name="Z_A788DF77_74F1_49E4_8B34_BFBDB7664F30_.wvu.PrintArea" localSheetId="30" hidden="1">'D. Strategic Goals &amp; Objs - JJ'!$A$1:$N$35</definedName>
    <definedName name="Z_A788DF77_74F1_49E4_8B34_BFBDB7664F30_.wvu.PrintArea" localSheetId="12" hidden="1">'D. Strategic Goals &amp; Objs - RES'!$A$1:$N$35</definedName>
    <definedName name="Z_A788DF77_74F1_49E4_8B34_BFBDB7664F30_.wvu.PrintArea" localSheetId="38" hidden="1">'D. Strategic Goals &amp; Obs - PSOB'!$A$1:$N$35</definedName>
    <definedName name="Z_A788DF77_74F1_49E4_8B34_BFBDB7664F30_.wvu.PrintArea" localSheetId="3" hidden="1">'E. ATB Justification - M&amp;A'!$A$1:$G$18</definedName>
    <definedName name="Z_A788DF77_74F1_49E4_8B34_BFBDB7664F30_.wvu.PrintArea" localSheetId="39" hidden="1">'E. ATB Justification- PSOB'!$A$1:$G$11</definedName>
    <definedName name="Z_A788DF77_74F1_49E4_8B34_BFBDB7664F30_.wvu.PrintArea" localSheetId="47" hidden="1">'F. 2013 Crosswalk - CVF'!$A$1:$U$31</definedName>
    <definedName name="Z_A788DF77_74F1_49E4_8B34_BFBDB7664F30_.wvu.PrintArea" localSheetId="31" hidden="1">'F. 2013 Crosswalk - JJ'!$A$1:$U$44</definedName>
    <definedName name="Z_A788DF77_74F1_49E4_8B34_BFBDB7664F30_.wvu.PrintArea" localSheetId="4" hidden="1">'F. 2013 Crosswalk - M&amp;A'!$A$1:$U$31</definedName>
    <definedName name="Z_A788DF77_74F1_49E4_8B34_BFBDB7664F30_.wvu.PrintArea" localSheetId="40" hidden="1">'F. 2013 Crosswalk - PSOB'!$A$1:$U$32</definedName>
    <definedName name="Z_A788DF77_74F1_49E4_8B34_BFBDB7664F30_.wvu.PrintArea" localSheetId="22" hidden="1">'F. 2013 Crosswalk - S&amp;L'!$A$1:$U$91</definedName>
    <definedName name="Z_A788DF77_74F1_49E4_8B34_BFBDB7664F30_.wvu.PrintArea" localSheetId="13" hidden="1">'F. 2013 Crosswalk -RES'!$A$1:$U$49</definedName>
    <definedName name="Z_A788DF77_74F1_49E4_8B34_BFBDB7664F30_.wvu.PrintArea" localSheetId="48" hidden="1">'G. 2014 Crosswalk - CVF'!$A$1:$L$30</definedName>
    <definedName name="Z_A788DF77_74F1_49E4_8B34_BFBDB7664F30_.wvu.PrintArea" localSheetId="32" hidden="1">'G. 2014 Crosswalk - JJ'!$A$1:$L$47</definedName>
    <definedName name="Z_A788DF77_74F1_49E4_8B34_BFBDB7664F30_.wvu.PrintArea" localSheetId="5" hidden="1">'G. 2014 Crosswalk - M&amp;A'!$A$1:$L$30</definedName>
    <definedName name="Z_A788DF77_74F1_49E4_8B34_BFBDB7664F30_.wvu.PrintArea" localSheetId="41" hidden="1">'G. 2014 Crosswalk - PSOB'!$A$1:$O$31</definedName>
    <definedName name="Z_A788DF77_74F1_49E4_8B34_BFBDB7664F30_.wvu.PrintArea" localSheetId="23" hidden="1">'G. 2014 Crosswalk - S&amp;L'!$A$1:$L$94</definedName>
    <definedName name="Z_A788DF77_74F1_49E4_8B34_BFBDB7664F30_.wvu.PrintArea" localSheetId="14" hidden="1">'G. 2014 Crosswalk -RES'!$A$1:$L$39</definedName>
    <definedName name="Z_A788DF77_74F1_49E4_8B34_BFBDB7664F30_.wvu.PrintArea" localSheetId="33" hidden="1">'H. Reimbursable Resources - JJ'!$A$1:$M$20</definedName>
    <definedName name="Z_A788DF77_74F1_49E4_8B34_BFBDB7664F30_.wvu.PrintArea" localSheetId="6" hidden="1">'H. Reimbursable Resources - M&amp;A'!$A$1:$M$16</definedName>
    <definedName name="Z_A788DF77_74F1_49E4_8B34_BFBDB7664F30_.wvu.PrintArea" localSheetId="15" hidden="1">'H. Reimbursable Resources - RES'!$A$1:$M$23</definedName>
    <definedName name="Z_A788DF77_74F1_49E4_8B34_BFBDB7664F30_.wvu.PrintArea" localSheetId="24" hidden="1">'H. Reimbursable Resources - S&amp;L'!$A$1:$M$23</definedName>
    <definedName name="Z_A788DF77_74F1_49E4_8B34_BFBDB7664F30_.wvu.PrintArea" localSheetId="7" hidden="1">'I. Permanent Positions - M&amp;A'!$A$1:$J$36</definedName>
    <definedName name="Z_A788DF77_74F1_49E4_8B34_BFBDB7664F30_.wvu.PrintArea" localSheetId="49" hidden="1">'J. Financial Analysis - CVF'!$A$1:$E$20</definedName>
    <definedName name="Z_A788DF77_74F1_49E4_8B34_BFBDB7664F30_.wvu.PrintArea" localSheetId="16" hidden="1">'J. Financial Analysis - RES'!$A$1:$M$19</definedName>
    <definedName name="Z_A788DF77_74F1_49E4_8B34_BFBDB7664F30_.wvu.PrintArea" localSheetId="25" hidden="1">'J. Financial Analysis - S&amp;L'!$A$1:$O$74</definedName>
    <definedName name="Z_A788DF77_74F1_49E4_8B34_BFBDB7664F30_.wvu.PrintArea" localSheetId="34" hidden="1">'J. Financial Analysis -JJ'!$A$1:$M$35</definedName>
    <definedName name="Z_A788DF77_74F1_49E4_8B34_BFBDB7664F30_.wvu.PrintArea" localSheetId="50" hidden="1">'K. Summary by OC - CVF'!$A$1:$I$50</definedName>
    <definedName name="Z_A788DF77_74F1_49E4_8B34_BFBDB7664F30_.wvu.PrintArea" localSheetId="35" hidden="1">'K. Summary by OC - JJ'!$A$1:$I$53</definedName>
    <definedName name="Z_A788DF77_74F1_49E4_8B34_BFBDB7664F30_.wvu.PrintArea" localSheetId="8" hidden="1">'K. Summary by OC - M&amp;A'!$A$1:$I$50</definedName>
    <definedName name="Z_A788DF77_74F1_49E4_8B34_BFBDB7664F30_.wvu.PrintArea" localSheetId="42" hidden="1">'K. Summary by OC - PSOB'!$A$1:$I$50</definedName>
    <definedName name="Z_A788DF77_74F1_49E4_8B34_BFBDB7664F30_.wvu.PrintArea" localSheetId="17" hidden="1">'K. Summary by OC - RES'!$A$1:$I$52</definedName>
    <definedName name="Z_A788DF77_74F1_49E4_8B34_BFBDB7664F30_.wvu.PrintArea" localSheetId="26" hidden="1">'K. Summary by OC - S&amp;L'!$A$1:$I$52</definedName>
    <definedName name="Z_A788DF77_74F1_49E4_8B34_BFBDB7664F30_.wvu.PrintArea" localSheetId="51" hidden="1">'L. Studies'!$A$1:$J$31</definedName>
    <definedName name="Z_A788DF77_74F1_49E4_8B34_BFBDB7664F30_.wvu.PrintTitles" localSheetId="46" hidden="1">'D. Strategic Goals &amp; Obj- CVF'!$1:$8</definedName>
    <definedName name="Z_A788DF77_74F1_49E4_8B34_BFBDB7664F30_.wvu.PrintTitles" localSheetId="21" hidden="1">'D. Strategic Goals &amp; Obj. - S&amp;L'!$1:$8</definedName>
    <definedName name="Z_A788DF77_74F1_49E4_8B34_BFBDB7664F30_.wvu.PrintTitles" localSheetId="30" hidden="1">'D. Strategic Goals &amp; Objs - JJ'!$1:$8</definedName>
    <definedName name="Z_A788DF77_74F1_49E4_8B34_BFBDB7664F30_.wvu.PrintTitles" localSheetId="12" hidden="1">'D. Strategic Goals &amp; Objs - RES'!$1:$8</definedName>
    <definedName name="Z_A788DF77_74F1_49E4_8B34_BFBDB7664F30_.wvu.PrintTitles" localSheetId="38" hidden="1">'D. Strategic Goals &amp; Obs - PSOB'!$1:$8</definedName>
    <definedName name="Z_A788DF77_74F1_49E4_8B34_BFBDB7664F30_.wvu.PrintTitles" localSheetId="3" hidden="1">'E. ATB Justification - M&amp;A'!$1:$6</definedName>
    <definedName name="Z_A788DF77_74F1_49E4_8B34_BFBDB7664F30_.wvu.PrintTitles" localSheetId="39" hidden="1">'E. ATB Justification- PSOB'!$1:$6</definedName>
    <definedName name="Z_A788DF77_74F1_49E4_8B34_BFBDB7664F30_.wvu.PrintTitles" localSheetId="22" hidden="1">'F. 2013 Crosswalk - S&amp;L'!$7:$8</definedName>
    <definedName name="Z_A788DF77_74F1_49E4_8B34_BFBDB7664F30_.wvu.PrintTitles" localSheetId="23" hidden="1">'G. 2014 Crosswalk - S&amp;L'!$6:$7</definedName>
    <definedName name="Z_A788DF77_74F1_49E4_8B34_BFBDB7664F30_.wvu.PrintTitles" localSheetId="49" hidden="1">'J. Financial Analysis - CVF'!$1:$7</definedName>
    <definedName name="Z_A788DF77_74F1_49E4_8B34_BFBDB7664F30_.wvu.PrintTitles" localSheetId="16" hidden="1">'J. Financial Analysis - RES'!$1:$5</definedName>
    <definedName name="Z_A788DF77_74F1_49E4_8B34_BFBDB7664F30_.wvu.PrintTitles" localSheetId="25" hidden="1">'J. Financial Analysis - S&amp;L'!$1:$5</definedName>
    <definedName name="Z_A788DF77_74F1_49E4_8B34_BFBDB7664F30_.wvu.PrintTitles" localSheetId="34" hidden="1">'J. Financial Analysis -JJ'!$1:$5</definedName>
    <definedName name="Z_A788DF77_74F1_49E4_8B34_BFBDB7664F30_.wvu.PrintTitles" localSheetId="51" hidden="1">'L. Studies'!$2:$7</definedName>
    <definedName name="Z_CFA5D1C9_F4C9_4B8D_923D_4C71CB6E7D3B_.wvu.PrintArea" localSheetId="43" hidden="1">'B. Summ of Req. - CVF'!$A$1:$D$30</definedName>
    <definedName name="Z_CFA5D1C9_F4C9_4B8D_923D_4C71CB6E7D3B_.wvu.PrintArea" localSheetId="27" hidden="1">'B. Summ of Req. - JJ'!$A$1:$D$45</definedName>
    <definedName name="Z_CFA5D1C9_F4C9_4B8D_923D_4C71CB6E7D3B_.wvu.PrintArea" localSheetId="0" hidden="1">'B. Summ of Req. - M&amp;A'!$A$1:$D$32</definedName>
    <definedName name="Z_CFA5D1C9_F4C9_4B8D_923D_4C71CB6E7D3B_.wvu.PrintArea" localSheetId="36" hidden="1">'B. Summ of Req. - PSOB'!$A$1:$D$27</definedName>
    <definedName name="Z_CFA5D1C9_F4C9_4B8D_923D_4C71CB6E7D3B_.wvu.PrintArea" localSheetId="9" hidden="1">'B. Summ of Req. - RES'!$A$1:$D$42</definedName>
    <definedName name="Z_CFA5D1C9_F4C9_4B8D_923D_4C71CB6E7D3B_.wvu.PrintArea" localSheetId="18" hidden="1">'B. Summ of Req. - S&amp;L'!$A$1:$D$68</definedName>
    <definedName name="Z_CFA5D1C9_F4C9_4B8D_923D_4C71CB6E7D3B_.wvu.PrintArea" localSheetId="44" hidden="1">'B. Summ of Req. by DU - CVF'!$A$1:$M$34</definedName>
    <definedName name="Z_CFA5D1C9_F4C9_4B8D_923D_4C71CB6E7D3B_.wvu.PrintArea" localSheetId="28" hidden="1">'B. Summ of Req. by DU - JJ'!$A$1:$M$71</definedName>
    <definedName name="Z_CFA5D1C9_F4C9_4B8D_923D_4C71CB6E7D3B_.wvu.PrintArea" localSheetId="1" hidden="1">'B. Summ of Req. by DU - M&amp;A'!$A$1:$M$34</definedName>
    <definedName name="Z_CFA5D1C9_F4C9_4B8D_923D_4C71CB6E7D3B_.wvu.PrintArea" localSheetId="37" hidden="1">'B. Summ of Req. by DU - PSOB'!$A$1:$M$37</definedName>
    <definedName name="Z_CFA5D1C9_F4C9_4B8D_923D_4C71CB6E7D3B_.wvu.PrintArea" localSheetId="10" hidden="1">'B. Summ of Req. by DU - RES'!$A$1:$M$49</definedName>
    <definedName name="Z_CFA5D1C9_F4C9_4B8D_923D_4C71CB6E7D3B_.wvu.PrintArea" localSheetId="19" hidden="1">'B. Summ of Req. by DU - S&amp;L'!$A$1:$M$154</definedName>
    <definedName name="Z_CFA5D1C9_F4C9_4B8D_923D_4C71CB6E7D3B_.wvu.PrintArea" localSheetId="45" hidden="1">'C. Program Changes by DU - CVF'!$A$1:$J$10</definedName>
    <definedName name="Z_CFA5D1C9_F4C9_4B8D_923D_4C71CB6E7D3B_.wvu.PrintArea" localSheetId="29" hidden="1">'C. Program Changes by DU - JJ'!$A$1:$J$23</definedName>
    <definedName name="Z_CFA5D1C9_F4C9_4B8D_923D_4C71CB6E7D3B_.wvu.PrintArea" localSheetId="2" hidden="1">'C. Program Changes by DU - M&amp;A'!$A$1:$J$11</definedName>
    <definedName name="Z_CFA5D1C9_F4C9_4B8D_923D_4C71CB6E7D3B_.wvu.PrintArea" localSheetId="20" hidden="1">'C. Program Changes by DU - S&amp;L'!$A$1:$J$43</definedName>
    <definedName name="Z_CFA5D1C9_F4C9_4B8D_923D_4C71CB6E7D3B_.wvu.PrintArea" localSheetId="11" hidden="1">'C. Program Changes by DU -RES'!$A$1:$J$19</definedName>
    <definedName name="Z_CFA5D1C9_F4C9_4B8D_923D_4C71CB6E7D3B_.wvu.PrintArea" localSheetId="46" hidden="1">'D. Strategic Goals &amp; Obj- CVF'!$A$1:$N$35</definedName>
    <definedName name="Z_CFA5D1C9_F4C9_4B8D_923D_4C71CB6E7D3B_.wvu.PrintArea" localSheetId="21" hidden="1">'D. Strategic Goals &amp; Obj. - S&amp;L'!$A$1:$N$35</definedName>
    <definedName name="Z_CFA5D1C9_F4C9_4B8D_923D_4C71CB6E7D3B_.wvu.PrintArea" localSheetId="30" hidden="1">'D. Strategic Goals &amp; Objs - JJ'!$A$1:$N$35</definedName>
    <definedName name="Z_CFA5D1C9_F4C9_4B8D_923D_4C71CB6E7D3B_.wvu.PrintArea" localSheetId="12" hidden="1">'D. Strategic Goals &amp; Objs - RES'!$A$1:$N$35</definedName>
    <definedName name="Z_CFA5D1C9_F4C9_4B8D_923D_4C71CB6E7D3B_.wvu.PrintArea" localSheetId="38" hidden="1">'D. Strategic Goals &amp; Obs - PSOB'!$A$1:$N$35</definedName>
    <definedName name="Z_CFA5D1C9_F4C9_4B8D_923D_4C71CB6E7D3B_.wvu.PrintArea" localSheetId="3" hidden="1">'E. ATB Justification - M&amp;A'!$A$1:$G$18</definedName>
    <definedName name="Z_CFA5D1C9_F4C9_4B8D_923D_4C71CB6E7D3B_.wvu.PrintArea" localSheetId="39" hidden="1">'E. ATB Justification- PSOB'!$A$1:$G$11</definedName>
    <definedName name="Z_CFA5D1C9_F4C9_4B8D_923D_4C71CB6E7D3B_.wvu.PrintArea" localSheetId="47" hidden="1">'F. 2013 Crosswalk - CVF'!$A$1:$U$31</definedName>
    <definedName name="Z_CFA5D1C9_F4C9_4B8D_923D_4C71CB6E7D3B_.wvu.PrintArea" localSheetId="31" hidden="1">'F. 2013 Crosswalk - JJ'!$A$1:$U$44</definedName>
    <definedName name="Z_CFA5D1C9_F4C9_4B8D_923D_4C71CB6E7D3B_.wvu.PrintArea" localSheetId="4" hidden="1">'F. 2013 Crosswalk - M&amp;A'!$A$1:$U$31</definedName>
    <definedName name="Z_CFA5D1C9_F4C9_4B8D_923D_4C71CB6E7D3B_.wvu.PrintArea" localSheetId="40" hidden="1">'F. 2013 Crosswalk - PSOB'!$A$1:$U$32</definedName>
    <definedName name="Z_CFA5D1C9_F4C9_4B8D_923D_4C71CB6E7D3B_.wvu.PrintArea" localSheetId="22" hidden="1">'F. 2013 Crosswalk - S&amp;L'!$A$1:$U$91</definedName>
    <definedName name="Z_CFA5D1C9_F4C9_4B8D_923D_4C71CB6E7D3B_.wvu.PrintArea" localSheetId="13" hidden="1">'F. 2013 Crosswalk -RES'!$A$1:$U$49</definedName>
    <definedName name="Z_CFA5D1C9_F4C9_4B8D_923D_4C71CB6E7D3B_.wvu.PrintArea" localSheetId="48" hidden="1">'G. 2014 Crosswalk - CVF'!$A$1:$L$30</definedName>
    <definedName name="Z_CFA5D1C9_F4C9_4B8D_923D_4C71CB6E7D3B_.wvu.PrintArea" localSheetId="32" hidden="1">'G. 2014 Crosswalk - JJ'!$A$1:$L$47</definedName>
    <definedName name="Z_CFA5D1C9_F4C9_4B8D_923D_4C71CB6E7D3B_.wvu.PrintArea" localSheetId="5" hidden="1">'G. 2014 Crosswalk - M&amp;A'!$A$1:$L$30</definedName>
    <definedName name="Z_CFA5D1C9_F4C9_4B8D_923D_4C71CB6E7D3B_.wvu.PrintArea" localSheetId="41" hidden="1">'G. 2014 Crosswalk - PSOB'!$A$1:$O$31</definedName>
    <definedName name="Z_CFA5D1C9_F4C9_4B8D_923D_4C71CB6E7D3B_.wvu.PrintArea" localSheetId="23" hidden="1">'G. 2014 Crosswalk - S&amp;L'!$A$1:$L$94</definedName>
    <definedName name="Z_CFA5D1C9_F4C9_4B8D_923D_4C71CB6E7D3B_.wvu.PrintArea" localSheetId="14" hidden="1">'G. 2014 Crosswalk -RES'!$A$1:$L$40</definedName>
    <definedName name="Z_CFA5D1C9_F4C9_4B8D_923D_4C71CB6E7D3B_.wvu.PrintArea" localSheetId="33" hidden="1">'H. Reimbursable Resources - JJ'!$A$1:$M$20</definedName>
    <definedName name="Z_CFA5D1C9_F4C9_4B8D_923D_4C71CB6E7D3B_.wvu.PrintArea" localSheetId="6" hidden="1">'H. Reimbursable Resources - M&amp;A'!$A$1:$M$16</definedName>
    <definedName name="Z_CFA5D1C9_F4C9_4B8D_923D_4C71CB6E7D3B_.wvu.PrintArea" localSheetId="15" hidden="1">'H. Reimbursable Resources - RES'!$A$1:$M$23</definedName>
    <definedName name="Z_CFA5D1C9_F4C9_4B8D_923D_4C71CB6E7D3B_.wvu.PrintArea" localSheetId="24" hidden="1">'H. Reimbursable Resources - S&amp;L'!$A$1:$M$23</definedName>
    <definedName name="Z_CFA5D1C9_F4C9_4B8D_923D_4C71CB6E7D3B_.wvu.PrintArea" localSheetId="7" hidden="1">'I. Permanent Positions - M&amp;A'!$A$1:$J$36</definedName>
    <definedName name="Z_CFA5D1C9_F4C9_4B8D_923D_4C71CB6E7D3B_.wvu.PrintArea" localSheetId="49" hidden="1">'J. Financial Analysis - CVF'!$A$1:$E$20</definedName>
    <definedName name="Z_CFA5D1C9_F4C9_4B8D_923D_4C71CB6E7D3B_.wvu.PrintArea" localSheetId="16" hidden="1">'J. Financial Analysis - RES'!$A$1:$M$19</definedName>
    <definedName name="Z_CFA5D1C9_F4C9_4B8D_923D_4C71CB6E7D3B_.wvu.PrintArea" localSheetId="25" hidden="1">'J. Financial Analysis - S&amp;L'!$A$1:$O$74</definedName>
    <definedName name="Z_CFA5D1C9_F4C9_4B8D_923D_4C71CB6E7D3B_.wvu.PrintArea" localSheetId="34" hidden="1">'J. Financial Analysis -JJ'!$A$1:$M$35</definedName>
    <definedName name="Z_CFA5D1C9_F4C9_4B8D_923D_4C71CB6E7D3B_.wvu.PrintArea" localSheetId="50" hidden="1">'K. Summary by OC - CVF'!$A$1:$I$50</definedName>
    <definedName name="Z_CFA5D1C9_F4C9_4B8D_923D_4C71CB6E7D3B_.wvu.PrintArea" localSheetId="35" hidden="1">'K. Summary by OC - JJ'!$A$1:$I$53</definedName>
    <definedName name="Z_CFA5D1C9_F4C9_4B8D_923D_4C71CB6E7D3B_.wvu.PrintArea" localSheetId="8" hidden="1">'K. Summary by OC - M&amp;A'!$A$1:$I$50</definedName>
    <definedName name="Z_CFA5D1C9_F4C9_4B8D_923D_4C71CB6E7D3B_.wvu.PrintArea" localSheetId="42" hidden="1">'K. Summary by OC - PSOB'!$A$1:$I$51</definedName>
    <definedName name="Z_CFA5D1C9_F4C9_4B8D_923D_4C71CB6E7D3B_.wvu.PrintArea" localSheetId="17" hidden="1">'K. Summary by OC - RES'!$A$1:$I$52</definedName>
    <definedName name="Z_CFA5D1C9_F4C9_4B8D_923D_4C71CB6E7D3B_.wvu.PrintArea" localSheetId="26" hidden="1">'K. Summary by OC - S&amp;L'!$A$1:$I$52</definedName>
    <definedName name="Z_CFA5D1C9_F4C9_4B8D_923D_4C71CB6E7D3B_.wvu.PrintArea" localSheetId="51" hidden="1">'L. Studies'!$A$1:$J$31</definedName>
    <definedName name="Z_CFA5D1C9_F4C9_4B8D_923D_4C71CB6E7D3B_.wvu.PrintTitles" localSheetId="46" hidden="1">'D. Strategic Goals &amp; Obj- CVF'!$1:$8</definedName>
    <definedName name="Z_CFA5D1C9_F4C9_4B8D_923D_4C71CB6E7D3B_.wvu.PrintTitles" localSheetId="21" hidden="1">'D. Strategic Goals &amp; Obj. - S&amp;L'!$1:$8</definedName>
    <definedName name="Z_CFA5D1C9_F4C9_4B8D_923D_4C71CB6E7D3B_.wvu.PrintTitles" localSheetId="30" hidden="1">'D. Strategic Goals &amp; Objs - JJ'!$1:$8</definedName>
    <definedName name="Z_CFA5D1C9_F4C9_4B8D_923D_4C71CB6E7D3B_.wvu.PrintTitles" localSheetId="12" hidden="1">'D. Strategic Goals &amp; Objs - RES'!$1:$8</definedName>
    <definedName name="Z_CFA5D1C9_F4C9_4B8D_923D_4C71CB6E7D3B_.wvu.PrintTitles" localSheetId="38" hidden="1">'D. Strategic Goals &amp; Obs - PSOB'!$1:$8</definedName>
    <definedName name="Z_CFA5D1C9_F4C9_4B8D_923D_4C71CB6E7D3B_.wvu.PrintTitles" localSheetId="3" hidden="1">'E. ATB Justification - M&amp;A'!$1:$6</definedName>
    <definedName name="Z_CFA5D1C9_F4C9_4B8D_923D_4C71CB6E7D3B_.wvu.PrintTitles" localSheetId="39" hidden="1">'E. ATB Justification- PSOB'!$1:$6</definedName>
    <definedName name="Z_CFA5D1C9_F4C9_4B8D_923D_4C71CB6E7D3B_.wvu.PrintTitles" localSheetId="22" hidden="1">'F. 2013 Crosswalk - S&amp;L'!$7:$8</definedName>
    <definedName name="Z_CFA5D1C9_F4C9_4B8D_923D_4C71CB6E7D3B_.wvu.PrintTitles" localSheetId="23" hidden="1">'G. 2014 Crosswalk - S&amp;L'!$6:$7</definedName>
    <definedName name="Z_CFA5D1C9_F4C9_4B8D_923D_4C71CB6E7D3B_.wvu.PrintTitles" localSheetId="49" hidden="1">'J. Financial Analysis - CVF'!$1:$7</definedName>
    <definedName name="Z_CFA5D1C9_F4C9_4B8D_923D_4C71CB6E7D3B_.wvu.PrintTitles" localSheetId="16" hidden="1">'J. Financial Analysis - RES'!$1:$5</definedName>
    <definedName name="Z_CFA5D1C9_F4C9_4B8D_923D_4C71CB6E7D3B_.wvu.PrintTitles" localSheetId="25" hidden="1">'J. Financial Analysis - S&amp;L'!$1:$5</definedName>
    <definedName name="Z_CFA5D1C9_F4C9_4B8D_923D_4C71CB6E7D3B_.wvu.PrintTitles" localSheetId="34" hidden="1">'J. Financial Analysis -JJ'!$1:$5</definedName>
    <definedName name="Z_CFA5D1C9_F4C9_4B8D_923D_4C71CB6E7D3B_.wvu.PrintTitles" localSheetId="51" hidden="1">'L. Studies'!$2:$7</definedName>
    <definedName name="Z_EE916FE7_61FB_4021_ADDD_E082241FC03C_.wvu.PrintArea" localSheetId="43" hidden="1">'B. Summ of Req. - CVF'!$A$1:$D$30</definedName>
    <definedName name="Z_EE916FE7_61FB_4021_ADDD_E082241FC03C_.wvu.PrintArea" localSheetId="27" hidden="1">'B. Summ of Req. - JJ'!$A$1:$D$45</definedName>
    <definedName name="Z_EE916FE7_61FB_4021_ADDD_E082241FC03C_.wvu.PrintArea" localSheetId="0" hidden="1">'B. Summ of Req. - M&amp;A'!$A$1:$D$32</definedName>
    <definedName name="Z_EE916FE7_61FB_4021_ADDD_E082241FC03C_.wvu.PrintArea" localSheetId="36" hidden="1">'B. Summ of Req. - PSOB'!$A$1:$D$27</definedName>
    <definedName name="Z_EE916FE7_61FB_4021_ADDD_E082241FC03C_.wvu.PrintArea" localSheetId="9" hidden="1">'B. Summ of Req. - RES'!$A$1:$D$42</definedName>
    <definedName name="Z_EE916FE7_61FB_4021_ADDD_E082241FC03C_.wvu.PrintArea" localSheetId="18" hidden="1">'B. Summ of Req. - S&amp;L'!$A$1:$D$68</definedName>
    <definedName name="Z_EE916FE7_61FB_4021_ADDD_E082241FC03C_.wvu.PrintArea" localSheetId="44" hidden="1">'B. Summ of Req. by DU - CVF'!$A$1:$M$34</definedName>
    <definedName name="Z_EE916FE7_61FB_4021_ADDD_E082241FC03C_.wvu.PrintArea" localSheetId="28" hidden="1">'B. Summ of Req. by DU - JJ'!$A$1:$M$71</definedName>
    <definedName name="Z_EE916FE7_61FB_4021_ADDD_E082241FC03C_.wvu.PrintArea" localSheetId="1" hidden="1">'B. Summ of Req. by DU - M&amp;A'!$A$1:$M$34</definedName>
    <definedName name="Z_EE916FE7_61FB_4021_ADDD_E082241FC03C_.wvu.PrintArea" localSheetId="37" hidden="1">'B. Summ of Req. by DU - PSOB'!$A$1:$M$37</definedName>
    <definedName name="Z_EE916FE7_61FB_4021_ADDD_E082241FC03C_.wvu.PrintArea" localSheetId="10" hidden="1">'B. Summ of Req. by DU - RES'!$A$1:$M$49</definedName>
    <definedName name="Z_EE916FE7_61FB_4021_ADDD_E082241FC03C_.wvu.PrintArea" localSheetId="19" hidden="1">'B. Summ of Req. by DU - S&amp;L'!$A$1:$M$154</definedName>
    <definedName name="Z_EE916FE7_61FB_4021_ADDD_E082241FC03C_.wvu.PrintArea" localSheetId="45" hidden="1">'C. Program Changes by DU - CVF'!$A$1:$J$10</definedName>
    <definedName name="Z_EE916FE7_61FB_4021_ADDD_E082241FC03C_.wvu.PrintArea" localSheetId="29" hidden="1">'C. Program Changes by DU - JJ'!$A$1:$J$23</definedName>
    <definedName name="Z_EE916FE7_61FB_4021_ADDD_E082241FC03C_.wvu.PrintArea" localSheetId="2" hidden="1">'C. Program Changes by DU - M&amp;A'!$A$1:$J$11</definedName>
    <definedName name="Z_EE916FE7_61FB_4021_ADDD_E082241FC03C_.wvu.PrintArea" localSheetId="20" hidden="1">'C. Program Changes by DU - S&amp;L'!$A$1:$J$43</definedName>
    <definedName name="Z_EE916FE7_61FB_4021_ADDD_E082241FC03C_.wvu.PrintArea" localSheetId="11" hidden="1">'C. Program Changes by DU -RES'!$A$1:$J$19</definedName>
    <definedName name="Z_EE916FE7_61FB_4021_ADDD_E082241FC03C_.wvu.PrintArea" localSheetId="46" hidden="1">'D. Strategic Goals &amp; Obj- CVF'!$A$1:$N$35</definedName>
    <definedName name="Z_EE916FE7_61FB_4021_ADDD_E082241FC03C_.wvu.PrintArea" localSheetId="21" hidden="1">'D. Strategic Goals &amp; Obj. - S&amp;L'!$A$1:$N$35</definedName>
    <definedName name="Z_EE916FE7_61FB_4021_ADDD_E082241FC03C_.wvu.PrintArea" localSheetId="30" hidden="1">'D. Strategic Goals &amp; Objs - JJ'!$A$1:$N$35</definedName>
    <definedName name="Z_EE916FE7_61FB_4021_ADDD_E082241FC03C_.wvu.PrintArea" localSheetId="12" hidden="1">'D. Strategic Goals &amp; Objs - RES'!$A$1:$N$35</definedName>
    <definedName name="Z_EE916FE7_61FB_4021_ADDD_E082241FC03C_.wvu.PrintArea" localSheetId="38" hidden="1">'D. Strategic Goals &amp; Obs - PSOB'!$A$1:$N$35</definedName>
    <definedName name="Z_EE916FE7_61FB_4021_ADDD_E082241FC03C_.wvu.PrintArea" localSheetId="3" hidden="1">'E. ATB Justification - M&amp;A'!$A$1:$G$18</definedName>
    <definedName name="Z_EE916FE7_61FB_4021_ADDD_E082241FC03C_.wvu.PrintArea" localSheetId="39" hidden="1">'E. ATB Justification- PSOB'!$A$1:$G$11</definedName>
    <definedName name="Z_EE916FE7_61FB_4021_ADDD_E082241FC03C_.wvu.PrintArea" localSheetId="47" hidden="1">'F. 2013 Crosswalk - CVF'!$A$1:$U$31</definedName>
    <definedName name="Z_EE916FE7_61FB_4021_ADDD_E082241FC03C_.wvu.PrintArea" localSheetId="31" hidden="1">'F. 2013 Crosswalk - JJ'!$A$1:$U$44</definedName>
    <definedName name="Z_EE916FE7_61FB_4021_ADDD_E082241FC03C_.wvu.PrintArea" localSheetId="4" hidden="1">'F. 2013 Crosswalk - M&amp;A'!$A$1:$U$31</definedName>
    <definedName name="Z_EE916FE7_61FB_4021_ADDD_E082241FC03C_.wvu.PrintArea" localSheetId="40" hidden="1">'F. 2013 Crosswalk - PSOB'!$A$1:$U$32</definedName>
    <definedName name="Z_EE916FE7_61FB_4021_ADDD_E082241FC03C_.wvu.PrintArea" localSheetId="22" hidden="1">'F. 2013 Crosswalk - S&amp;L'!$A$1:$U$91</definedName>
    <definedName name="Z_EE916FE7_61FB_4021_ADDD_E082241FC03C_.wvu.PrintArea" localSheetId="13" hidden="1">'F. 2013 Crosswalk -RES'!$A$1:$U$49</definedName>
    <definedName name="Z_EE916FE7_61FB_4021_ADDD_E082241FC03C_.wvu.PrintArea" localSheetId="48" hidden="1">'G. 2014 Crosswalk - CVF'!$A$1:$L$30</definedName>
    <definedName name="Z_EE916FE7_61FB_4021_ADDD_E082241FC03C_.wvu.PrintArea" localSheetId="32" hidden="1">'G. 2014 Crosswalk - JJ'!$A$1:$L$47</definedName>
    <definedName name="Z_EE916FE7_61FB_4021_ADDD_E082241FC03C_.wvu.PrintArea" localSheetId="5" hidden="1">'G. 2014 Crosswalk - M&amp;A'!$A$1:$L$30</definedName>
    <definedName name="Z_EE916FE7_61FB_4021_ADDD_E082241FC03C_.wvu.PrintArea" localSheetId="41" hidden="1">'G. 2014 Crosswalk - PSOB'!$A$1:$O$31</definedName>
    <definedName name="Z_EE916FE7_61FB_4021_ADDD_E082241FC03C_.wvu.PrintArea" localSheetId="23" hidden="1">'G. 2014 Crosswalk - S&amp;L'!$A$1:$L$94</definedName>
    <definedName name="Z_EE916FE7_61FB_4021_ADDD_E082241FC03C_.wvu.PrintArea" localSheetId="14" hidden="1">'G. 2014 Crosswalk -RES'!$A$1:$L$40</definedName>
    <definedName name="Z_EE916FE7_61FB_4021_ADDD_E082241FC03C_.wvu.PrintArea" localSheetId="33" hidden="1">'H. Reimbursable Resources - JJ'!$A$1:$M$20</definedName>
    <definedName name="Z_EE916FE7_61FB_4021_ADDD_E082241FC03C_.wvu.PrintArea" localSheetId="6" hidden="1">'H. Reimbursable Resources - M&amp;A'!$A$1:$M$16</definedName>
    <definedName name="Z_EE916FE7_61FB_4021_ADDD_E082241FC03C_.wvu.PrintArea" localSheetId="15" hidden="1">'H. Reimbursable Resources - RES'!$A$1:$M$23</definedName>
    <definedName name="Z_EE916FE7_61FB_4021_ADDD_E082241FC03C_.wvu.PrintArea" localSheetId="24" hidden="1">'H. Reimbursable Resources - S&amp;L'!$A$1:$M$23</definedName>
    <definedName name="Z_EE916FE7_61FB_4021_ADDD_E082241FC03C_.wvu.PrintArea" localSheetId="7" hidden="1">'I. Permanent Positions - M&amp;A'!$A$1:$J$36</definedName>
    <definedName name="Z_EE916FE7_61FB_4021_ADDD_E082241FC03C_.wvu.PrintArea" localSheetId="49" hidden="1">'J. Financial Analysis - CVF'!$A$1:$E$20</definedName>
    <definedName name="Z_EE916FE7_61FB_4021_ADDD_E082241FC03C_.wvu.PrintArea" localSheetId="16" hidden="1">'J. Financial Analysis - RES'!$A$1:$M$19</definedName>
    <definedName name="Z_EE916FE7_61FB_4021_ADDD_E082241FC03C_.wvu.PrintArea" localSheetId="25" hidden="1">'J. Financial Analysis - S&amp;L'!$A$1:$O$74</definedName>
    <definedName name="Z_EE916FE7_61FB_4021_ADDD_E082241FC03C_.wvu.PrintArea" localSheetId="34" hidden="1">'J. Financial Analysis -JJ'!$A$1:$M$35</definedName>
    <definedName name="Z_EE916FE7_61FB_4021_ADDD_E082241FC03C_.wvu.PrintArea" localSheetId="50" hidden="1">'K. Summary by OC - CVF'!$A$1:$I$50</definedName>
    <definedName name="Z_EE916FE7_61FB_4021_ADDD_E082241FC03C_.wvu.PrintArea" localSheetId="35" hidden="1">'K. Summary by OC - JJ'!$A$1:$I$53</definedName>
    <definedName name="Z_EE916FE7_61FB_4021_ADDD_E082241FC03C_.wvu.PrintArea" localSheetId="8" hidden="1">'K. Summary by OC - M&amp;A'!$A$1:$I$50</definedName>
    <definedName name="Z_EE916FE7_61FB_4021_ADDD_E082241FC03C_.wvu.PrintArea" localSheetId="42" hidden="1">'K. Summary by OC - PSOB'!$A$1:$I$51</definedName>
    <definedName name="Z_EE916FE7_61FB_4021_ADDD_E082241FC03C_.wvu.PrintArea" localSheetId="17" hidden="1">'K. Summary by OC - RES'!$A$1:$I$52</definedName>
    <definedName name="Z_EE916FE7_61FB_4021_ADDD_E082241FC03C_.wvu.PrintArea" localSheetId="26" hidden="1">'K. Summary by OC - S&amp;L'!$A$1:$I$52</definedName>
    <definedName name="Z_EE916FE7_61FB_4021_ADDD_E082241FC03C_.wvu.PrintArea" localSheetId="51" hidden="1">'L. Studies'!$A$1:$J$31</definedName>
    <definedName name="Z_EE916FE7_61FB_4021_ADDD_E082241FC03C_.wvu.PrintTitles" localSheetId="46" hidden="1">'D. Strategic Goals &amp; Obj- CVF'!$1:$8</definedName>
    <definedName name="Z_EE916FE7_61FB_4021_ADDD_E082241FC03C_.wvu.PrintTitles" localSheetId="21" hidden="1">'D. Strategic Goals &amp; Obj. - S&amp;L'!$1:$8</definedName>
    <definedName name="Z_EE916FE7_61FB_4021_ADDD_E082241FC03C_.wvu.PrintTitles" localSheetId="30" hidden="1">'D. Strategic Goals &amp; Objs - JJ'!$1:$8</definedName>
    <definedName name="Z_EE916FE7_61FB_4021_ADDD_E082241FC03C_.wvu.PrintTitles" localSheetId="12" hidden="1">'D. Strategic Goals &amp; Objs - RES'!$1:$8</definedName>
    <definedName name="Z_EE916FE7_61FB_4021_ADDD_E082241FC03C_.wvu.PrintTitles" localSheetId="38" hidden="1">'D. Strategic Goals &amp; Obs - PSOB'!$1:$8</definedName>
    <definedName name="Z_EE916FE7_61FB_4021_ADDD_E082241FC03C_.wvu.PrintTitles" localSheetId="3" hidden="1">'E. ATB Justification - M&amp;A'!$1:$6</definedName>
    <definedName name="Z_EE916FE7_61FB_4021_ADDD_E082241FC03C_.wvu.PrintTitles" localSheetId="39" hidden="1">'E. ATB Justification- PSOB'!$1:$6</definedName>
    <definedName name="Z_EE916FE7_61FB_4021_ADDD_E082241FC03C_.wvu.PrintTitles" localSheetId="22" hidden="1">'F. 2013 Crosswalk - S&amp;L'!$7:$8</definedName>
    <definedName name="Z_EE916FE7_61FB_4021_ADDD_E082241FC03C_.wvu.PrintTitles" localSheetId="23" hidden="1">'G. 2014 Crosswalk - S&amp;L'!$6:$7</definedName>
    <definedName name="Z_EE916FE7_61FB_4021_ADDD_E082241FC03C_.wvu.PrintTitles" localSheetId="49" hidden="1">'J. Financial Analysis - CVF'!$1:$7</definedName>
    <definedName name="Z_EE916FE7_61FB_4021_ADDD_E082241FC03C_.wvu.PrintTitles" localSheetId="16" hidden="1">'J. Financial Analysis - RES'!$1:$5</definedName>
    <definedName name="Z_EE916FE7_61FB_4021_ADDD_E082241FC03C_.wvu.PrintTitles" localSheetId="25" hidden="1">'J. Financial Analysis - S&amp;L'!$1:$5</definedName>
    <definedName name="Z_EE916FE7_61FB_4021_ADDD_E082241FC03C_.wvu.PrintTitles" localSheetId="34" hidden="1">'J. Financial Analysis -JJ'!$1:$5</definedName>
    <definedName name="Z_EE916FE7_61FB_4021_ADDD_E082241FC03C_.wvu.PrintTitles" localSheetId="51" hidden="1">'L. Studies'!$2:$7</definedName>
    <definedName name="Z_FE71BCE8_2CFB_4FC5_AE69_13623C7B8C8F_.wvu.Cols" localSheetId="52" hidden="1">'N. Summary of Program Changes'!#REF!,'N. Summary of Program Changes'!#REF!,'N. Summary of Program Changes'!#REF!,'N. Summary of Program Changes'!#REF!,'N. Summary of Program Changes'!#REF!</definedName>
    <definedName name="Z_FE71BCE8_2CFB_4FC5_AE69_13623C7B8C8F_.wvu.PrintArea" localSheetId="52" hidden="1">'N. Summary of Program Changes'!$A$1:$A$142</definedName>
    <definedName name="Z_FE71BCE8_2CFB_4FC5_AE69_13623C7B8C8F_.wvu.PrintTitles" localSheetId="52" hidden="1">'N. Summary of Program Changes'!$1:$1</definedName>
    <definedName name="Z_FE71BCE8_2CFB_4FC5_AE69_13623C7B8C8F_.wvu.Rows" localSheetId="52" hidden="1">'N. Summary of Program Changes'!#REF!,'N. Summary of Program Changes'!#REF!,'N. Summary of Program Changes'!#REF!,'N. Summary of Program Changes'!#REF!,'N. Summary of Program Changes'!#REF!,'N. Summary of Program Changes'!#REF!,'N. Summary of Program Changes'!#REF!,'N. Summary of Program Changes'!#REF!</definedName>
  </definedNames>
  <calcPr calcId="145621"/>
  <customWorkbookViews>
    <customWorkbookView name="jonessh - Personal View" guid="{EE916FE7-61FB-4021-ADDD-E082241FC03C}" mergeInterval="0" personalView="1" maximized="1" windowWidth="1280" windowHeight="818" tabRatio="808" activeSheetId="28"/>
    <customWorkbookView name="mattockc - Personal View" guid="{0BB5DC4B-BC2A-4489-BE17-5E267FA1EF63}" mergeInterval="0" personalView="1" maximized="1" windowWidth="1276" windowHeight="779" tabRatio="806" activeSheetId="1"/>
    <customWorkbookView name="alamink - Personal View" guid="{6C58FFE1-D756-42C4-A1BC-AA7F1DC1E56F}" mergeInterval="0" personalView="1" maximized="1" windowWidth="1280" windowHeight="838" tabRatio="808" activeSheetId="30"/>
    <customWorkbookView name="Morse, Ryan - Personal View" guid="{CFA5D1C9-F4C9-4B8D-923D-4C71CB6E7D3B}" mergeInterval="0" personalView="1" maximized="1" yWindow="-4" windowWidth="1035" windowHeight="742" tabRatio="808" activeSheetId="19"/>
    <customWorkbookView name="besst - Personal View" guid="{A788DF77-74F1-49E4-8B34-BFBDB7664F30}" mergeInterval="0" personalView="1" maximized="1" windowWidth="1280" windowHeight="799" tabRatio="808" activeSheetId="48"/>
  </customWorkbookViews>
</workbook>
</file>

<file path=xl/calcChain.xml><?xml version="1.0" encoding="utf-8"?>
<calcChain xmlns="http://schemas.openxmlformats.org/spreadsheetml/2006/main">
  <c r="M28" i="14" l="1"/>
  <c r="N28" i="14"/>
  <c r="M29" i="14"/>
  <c r="N29" i="14"/>
  <c r="M30" i="14"/>
  <c r="N30" i="14"/>
  <c r="M31" i="14"/>
  <c r="N31" i="14"/>
  <c r="U15" i="24" l="1"/>
  <c r="U11" i="24"/>
  <c r="U22" i="24"/>
  <c r="U25" i="24"/>
  <c r="U31" i="24"/>
  <c r="U45" i="24"/>
  <c r="G9" i="54" l="1"/>
  <c r="G10" i="54" s="1"/>
  <c r="F9" i="54"/>
  <c r="F10" i="54" s="1"/>
  <c r="E9" i="54"/>
  <c r="E10" i="54" s="1"/>
  <c r="U23" i="33" l="1"/>
  <c r="H20" i="16"/>
  <c r="U29" i="15"/>
  <c r="R29" i="15"/>
  <c r="Q29" i="15"/>
  <c r="M29" i="15"/>
  <c r="P29" i="15"/>
  <c r="J29" i="15"/>
  <c r="Q70" i="24"/>
  <c r="H74" i="25"/>
  <c r="M70" i="24"/>
  <c r="P70" i="24"/>
  <c r="J23" i="33" l="1"/>
  <c r="D70" i="24" l="1"/>
  <c r="M19" i="17" l="1"/>
  <c r="L19" i="17"/>
  <c r="K19" i="17"/>
  <c r="M18" i="17"/>
  <c r="M12" i="17"/>
  <c r="L12" i="17"/>
  <c r="K12" i="17"/>
  <c r="G30" i="27" l="1"/>
  <c r="G29" i="27"/>
  <c r="G28" i="27"/>
  <c r="G27" i="27"/>
  <c r="G26" i="27"/>
  <c r="G25" i="27"/>
  <c r="G24" i="27"/>
  <c r="I73" i="27"/>
  <c r="I72" i="27"/>
  <c r="I71" i="27"/>
  <c r="I70" i="27"/>
  <c r="I69" i="27"/>
  <c r="I68" i="27"/>
  <c r="I67" i="27"/>
  <c r="I74" i="27" l="1"/>
  <c r="E3" i="53"/>
  <c r="E4" i="53"/>
  <c r="E5" i="53"/>
  <c r="E6" i="53"/>
  <c r="E7" i="53"/>
  <c r="E8" i="53"/>
  <c r="E9" i="53"/>
  <c r="E10" i="53"/>
  <c r="E11" i="53"/>
  <c r="E12" i="53"/>
  <c r="E13" i="53"/>
  <c r="E14" i="53"/>
  <c r="E15" i="53"/>
  <c r="E16" i="53"/>
  <c r="E17" i="53"/>
  <c r="B18" i="53"/>
  <c r="C18" i="53"/>
  <c r="D18" i="53"/>
  <c r="E21" i="53"/>
  <c r="E22" i="53"/>
  <c r="E23" i="53"/>
  <c r="E24" i="53"/>
  <c r="E25" i="53"/>
  <c r="E26" i="53"/>
  <c r="E27" i="53"/>
  <c r="E28" i="53"/>
  <c r="E29" i="53"/>
  <c r="E30" i="53"/>
  <c r="E31" i="53"/>
  <c r="E32" i="53"/>
  <c r="E33" i="53"/>
  <c r="E34" i="53"/>
  <c r="E35" i="53"/>
  <c r="E36" i="53"/>
  <c r="E37" i="53"/>
  <c r="E38" i="53"/>
  <c r="E39" i="53"/>
  <c r="E40" i="53"/>
  <c r="E41" i="53"/>
  <c r="E42" i="53"/>
  <c r="E43" i="53"/>
  <c r="E44" i="53"/>
  <c r="E45" i="53"/>
  <c r="E46" i="53"/>
  <c r="E47" i="53"/>
  <c r="E48" i="53"/>
  <c r="E49" i="53"/>
  <c r="E50" i="53"/>
  <c r="E51" i="53"/>
  <c r="E52" i="53"/>
  <c r="E53" i="53"/>
  <c r="E54" i="53"/>
  <c r="E55" i="53"/>
  <c r="E56" i="53"/>
  <c r="E57" i="53"/>
  <c r="E58" i="53"/>
  <c r="E59" i="53"/>
  <c r="E60" i="53"/>
  <c r="E61" i="53"/>
  <c r="E62" i="53"/>
  <c r="E63" i="53"/>
  <c r="E64" i="53"/>
  <c r="E65" i="53"/>
  <c r="E66" i="53"/>
  <c r="E67" i="53"/>
  <c r="E68" i="53"/>
  <c r="E69" i="53"/>
  <c r="E70" i="53"/>
  <c r="E71" i="53"/>
  <c r="E72" i="53"/>
  <c r="E73" i="53"/>
  <c r="E74" i="53"/>
  <c r="E75" i="53"/>
  <c r="E76" i="53"/>
  <c r="E77" i="53"/>
  <c r="E78" i="53"/>
  <c r="E79" i="53"/>
  <c r="E80" i="53"/>
  <c r="E81" i="53"/>
  <c r="E82" i="53"/>
  <c r="E83" i="53"/>
  <c r="B84" i="53"/>
  <c r="C84" i="53"/>
  <c r="D84" i="53"/>
  <c r="E84" i="53"/>
  <c r="E87" i="53"/>
  <c r="E88" i="53"/>
  <c r="E106" i="53" s="1"/>
  <c r="E89" i="53"/>
  <c r="E90" i="53"/>
  <c r="E91" i="53"/>
  <c r="E92" i="53"/>
  <c r="E93" i="53"/>
  <c r="E94" i="53"/>
  <c r="E95" i="53"/>
  <c r="E96" i="53"/>
  <c r="E97" i="53"/>
  <c r="E98" i="53"/>
  <c r="E99" i="53"/>
  <c r="E100" i="53"/>
  <c r="E101" i="53"/>
  <c r="E102" i="53"/>
  <c r="E103" i="53"/>
  <c r="E104" i="53"/>
  <c r="E105" i="53"/>
  <c r="B106" i="53"/>
  <c r="C106" i="53"/>
  <c r="D106" i="53"/>
  <c r="E109" i="53"/>
  <c r="E110" i="53" s="1"/>
  <c r="C110" i="53"/>
  <c r="D110" i="53"/>
  <c r="C112" i="53"/>
  <c r="C115" i="53" s="1"/>
  <c r="E116" i="53"/>
  <c r="E117" i="53"/>
  <c r="E118" i="53"/>
  <c r="C119" i="53"/>
  <c r="E119" i="53" s="1"/>
  <c r="B120" i="53"/>
  <c r="C120" i="53"/>
  <c r="C128" i="53" s="1"/>
  <c r="D120" i="53"/>
  <c r="E122" i="53"/>
  <c r="E123" i="53"/>
  <c r="E124" i="53"/>
  <c r="B128" i="53"/>
  <c r="D128" i="53"/>
  <c r="D133" i="53"/>
  <c r="E136" i="53"/>
  <c r="E137" i="53"/>
  <c r="E139" i="53"/>
  <c r="E140" i="53"/>
  <c r="E142" i="53" s="1"/>
  <c r="E141" i="53"/>
  <c r="B142" i="53"/>
  <c r="B132" i="53" s="1"/>
  <c r="B133" i="53" s="1"/>
  <c r="C142" i="53"/>
  <c r="C132" i="53" s="1"/>
  <c r="D142" i="53"/>
  <c r="C130" i="53" l="1"/>
  <c r="D112" i="53"/>
  <c r="D114" i="53" s="1"/>
  <c r="E114" i="53" s="1"/>
  <c r="B112" i="53"/>
  <c r="E18" i="53"/>
  <c r="E112" i="53" s="1"/>
  <c r="D115" i="53"/>
  <c r="E115" i="53" s="1"/>
  <c r="B115" i="53"/>
  <c r="B130" i="53"/>
  <c r="B135" i="53" s="1"/>
  <c r="E120" i="53"/>
  <c r="E128" i="53"/>
  <c r="E132" i="53"/>
  <c r="E133" i="53" s="1"/>
  <c r="C133" i="53"/>
  <c r="C135" i="53" s="1"/>
  <c r="G31" i="27"/>
  <c r="E130" i="53" l="1"/>
  <c r="E135" i="53" s="1"/>
  <c r="D130" i="53"/>
  <c r="D135" i="53" s="1"/>
  <c r="A91" i="21"/>
  <c r="L24" i="23"/>
  <c r="J24" i="23"/>
  <c r="D61" i="20"/>
  <c r="I17" i="22"/>
  <c r="H17" i="22"/>
  <c r="G17" i="22"/>
  <c r="J17" i="22"/>
  <c r="D43" i="20"/>
  <c r="J124" i="21"/>
  <c r="J125" i="21"/>
  <c r="J144" i="21"/>
  <c r="G144" i="21"/>
  <c r="M52" i="21"/>
  <c r="M51" i="21"/>
  <c r="M50" i="21"/>
  <c r="G70" i="21"/>
  <c r="H8" i="10"/>
  <c r="D19" i="2" l="1"/>
  <c r="I41" i="37" l="1"/>
  <c r="L19" i="7" l="1"/>
  <c r="L14" i="7"/>
  <c r="H19" i="7"/>
  <c r="L12" i="7"/>
  <c r="U9" i="6"/>
  <c r="J13" i="26" l="1"/>
  <c r="G13" i="26"/>
  <c r="D13" i="26"/>
  <c r="L16" i="16" l="1"/>
  <c r="O13" i="42" l="1"/>
  <c r="O11" i="42"/>
  <c r="D22" i="38"/>
  <c r="D19" i="38"/>
  <c r="E35" i="37"/>
  <c r="H60" i="27"/>
  <c r="G45" i="19" l="1"/>
  <c r="I38" i="12" l="1"/>
  <c r="H38" i="12"/>
  <c r="I37" i="12"/>
  <c r="H37" i="12"/>
  <c r="G70" i="24" l="1"/>
  <c r="L70" i="24"/>
  <c r="C41" i="28" l="1"/>
  <c r="D39" i="12" l="1"/>
  <c r="D20" i="2" l="1"/>
  <c r="B20" i="2"/>
  <c r="R45" i="24" l="1"/>
  <c r="R69" i="24"/>
  <c r="R34" i="24"/>
  <c r="R53" i="24"/>
  <c r="R15" i="24"/>
  <c r="U26" i="15"/>
  <c r="U12" i="15"/>
  <c r="J69" i="24"/>
  <c r="J34" i="24"/>
  <c r="J45" i="24"/>
  <c r="J53" i="24"/>
  <c r="J15" i="24"/>
  <c r="J70" i="24" s="1"/>
  <c r="P23" i="33" l="1"/>
  <c r="P18" i="33"/>
  <c r="M23" i="33"/>
  <c r="D23" i="33"/>
  <c r="J11" i="33"/>
  <c r="U11" i="33" s="1"/>
  <c r="R23" i="33"/>
  <c r="Q23" i="33"/>
  <c r="R11" i="33"/>
  <c r="Q11" i="33"/>
  <c r="P11" i="33"/>
  <c r="U9" i="33"/>
  <c r="H8" i="51" l="1"/>
  <c r="I8" i="51"/>
  <c r="H9" i="51"/>
  <c r="I9" i="51"/>
  <c r="B10" i="51"/>
  <c r="C10" i="51"/>
  <c r="D10" i="51"/>
  <c r="E10" i="51"/>
  <c r="F10" i="51"/>
  <c r="G10" i="51"/>
  <c r="H10" i="51"/>
  <c r="I10" i="51"/>
  <c r="H11" i="51"/>
  <c r="I11" i="51"/>
  <c r="H12" i="51"/>
  <c r="I12" i="51"/>
  <c r="H13" i="51"/>
  <c r="I13" i="51"/>
  <c r="B14" i="51"/>
  <c r="C14" i="51"/>
  <c r="D14" i="51"/>
  <c r="E14" i="51"/>
  <c r="E37" i="51" s="1"/>
  <c r="E43" i="51" s="1"/>
  <c r="F14" i="51"/>
  <c r="G14" i="51"/>
  <c r="H14" i="51"/>
  <c r="I14" i="51"/>
  <c r="I37" i="51" s="1"/>
  <c r="I43" i="51" s="1"/>
  <c r="I16" i="51"/>
  <c r="I17" i="51"/>
  <c r="I18" i="51"/>
  <c r="I19" i="51"/>
  <c r="I20" i="51"/>
  <c r="I21" i="51"/>
  <c r="I22" i="51"/>
  <c r="I23" i="51"/>
  <c r="I24" i="51"/>
  <c r="I25" i="51"/>
  <c r="I26" i="51"/>
  <c r="I27" i="51"/>
  <c r="I28" i="51"/>
  <c r="I29" i="51"/>
  <c r="I30" i="51"/>
  <c r="I31" i="51"/>
  <c r="I32" i="51"/>
  <c r="I33" i="51"/>
  <c r="I34" i="51"/>
  <c r="I35" i="51"/>
  <c r="I36" i="51"/>
  <c r="C37" i="51"/>
  <c r="G37" i="51"/>
  <c r="I38" i="51"/>
  <c r="I39" i="51"/>
  <c r="I40" i="51"/>
  <c r="I41" i="51"/>
  <c r="I42" i="51"/>
  <c r="B43" i="51"/>
  <c r="C43" i="51"/>
  <c r="D43" i="51"/>
  <c r="F43" i="51"/>
  <c r="G43" i="51"/>
  <c r="H43" i="51"/>
  <c r="H45" i="51"/>
  <c r="I47" i="51"/>
  <c r="I48" i="51"/>
  <c r="E12" i="50"/>
  <c r="E13" i="50"/>
  <c r="E14" i="50"/>
  <c r="E15" i="50"/>
  <c r="E16" i="50"/>
  <c r="E17" i="50"/>
  <c r="B18" i="50"/>
  <c r="C18" i="50"/>
  <c r="D18" i="50"/>
  <c r="J9" i="49"/>
  <c r="J10" i="49" s="1"/>
  <c r="K9" i="49"/>
  <c r="L9" i="49"/>
  <c r="B10" i="49"/>
  <c r="C10" i="49"/>
  <c r="C14" i="49" s="1"/>
  <c r="C19" i="49" s="1"/>
  <c r="D10" i="49"/>
  <c r="E10" i="49"/>
  <c r="F10" i="49"/>
  <c r="G10" i="49"/>
  <c r="H10" i="49"/>
  <c r="I10" i="49"/>
  <c r="K10" i="49"/>
  <c r="L11" i="49"/>
  <c r="D12" i="49"/>
  <c r="H12" i="49"/>
  <c r="L12" i="49" s="1"/>
  <c r="K13" i="49"/>
  <c r="F14" i="49"/>
  <c r="H14" i="49"/>
  <c r="K14" i="49"/>
  <c r="K17" i="49"/>
  <c r="K18" i="49"/>
  <c r="F19" i="49"/>
  <c r="H19" i="49"/>
  <c r="K19" i="49"/>
  <c r="S9" i="48"/>
  <c r="T9" i="48"/>
  <c r="U9" i="48"/>
  <c r="B10" i="48"/>
  <c r="C10" i="48"/>
  <c r="D10" i="48"/>
  <c r="E10" i="48"/>
  <c r="F10" i="48"/>
  <c r="G10" i="48"/>
  <c r="H10" i="48"/>
  <c r="I10" i="48"/>
  <c r="J10" i="48"/>
  <c r="K10" i="48"/>
  <c r="L10" i="48"/>
  <c r="M10" i="48"/>
  <c r="N10" i="48"/>
  <c r="O10" i="48"/>
  <c r="P10" i="48"/>
  <c r="Q10" i="48"/>
  <c r="R10" i="48"/>
  <c r="S10" i="48"/>
  <c r="T10" i="48"/>
  <c r="U10" i="48"/>
  <c r="T11" i="48"/>
  <c r="C12" i="48"/>
  <c r="F12" i="48"/>
  <c r="I12" i="48"/>
  <c r="L12" i="48"/>
  <c r="O12" i="48"/>
  <c r="T12" i="48"/>
  <c r="T15" i="48"/>
  <c r="T16" i="48"/>
  <c r="C17" i="48"/>
  <c r="F17" i="48"/>
  <c r="I17" i="48"/>
  <c r="L17" i="48"/>
  <c r="O17" i="48"/>
  <c r="T17" i="48"/>
  <c r="M10" i="47"/>
  <c r="N10" i="47"/>
  <c r="M11" i="47"/>
  <c r="N11" i="47"/>
  <c r="N14" i="47" s="1"/>
  <c r="M12" i="47"/>
  <c r="N12" i="47"/>
  <c r="C14" i="47"/>
  <c r="D14" i="47"/>
  <c r="E14" i="47"/>
  <c r="F14" i="47"/>
  <c r="G14" i="47"/>
  <c r="H14" i="47"/>
  <c r="I14" i="47"/>
  <c r="J14" i="47"/>
  <c r="K14" i="47"/>
  <c r="L14" i="47"/>
  <c r="M14" i="47"/>
  <c r="M16" i="47"/>
  <c r="N16" i="47"/>
  <c r="M17" i="47"/>
  <c r="N17" i="47"/>
  <c r="M18" i="47"/>
  <c r="N18" i="47"/>
  <c r="N22" i="47" s="1"/>
  <c r="M19" i="47"/>
  <c r="N19" i="47"/>
  <c r="M20" i="47"/>
  <c r="N20" i="47"/>
  <c r="M21" i="47"/>
  <c r="N21" i="47"/>
  <c r="C22" i="47"/>
  <c r="C33" i="47" s="1"/>
  <c r="D22" i="47"/>
  <c r="E22" i="47"/>
  <c r="F22" i="47"/>
  <c r="F33" i="47" s="1"/>
  <c r="G22" i="47"/>
  <c r="G33" i="47" s="1"/>
  <c r="H22" i="47"/>
  <c r="I22" i="47"/>
  <c r="J22" i="47"/>
  <c r="J33" i="47" s="1"/>
  <c r="K22" i="47"/>
  <c r="K33" i="47" s="1"/>
  <c r="L22" i="47"/>
  <c r="M24" i="47"/>
  <c r="N24" i="47"/>
  <c r="N32" i="47" s="1"/>
  <c r="M25" i="47"/>
  <c r="N25" i="47"/>
  <c r="M26" i="47"/>
  <c r="N26" i="47"/>
  <c r="M27" i="47"/>
  <c r="N27" i="47"/>
  <c r="C32" i="47"/>
  <c r="D32" i="47"/>
  <c r="E32" i="47"/>
  <c r="F32" i="47"/>
  <c r="G32" i="47"/>
  <c r="H32" i="47"/>
  <c r="I32" i="47"/>
  <c r="I33" i="47" s="1"/>
  <c r="J32" i="47"/>
  <c r="K32" i="47"/>
  <c r="L32" i="47"/>
  <c r="M32" i="47"/>
  <c r="G8" i="46"/>
  <c r="H8" i="46"/>
  <c r="I8" i="46"/>
  <c r="J8" i="46"/>
  <c r="C9" i="46"/>
  <c r="D9" i="46"/>
  <c r="E9" i="46"/>
  <c r="F9" i="46"/>
  <c r="G9" i="46"/>
  <c r="H9" i="46"/>
  <c r="I9" i="46"/>
  <c r="J9" i="46"/>
  <c r="K9" i="45"/>
  <c r="L9" i="45"/>
  <c r="M9" i="45"/>
  <c r="B10" i="45"/>
  <c r="C10" i="45"/>
  <c r="D10" i="45"/>
  <c r="D12" i="45" s="1"/>
  <c r="E10" i="45"/>
  <c r="F10" i="45"/>
  <c r="F14" i="45" s="1"/>
  <c r="G10" i="45"/>
  <c r="H10" i="45"/>
  <c r="I10" i="45"/>
  <c r="J10" i="45"/>
  <c r="J12" i="45" s="1"/>
  <c r="M12" i="45" s="1"/>
  <c r="J26" i="45" s="1"/>
  <c r="K10" i="45"/>
  <c r="L10" i="45"/>
  <c r="M10" i="45"/>
  <c r="M11" i="45"/>
  <c r="J25" i="45" s="1"/>
  <c r="G12" i="45"/>
  <c r="L13" i="45"/>
  <c r="C14" i="45"/>
  <c r="I14" i="45"/>
  <c r="L17" i="45"/>
  <c r="I31" i="45" s="1"/>
  <c r="L18" i="45"/>
  <c r="C19" i="45"/>
  <c r="I19" i="45"/>
  <c r="A23" i="45"/>
  <c r="H23" i="45"/>
  <c r="I23" i="45"/>
  <c r="I24" i="45" s="1"/>
  <c r="J23" i="45"/>
  <c r="B24" i="45"/>
  <c r="C24" i="45"/>
  <c r="D24" i="45"/>
  <c r="E24" i="45"/>
  <c r="F24" i="45"/>
  <c r="F28" i="45" s="1"/>
  <c r="F33" i="45" s="1"/>
  <c r="G24" i="45"/>
  <c r="H24" i="45"/>
  <c r="J24" i="45"/>
  <c r="D26" i="45"/>
  <c r="G26" i="45"/>
  <c r="I27" i="45"/>
  <c r="C28" i="45"/>
  <c r="C33" i="45" s="1"/>
  <c r="I29" i="45"/>
  <c r="I30" i="45"/>
  <c r="I32" i="45"/>
  <c r="B13" i="44"/>
  <c r="B17" i="44" s="1"/>
  <c r="B19" i="44" s="1"/>
  <c r="B25" i="44" s="1"/>
  <c r="B28" i="44" s="1"/>
  <c r="C13" i="44"/>
  <c r="D13" i="44"/>
  <c r="C17" i="44"/>
  <c r="C19" i="44" s="1"/>
  <c r="D17" i="44"/>
  <c r="D19" i="44"/>
  <c r="D25" i="44" s="1"/>
  <c r="B23" i="44"/>
  <c r="C23" i="44"/>
  <c r="C24" i="44" s="1"/>
  <c r="D23" i="44"/>
  <c r="B24" i="44"/>
  <c r="D24" i="44"/>
  <c r="E18" i="50" l="1"/>
  <c r="E33" i="47"/>
  <c r="L33" i="47"/>
  <c r="H33" i="47"/>
  <c r="D33" i="47"/>
  <c r="M22" i="47"/>
  <c r="M33" i="47" s="1"/>
  <c r="N33" i="47"/>
  <c r="L10" i="49"/>
  <c r="L14" i="45"/>
  <c r="I28" i="45" s="1"/>
  <c r="F19" i="45"/>
  <c r="L19" i="45" s="1"/>
  <c r="I33" i="45" s="1"/>
  <c r="D28" i="44"/>
  <c r="D27" i="44"/>
  <c r="C25" i="44"/>
  <c r="C28" i="44" s="1"/>
  <c r="H8" i="43"/>
  <c r="I8" i="43"/>
  <c r="H9" i="43"/>
  <c r="I9" i="43"/>
  <c r="B10" i="43"/>
  <c r="C10" i="43"/>
  <c r="D10" i="43"/>
  <c r="E10" i="43"/>
  <c r="F10" i="43"/>
  <c r="G10" i="43"/>
  <c r="H10" i="43"/>
  <c r="I10" i="43"/>
  <c r="H11" i="43"/>
  <c r="I11" i="43"/>
  <c r="H12" i="43"/>
  <c r="I12" i="43"/>
  <c r="H13" i="43"/>
  <c r="I13" i="43"/>
  <c r="B14" i="43"/>
  <c r="C14" i="43"/>
  <c r="D14" i="43"/>
  <c r="E14" i="43"/>
  <c r="E37" i="43" s="1"/>
  <c r="E44" i="43" s="1"/>
  <c r="F14" i="43"/>
  <c r="G14" i="43"/>
  <c r="G37" i="43" s="1"/>
  <c r="G44" i="43" s="1"/>
  <c r="H14" i="43"/>
  <c r="I14" i="43"/>
  <c r="I16" i="43"/>
  <c r="I17" i="43"/>
  <c r="I18" i="43"/>
  <c r="I19" i="43"/>
  <c r="I20" i="43"/>
  <c r="I21" i="43"/>
  <c r="I22" i="43"/>
  <c r="I23" i="43"/>
  <c r="I24" i="43"/>
  <c r="I25" i="43"/>
  <c r="I26" i="43"/>
  <c r="I27" i="43"/>
  <c r="I28" i="43"/>
  <c r="I29" i="43"/>
  <c r="I30" i="43"/>
  <c r="I31" i="43"/>
  <c r="I32" i="43"/>
  <c r="I33" i="43"/>
  <c r="I34" i="43"/>
  <c r="I35" i="43"/>
  <c r="I36" i="43"/>
  <c r="C37" i="43"/>
  <c r="I38" i="43"/>
  <c r="I39" i="43"/>
  <c r="I40" i="43"/>
  <c r="I42" i="43"/>
  <c r="I43" i="43"/>
  <c r="B44" i="43"/>
  <c r="C44" i="43"/>
  <c r="D44" i="43"/>
  <c r="F44" i="43"/>
  <c r="H44" i="43"/>
  <c r="H46" i="43"/>
  <c r="I48" i="43"/>
  <c r="I49" i="43"/>
  <c r="M9" i="42"/>
  <c r="M11" i="42" s="1"/>
  <c r="M13" i="42" s="1"/>
  <c r="N9" i="42"/>
  <c r="O9" i="42"/>
  <c r="M10" i="42"/>
  <c r="N10" i="42"/>
  <c r="O10" i="42"/>
  <c r="B11" i="42"/>
  <c r="C11" i="42"/>
  <c r="D11" i="42"/>
  <c r="E11" i="42"/>
  <c r="F11" i="42"/>
  <c r="F13" i="42" s="1"/>
  <c r="F18" i="42" s="1"/>
  <c r="G11" i="42"/>
  <c r="H11" i="42"/>
  <c r="H13" i="42" s="1"/>
  <c r="I11" i="42"/>
  <c r="J11" i="42"/>
  <c r="J13" i="42" s="1"/>
  <c r="K11" i="42"/>
  <c r="L11" i="42"/>
  <c r="L13" i="42" s="1"/>
  <c r="N11" i="42"/>
  <c r="N13" i="42" s="1"/>
  <c r="O12" i="42"/>
  <c r="E13" i="42"/>
  <c r="G13" i="42"/>
  <c r="I13" i="42"/>
  <c r="K13" i="42"/>
  <c r="N14" i="42"/>
  <c r="C15" i="42"/>
  <c r="I15" i="42"/>
  <c r="N15" i="42"/>
  <c r="N20" i="42" s="1"/>
  <c r="N18" i="42"/>
  <c r="N19" i="42"/>
  <c r="C20" i="42"/>
  <c r="I20" i="42"/>
  <c r="K20" i="42"/>
  <c r="S9" i="41"/>
  <c r="S11" i="41" s="1"/>
  <c r="T9" i="41"/>
  <c r="U9" i="41"/>
  <c r="U11" i="41" s="1"/>
  <c r="S10" i="41"/>
  <c r="T10" i="41"/>
  <c r="U10" i="41"/>
  <c r="B11" i="41"/>
  <c r="C11" i="41"/>
  <c r="D11" i="41"/>
  <c r="E11" i="41"/>
  <c r="F11" i="41"/>
  <c r="G11" i="41"/>
  <c r="H11" i="41"/>
  <c r="I11" i="41"/>
  <c r="J11" i="41"/>
  <c r="K11" i="41"/>
  <c r="L11" i="41"/>
  <c r="M11" i="41"/>
  <c r="N11" i="41"/>
  <c r="O11" i="41"/>
  <c r="P11" i="41"/>
  <c r="Q11" i="41"/>
  <c r="R11" i="41"/>
  <c r="T11" i="41"/>
  <c r="T12" i="41"/>
  <c r="C13" i="41"/>
  <c r="F13" i="41"/>
  <c r="I13" i="41"/>
  <c r="L13" i="41"/>
  <c r="O13" i="41"/>
  <c r="T13" i="41"/>
  <c r="T16" i="41"/>
  <c r="T17" i="41"/>
  <c r="C18" i="41"/>
  <c r="F18" i="41"/>
  <c r="I18" i="41"/>
  <c r="L18" i="41"/>
  <c r="O18" i="41"/>
  <c r="T18" i="41"/>
  <c r="M10" i="40"/>
  <c r="N10" i="40"/>
  <c r="M11" i="40"/>
  <c r="N11" i="40"/>
  <c r="M12" i="40"/>
  <c r="N12" i="40"/>
  <c r="C14" i="40"/>
  <c r="D14" i="40"/>
  <c r="E14" i="40"/>
  <c r="F14" i="40"/>
  <c r="G14" i="40"/>
  <c r="H14" i="40"/>
  <c r="I14" i="40"/>
  <c r="J14" i="40"/>
  <c r="K14" i="40"/>
  <c r="L14" i="40"/>
  <c r="M14" i="40"/>
  <c r="N14" i="40"/>
  <c r="M16" i="40"/>
  <c r="N16" i="40"/>
  <c r="N22" i="40" s="1"/>
  <c r="M17" i="40"/>
  <c r="N17" i="40"/>
  <c r="M18" i="40"/>
  <c r="N18" i="40"/>
  <c r="M19" i="40"/>
  <c r="N19" i="40"/>
  <c r="M20" i="40"/>
  <c r="N20" i="40"/>
  <c r="M21" i="40"/>
  <c r="N21" i="40"/>
  <c r="C22" i="40"/>
  <c r="D22" i="40"/>
  <c r="E22" i="40"/>
  <c r="F22" i="40"/>
  <c r="G22" i="40"/>
  <c r="H22" i="40"/>
  <c r="I22" i="40"/>
  <c r="J22" i="40"/>
  <c r="K22" i="40"/>
  <c r="L22" i="40"/>
  <c r="M22" i="40"/>
  <c r="M24" i="40"/>
  <c r="N24" i="40"/>
  <c r="M25" i="40"/>
  <c r="N25" i="40"/>
  <c r="M26" i="40"/>
  <c r="M32" i="40" s="1"/>
  <c r="N26" i="40"/>
  <c r="M27" i="40"/>
  <c r="N27" i="40"/>
  <c r="C32" i="40"/>
  <c r="D32" i="40"/>
  <c r="E32" i="40"/>
  <c r="F32" i="40"/>
  <c r="F33" i="40" s="1"/>
  <c r="G32" i="40"/>
  <c r="G33" i="40" s="1"/>
  <c r="H32" i="40"/>
  <c r="I32" i="40"/>
  <c r="J32" i="40"/>
  <c r="K32" i="40"/>
  <c r="L32" i="40"/>
  <c r="N32" i="40"/>
  <c r="C33" i="40"/>
  <c r="D33" i="40"/>
  <c r="E33" i="40"/>
  <c r="K33" i="40"/>
  <c r="K9" i="39"/>
  <c r="K11" i="39" s="1"/>
  <c r="L9" i="39"/>
  <c r="M9" i="39"/>
  <c r="K10" i="39"/>
  <c r="L10" i="39"/>
  <c r="M10" i="39"/>
  <c r="B11" i="39"/>
  <c r="C11" i="39"/>
  <c r="D11" i="39"/>
  <c r="D13" i="39" s="1"/>
  <c r="E11" i="39"/>
  <c r="F11" i="39"/>
  <c r="F15" i="39" s="1"/>
  <c r="G11" i="39"/>
  <c r="H11" i="39"/>
  <c r="I11" i="39"/>
  <c r="J11" i="39"/>
  <c r="J13" i="39" s="1"/>
  <c r="M13" i="39" s="1"/>
  <c r="J28" i="39" s="1"/>
  <c r="L11" i="39"/>
  <c r="M12" i="39"/>
  <c r="J27" i="39" s="1"/>
  <c r="G13" i="39"/>
  <c r="L14" i="39"/>
  <c r="C15" i="39"/>
  <c r="I15" i="39"/>
  <c r="L18" i="39"/>
  <c r="I33" i="39" s="1"/>
  <c r="L19" i="39"/>
  <c r="C20" i="39"/>
  <c r="I20" i="39"/>
  <c r="A24" i="39"/>
  <c r="I24" i="39"/>
  <c r="I26" i="39" s="1"/>
  <c r="A25" i="39"/>
  <c r="H25" i="39"/>
  <c r="I25" i="39"/>
  <c r="J25" i="39"/>
  <c r="B26" i="39"/>
  <c r="C26" i="39"/>
  <c r="D26" i="39"/>
  <c r="E26" i="39"/>
  <c r="F26" i="39"/>
  <c r="F30" i="39" s="1"/>
  <c r="F35" i="39" s="1"/>
  <c r="G26" i="39"/>
  <c r="D28" i="39"/>
  <c r="G28" i="39"/>
  <c r="I29" i="39"/>
  <c r="C30" i="39"/>
  <c r="C35" i="39" s="1"/>
  <c r="I31" i="39"/>
  <c r="I32" i="39"/>
  <c r="I34" i="39"/>
  <c r="B12" i="38"/>
  <c r="B16" i="38" s="1"/>
  <c r="B21" i="38" s="1"/>
  <c r="B22" i="38" s="1"/>
  <c r="B24" i="38" s="1"/>
  <c r="B25" i="38" s="1"/>
  <c r="C12" i="38"/>
  <c r="D12" i="38"/>
  <c r="C16" i="38"/>
  <c r="C21" i="38" s="1"/>
  <c r="C22" i="38" s="1"/>
  <c r="C24" i="38" s="1"/>
  <c r="C25" i="38" s="1"/>
  <c r="D16" i="38"/>
  <c r="D21" i="38" s="1"/>
  <c r="I33" i="40" l="1"/>
  <c r="L33" i="40"/>
  <c r="N33" i="40"/>
  <c r="J33" i="40"/>
  <c r="M33" i="40"/>
  <c r="H33" i="40"/>
  <c r="I37" i="43"/>
  <c r="I44" i="43" s="1"/>
  <c r="M11" i="39"/>
  <c r="D25" i="38"/>
  <c r="D24" i="38"/>
  <c r="L15" i="39"/>
  <c r="I30" i="39" s="1"/>
  <c r="F20" i="39"/>
  <c r="L20" i="39" s="1"/>
  <c r="I35" i="39" s="1"/>
  <c r="J24" i="39"/>
  <c r="J26" i="39" s="1"/>
  <c r="H24" i="39"/>
  <c r="H26" i="39" s="1"/>
  <c r="D13" i="42"/>
  <c r="H8" i="37"/>
  <c r="I8" i="37"/>
  <c r="H9" i="37"/>
  <c r="I9" i="37"/>
  <c r="B10" i="37"/>
  <c r="C10" i="37"/>
  <c r="D10" i="37"/>
  <c r="E10" i="37"/>
  <c r="F10" i="37"/>
  <c r="G10" i="37"/>
  <c r="H10" i="37"/>
  <c r="I10" i="37"/>
  <c r="H11" i="37"/>
  <c r="I11" i="37"/>
  <c r="H12" i="37"/>
  <c r="I12" i="37"/>
  <c r="H13" i="37"/>
  <c r="I13" i="37"/>
  <c r="B14" i="37"/>
  <c r="C14" i="37"/>
  <c r="D14" i="37"/>
  <c r="E14" i="37"/>
  <c r="E37" i="37" s="1"/>
  <c r="E44" i="37" s="1"/>
  <c r="E46" i="37" s="1"/>
  <c r="F14" i="37"/>
  <c r="G14" i="37"/>
  <c r="H14" i="37"/>
  <c r="I14" i="37"/>
  <c r="I16" i="37"/>
  <c r="I17" i="37"/>
  <c r="I18" i="37"/>
  <c r="I19" i="37"/>
  <c r="I20" i="37"/>
  <c r="I21" i="37"/>
  <c r="I22" i="37"/>
  <c r="I23" i="37"/>
  <c r="I24" i="37"/>
  <c r="I25" i="37"/>
  <c r="I26" i="37"/>
  <c r="I27" i="37"/>
  <c r="I28" i="37"/>
  <c r="I29" i="37"/>
  <c r="I30" i="37"/>
  <c r="I31" i="37"/>
  <c r="I32" i="37"/>
  <c r="I33" i="37"/>
  <c r="I34" i="37"/>
  <c r="I35" i="37"/>
  <c r="I36" i="37"/>
  <c r="C37" i="37"/>
  <c r="G37" i="37"/>
  <c r="I38" i="37"/>
  <c r="I39" i="37"/>
  <c r="I40" i="37"/>
  <c r="I42" i="37"/>
  <c r="I43" i="37"/>
  <c r="B44" i="37"/>
  <c r="C44" i="37"/>
  <c r="D44" i="37"/>
  <c r="F44" i="37"/>
  <c r="G44" i="37"/>
  <c r="G46" i="37" s="1"/>
  <c r="H44" i="37"/>
  <c r="H48" i="37"/>
  <c r="I50" i="37"/>
  <c r="I51" i="37"/>
  <c r="B19" i="36"/>
  <c r="C19" i="36"/>
  <c r="D19" i="36"/>
  <c r="E19" i="36"/>
  <c r="F19" i="36"/>
  <c r="G19" i="36"/>
  <c r="H19" i="36"/>
  <c r="I19" i="36"/>
  <c r="J19" i="36"/>
  <c r="K19" i="36"/>
  <c r="L19" i="36"/>
  <c r="M19" i="36"/>
  <c r="K26" i="36"/>
  <c r="K35" i="36" s="1"/>
  <c r="K27" i="36"/>
  <c r="K28" i="36"/>
  <c r="K29" i="36"/>
  <c r="K30" i="36"/>
  <c r="K31" i="36"/>
  <c r="K32" i="36"/>
  <c r="K33" i="36"/>
  <c r="K34" i="36"/>
  <c r="B35" i="36"/>
  <c r="C35" i="36"/>
  <c r="D35" i="36"/>
  <c r="E35" i="36"/>
  <c r="F35" i="36"/>
  <c r="G35" i="36"/>
  <c r="H35" i="36"/>
  <c r="I35" i="36"/>
  <c r="J35" i="36"/>
  <c r="K9" i="35"/>
  <c r="L9" i="35"/>
  <c r="M9" i="35"/>
  <c r="K10" i="35"/>
  <c r="K12" i="35" s="1"/>
  <c r="L10" i="35"/>
  <c r="M10" i="35"/>
  <c r="K11" i="35"/>
  <c r="L11" i="35"/>
  <c r="M11" i="35"/>
  <c r="B12" i="35"/>
  <c r="C12" i="35"/>
  <c r="D12" i="35"/>
  <c r="E12" i="35"/>
  <c r="F12" i="35"/>
  <c r="G12" i="35"/>
  <c r="H12" i="35"/>
  <c r="I12" i="35"/>
  <c r="J12" i="35"/>
  <c r="L12" i="35"/>
  <c r="K16" i="35"/>
  <c r="L16" i="35"/>
  <c r="M16" i="35"/>
  <c r="K17" i="35"/>
  <c r="L17" i="35"/>
  <c r="L19" i="35" s="1"/>
  <c r="M17" i="35"/>
  <c r="K18" i="35"/>
  <c r="L18" i="35"/>
  <c r="M18" i="35"/>
  <c r="B19" i="35"/>
  <c r="C19" i="35"/>
  <c r="D19" i="35"/>
  <c r="E19" i="35"/>
  <c r="F19" i="35"/>
  <c r="G19" i="35"/>
  <c r="H19" i="35"/>
  <c r="I19" i="35"/>
  <c r="J19" i="35"/>
  <c r="K19" i="35"/>
  <c r="A9" i="34"/>
  <c r="J9" i="34"/>
  <c r="K9" i="34"/>
  <c r="L9" i="34"/>
  <c r="A10" i="34"/>
  <c r="J10" i="34"/>
  <c r="K10" i="34"/>
  <c r="L10" i="34"/>
  <c r="A11" i="34"/>
  <c r="J11" i="34"/>
  <c r="K11" i="34"/>
  <c r="L11" i="34"/>
  <c r="A12" i="34"/>
  <c r="J12" i="34"/>
  <c r="K12" i="34"/>
  <c r="L12" i="34"/>
  <c r="A13" i="34"/>
  <c r="J13" i="34"/>
  <c r="K13" i="34"/>
  <c r="A14" i="34"/>
  <c r="J14" i="34"/>
  <c r="K14" i="34"/>
  <c r="A15" i="34"/>
  <c r="J15" i="34"/>
  <c r="K15" i="34"/>
  <c r="A16" i="34"/>
  <c r="J16" i="34"/>
  <c r="K16" i="34"/>
  <c r="A17" i="34"/>
  <c r="J17" i="34"/>
  <c r="K17" i="34"/>
  <c r="L17" i="34"/>
  <c r="A18" i="34"/>
  <c r="L18" i="34"/>
  <c r="J18" i="34"/>
  <c r="K18" i="34"/>
  <c r="A19" i="34"/>
  <c r="J19" i="34"/>
  <c r="K19" i="34"/>
  <c r="L19" i="34"/>
  <c r="A20" i="34"/>
  <c r="J20" i="34"/>
  <c r="K20" i="34"/>
  <c r="L20" i="34"/>
  <c r="A21" i="34"/>
  <c r="J21" i="34"/>
  <c r="K21" i="34"/>
  <c r="L21" i="34"/>
  <c r="A22" i="34"/>
  <c r="J22" i="34"/>
  <c r="K22" i="34"/>
  <c r="A23" i="34"/>
  <c r="J23" i="34"/>
  <c r="K23" i="34"/>
  <c r="A24" i="34"/>
  <c r="J24" i="34"/>
  <c r="K24" i="34"/>
  <c r="L24" i="34"/>
  <c r="A25" i="34"/>
  <c r="J25" i="34"/>
  <c r="K25" i="34"/>
  <c r="L25" i="34"/>
  <c r="H26" i="34"/>
  <c r="L26" i="34"/>
  <c r="J26" i="34"/>
  <c r="K26" i="34"/>
  <c r="B27" i="34"/>
  <c r="C27" i="34"/>
  <c r="D27" i="34"/>
  <c r="E27" i="34"/>
  <c r="F27" i="34"/>
  <c r="G27" i="34"/>
  <c r="H27" i="34"/>
  <c r="H31" i="34" s="1"/>
  <c r="H36" i="34" s="1"/>
  <c r="J27" i="34"/>
  <c r="L28" i="34"/>
  <c r="D29" i="34"/>
  <c r="K30" i="34"/>
  <c r="C31" i="34"/>
  <c r="F31" i="34"/>
  <c r="K34" i="34"/>
  <c r="K35" i="34"/>
  <c r="C36" i="34"/>
  <c r="F36" i="34"/>
  <c r="S9" i="33"/>
  <c r="T9" i="33"/>
  <c r="S10" i="33"/>
  <c r="S23" i="33" s="1"/>
  <c r="T10" i="33"/>
  <c r="U10" i="33"/>
  <c r="S11" i="33"/>
  <c r="T11" i="33"/>
  <c r="S12" i="33"/>
  <c r="T12" i="33"/>
  <c r="S13" i="33"/>
  <c r="T13" i="33"/>
  <c r="S14" i="33"/>
  <c r="T14" i="33"/>
  <c r="J15" i="33"/>
  <c r="Q15" i="33"/>
  <c r="U15" i="33" s="1"/>
  <c r="S15" i="33"/>
  <c r="T15" i="33"/>
  <c r="S16" i="33"/>
  <c r="T16" i="33"/>
  <c r="U16" i="33"/>
  <c r="S17" i="33"/>
  <c r="T17" i="33"/>
  <c r="U17" i="33"/>
  <c r="Q18" i="33"/>
  <c r="U18" i="33" s="1"/>
  <c r="S18" i="33"/>
  <c r="T18" i="33"/>
  <c r="S19" i="33"/>
  <c r="T19" i="33"/>
  <c r="S20" i="33"/>
  <c r="T20" i="33"/>
  <c r="U20" i="33"/>
  <c r="S21" i="33"/>
  <c r="T21" i="33"/>
  <c r="U21" i="33"/>
  <c r="J22" i="33"/>
  <c r="Q22" i="33"/>
  <c r="U22" i="33" s="1"/>
  <c r="S22" i="33"/>
  <c r="T22" i="33"/>
  <c r="B23" i="33"/>
  <c r="C23" i="33"/>
  <c r="E23" i="33"/>
  <c r="F23" i="33"/>
  <c r="G23" i="33"/>
  <c r="H23" i="33"/>
  <c r="I23" i="33"/>
  <c r="K23" i="33"/>
  <c r="L23" i="33"/>
  <c r="N23" i="33"/>
  <c r="O23" i="33"/>
  <c r="T23" i="33"/>
  <c r="T24" i="33"/>
  <c r="C25" i="33"/>
  <c r="F25" i="33"/>
  <c r="I25" i="33"/>
  <c r="L25" i="33"/>
  <c r="O25" i="33"/>
  <c r="T25" i="33"/>
  <c r="T28" i="33"/>
  <c r="T29" i="33"/>
  <c r="C30" i="33"/>
  <c r="F30" i="33"/>
  <c r="I30" i="33"/>
  <c r="L30" i="33"/>
  <c r="O30" i="33"/>
  <c r="T30" i="33"/>
  <c r="M10" i="32"/>
  <c r="N10" i="32"/>
  <c r="M11" i="32"/>
  <c r="M14" i="32" s="1"/>
  <c r="N11" i="32"/>
  <c r="M12" i="32"/>
  <c r="N12" i="32"/>
  <c r="C14" i="32"/>
  <c r="D14" i="32"/>
  <c r="E14" i="32"/>
  <c r="F14" i="32"/>
  <c r="G14" i="32"/>
  <c r="H14" i="32"/>
  <c r="I14" i="32"/>
  <c r="J14" i="32"/>
  <c r="K14" i="32"/>
  <c r="L14" i="32"/>
  <c r="N14" i="32"/>
  <c r="J16" i="32"/>
  <c r="M16" i="32"/>
  <c r="N16" i="32"/>
  <c r="L17" i="32"/>
  <c r="M17" i="32"/>
  <c r="N17" i="32"/>
  <c r="M18" i="32"/>
  <c r="N18" i="32"/>
  <c r="M19" i="32"/>
  <c r="N19" i="32"/>
  <c r="N22" i="32" s="1"/>
  <c r="M20" i="32"/>
  <c r="N20" i="32"/>
  <c r="M21" i="32"/>
  <c r="N21" i="32"/>
  <c r="C22" i="32"/>
  <c r="D22" i="32"/>
  <c r="E22" i="32"/>
  <c r="F22" i="32"/>
  <c r="F33" i="32" s="1"/>
  <c r="G22" i="32"/>
  <c r="H22" i="32"/>
  <c r="I22" i="32"/>
  <c r="J22" i="32"/>
  <c r="K22" i="32"/>
  <c r="L22" i="32"/>
  <c r="M24" i="32"/>
  <c r="N24" i="32"/>
  <c r="M25" i="32"/>
  <c r="N25" i="32"/>
  <c r="M26" i="32"/>
  <c r="N26" i="32"/>
  <c r="N32" i="32" s="1"/>
  <c r="M27" i="32"/>
  <c r="N27" i="32"/>
  <c r="C32" i="32"/>
  <c r="D32" i="32"/>
  <c r="D33" i="32" s="1"/>
  <c r="E32" i="32"/>
  <c r="E33" i="32" s="1"/>
  <c r="F32" i="32"/>
  <c r="G32" i="32"/>
  <c r="H32" i="32"/>
  <c r="I32" i="32"/>
  <c r="I33" i="32" s="1"/>
  <c r="J32" i="32"/>
  <c r="K32" i="32"/>
  <c r="L32" i="32"/>
  <c r="M32" i="32"/>
  <c r="H33" i="32"/>
  <c r="J33" i="32"/>
  <c r="L33" i="32"/>
  <c r="G9" i="31"/>
  <c r="H9" i="31"/>
  <c r="I9" i="31"/>
  <c r="J9" i="31"/>
  <c r="G10" i="31"/>
  <c r="H10" i="31"/>
  <c r="I10" i="31"/>
  <c r="J10" i="31"/>
  <c r="G11" i="31"/>
  <c r="H11" i="31"/>
  <c r="I11" i="31"/>
  <c r="J11" i="31"/>
  <c r="G12" i="31"/>
  <c r="H12" i="31"/>
  <c r="I12" i="31"/>
  <c r="J12" i="31"/>
  <c r="G13" i="31"/>
  <c r="H13" i="31"/>
  <c r="I13" i="31"/>
  <c r="J13" i="31"/>
  <c r="G14" i="31"/>
  <c r="H14" i="31"/>
  <c r="I14" i="31"/>
  <c r="J14" i="31"/>
  <c r="G15" i="31"/>
  <c r="H15" i="31"/>
  <c r="I15" i="31"/>
  <c r="J15" i="31"/>
  <c r="C16" i="31"/>
  <c r="D16" i="31"/>
  <c r="E16" i="31"/>
  <c r="F16" i="31"/>
  <c r="G16" i="31"/>
  <c r="H16" i="31"/>
  <c r="I16" i="31"/>
  <c r="J16" i="31"/>
  <c r="G20" i="31"/>
  <c r="H20" i="31"/>
  <c r="I20" i="31"/>
  <c r="J20" i="31"/>
  <c r="G21" i="31"/>
  <c r="H21" i="31"/>
  <c r="I21" i="31"/>
  <c r="J21" i="31"/>
  <c r="G22" i="31"/>
  <c r="H22" i="31"/>
  <c r="I22" i="31"/>
  <c r="J22" i="31"/>
  <c r="C23" i="31"/>
  <c r="D23" i="31"/>
  <c r="E23" i="31"/>
  <c r="F23" i="31"/>
  <c r="G23" i="31"/>
  <c r="H23" i="31"/>
  <c r="I23" i="31"/>
  <c r="J23" i="31"/>
  <c r="K9" i="30"/>
  <c r="L9" i="30"/>
  <c r="M9" i="30"/>
  <c r="K10" i="30"/>
  <c r="L10" i="30"/>
  <c r="M10" i="30"/>
  <c r="K11" i="30"/>
  <c r="L11" i="30"/>
  <c r="M11" i="30"/>
  <c r="K12" i="30"/>
  <c r="H45" i="30" s="1"/>
  <c r="L12" i="30"/>
  <c r="M12" i="30"/>
  <c r="J45" i="30" s="1"/>
  <c r="K13" i="30"/>
  <c r="L13" i="30"/>
  <c r="K14" i="30"/>
  <c r="H47" i="30" s="1"/>
  <c r="L14" i="30"/>
  <c r="K15" i="30"/>
  <c r="L15" i="30"/>
  <c r="K16" i="30"/>
  <c r="H49" i="30" s="1"/>
  <c r="L16" i="30"/>
  <c r="K17" i="30"/>
  <c r="L17" i="30"/>
  <c r="M17" i="30"/>
  <c r="K18" i="30"/>
  <c r="H51" i="30" s="1"/>
  <c r="L18" i="30"/>
  <c r="I51" i="30" s="1"/>
  <c r="M18" i="30"/>
  <c r="J51" i="30" s="1"/>
  <c r="K19" i="30"/>
  <c r="L19" i="30"/>
  <c r="M19" i="30"/>
  <c r="K20" i="30"/>
  <c r="H53" i="30" s="1"/>
  <c r="L20" i="30"/>
  <c r="I53" i="30" s="1"/>
  <c r="M20" i="30"/>
  <c r="J53" i="30" s="1"/>
  <c r="K21" i="30"/>
  <c r="L21" i="30"/>
  <c r="M21" i="30"/>
  <c r="K22" i="30"/>
  <c r="H55" i="30" s="1"/>
  <c r="L22" i="30"/>
  <c r="M22" i="30"/>
  <c r="J55" i="30" s="1"/>
  <c r="K23" i="30"/>
  <c r="L23" i="30"/>
  <c r="M23" i="30"/>
  <c r="K24" i="30"/>
  <c r="H57" i="30" s="1"/>
  <c r="L24" i="30"/>
  <c r="K25" i="30"/>
  <c r="L25" i="30"/>
  <c r="K26" i="30"/>
  <c r="H59" i="30" s="1"/>
  <c r="L26" i="30"/>
  <c r="M26" i="30"/>
  <c r="J59" i="30" s="1"/>
  <c r="K27" i="30"/>
  <c r="L27" i="30"/>
  <c r="M27" i="30"/>
  <c r="B28" i="30"/>
  <c r="C28" i="30"/>
  <c r="C33" i="30" s="1"/>
  <c r="C38" i="30" s="1"/>
  <c r="D28" i="30"/>
  <c r="D31" i="30" s="1"/>
  <c r="E28" i="30"/>
  <c r="F28" i="30"/>
  <c r="F33" i="30" s="1"/>
  <c r="G28" i="30"/>
  <c r="G31" i="30" s="1"/>
  <c r="H28" i="30"/>
  <c r="I28" i="30"/>
  <c r="I33" i="30" s="1"/>
  <c r="I38" i="30" s="1"/>
  <c r="J28" i="30"/>
  <c r="J31" i="30" s="1"/>
  <c r="M29" i="30"/>
  <c r="J62" i="30" s="1"/>
  <c r="L32" i="30"/>
  <c r="L36" i="30"/>
  <c r="I68" i="30" s="1"/>
  <c r="L37" i="30"/>
  <c r="A42" i="30"/>
  <c r="H42" i="30"/>
  <c r="I42" i="30"/>
  <c r="J42" i="30"/>
  <c r="A43" i="30"/>
  <c r="I43" i="30"/>
  <c r="A44" i="30"/>
  <c r="H44" i="30"/>
  <c r="I44" i="30"/>
  <c r="J44" i="30"/>
  <c r="A45" i="30"/>
  <c r="I45" i="30"/>
  <c r="A46" i="30"/>
  <c r="H46" i="30"/>
  <c r="I46" i="30"/>
  <c r="A47" i="30"/>
  <c r="I47" i="30"/>
  <c r="A48" i="30"/>
  <c r="H48" i="30"/>
  <c r="I48" i="30"/>
  <c r="A49" i="30"/>
  <c r="I49" i="30"/>
  <c r="A50" i="30"/>
  <c r="H50" i="30"/>
  <c r="I50" i="30"/>
  <c r="J50" i="30"/>
  <c r="A51" i="30"/>
  <c r="A52" i="30"/>
  <c r="H52" i="30"/>
  <c r="I52" i="30"/>
  <c r="J52" i="30"/>
  <c r="A53" i="30"/>
  <c r="A54" i="30"/>
  <c r="H54" i="30"/>
  <c r="I54" i="30"/>
  <c r="J54" i="30"/>
  <c r="A55" i="30"/>
  <c r="I55" i="30"/>
  <c r="A56" i="30"/>
  <c r="H56" i="30"/>
  <c r="I56" i="30"/>
  <c r="J56" i="30"/>
  <c r="A57" i="30"/>
  <c r="I57" i="30"/>
  <c r="A58" i="30"/>
  <c r="H58" i="30"/>
  <c r="I58" i="30"/>
  <c r="A59" i="30"/>
  <c r="I59" i="30"/>
  <c r="A60" i="30"/>
  <c r="H60" i="30"/>
  <c r="I60" i="30"/>
  <c r="J60" i="30"/>
  <c r="B61" i="30"/>
  <c r="C61" i="30"/>
  <c r="D61" i="30"/>
  <c r="E61" i="30"/>
  <c r="F61" i="30"/>
  <c r="F65" i="30" s="1"/>
  <c r="F70" i="30" s="1"/>
  <c r="G61" i="30"/>
  <c r="D63" i="30"/>
  <c r="G63" i="30"/>
  <c r="I64" i="30"/>
  <c r="C65" i="30"/>
  <c r="C70" i="30" s="1"/>
  <c r="I66" i="30"/>
  <c r="I67" i="30"/>
  <c r="I69" i="30"/>
  <c r="B13" i="29"/>
  <c r="B17" i="29" s="1"/>
  <c r="B23" i="29" s="1"/>
  <c r="C13" i="29"/>
  <c r="D13" i="29"/>
  <c r="C17" i="29"/>
  <c r="C23" i="29" s="1"/>
  <c r="C40" i="29" s="1"/>
  <c r="D17" i="29"/>
  <c r="B21" i="29"/>
  <c r="B22" i="29" s="1"/>
  <c r="C21" i="29"/>
  <c r="D21" i="29"/>
  <c r="D22" i="29" s="1"/>
  <c r="D23" i="29" s="1"/>
  <c r="C22" i="29"/>
  <c r="B33" i="29"/>
  <c r="C33" i="29"/>
  <c r="D33" i="29"/>
  <c r="B38" i="29"/>
  <c r="B39" i="29" s="1"/>
  <c r="C38" i="29"/>
  <c r="D38" i="29"/>
  <c r="D39" i="29" s="1"/>
  <c r="C39" i="29"/>
  <c r="N33" i="32" l="1"/>
  <c r="M22" i="32"/>
  <c r="K33" i="32"/>
  <c r="G33" i="32"/>
  <c r="C33" i="32"/>
  <c r="M33" i="32"/>
  <c r="L28" i="30"/>
  <c r="I61" i="30"/>
  <c r="M31" i="30"/>
  <c r="J63" i="30" s="1"/>
  <c r="M28" i="30"/>
  <c r="K28" i="30"/>
  <c r="I37" i="37"/>
  <c r="I44" i="37" s="1"/>
  <c r="M19" i="35"/>
  <c r="M12" i="35"/>
  <c r="K27" i="34"/>
  <c r="K31" i="34" s="1"/>
  <c r="K36" i="34" s="1"/>
  <c r="B40" i="29"/>
  <c r="L33" i="30"/>
  <c r="I65" i="30" s="1"/>
  <c r="F38" i="30"/>
  <c r="L38" i="30" s="1"/>
  <c r="I70" i="30" s="1"/>
  <c r="D40" i="29"/>
  <c r="C43" i="29"/>
  <c r="C42" i="29"/>
  <c r="J43" i="30"/>
  <c r="J61" i="30" s="1"/>
  <c r="H43" i="30"/>
  <c r="H61" i="30" s="1"/>
  <c r="I27" i="34"/>
  <c r="L27" i="34" s="1"/>
  <c r="L29" i="34" s="1"/>
  <c r="H8" i="28"/>
  <c r="I8" i="28"/>
  <c r="H9" i="28"/>
  <c r="I9" i="28"/>
  <c r="B10" i="28"/>
  <c r="C10" i="28"/>
  <c r="D10" i="28"/>
  <c r="E10" i="28"/>
  <c r="F10" i="28"/>
  <c r="G10" i="28"/>
  <c r="H10" i="28"/>
  <c r="I10" i="28"/>
  <c r="H11" i="28"/>
  <c r="I11" i="28"/>
  <c r="H12" i="28"/>
  <c r="I12" i="28"/>
  <c r="H13" i="28"/>
  <c r="I13" i="28"/>
  <c r="B14" i="28"/>
  <c r="C14" i="28"/>
  <c r="D14" i="28"/>
  <c r="E14" i="28"/>
  <c r="F14" i="28"/>
  <c r="G14" i="28"/>
  <c r="H14" i="28"/>
  <c r="I14" i="28"/>
  <c r="C37" i="28"/>
  <c r="I38" i="28"/>
  <c r="I39" i="28"/>
  <c r="I40" i="28"/>
  <c r="I41" i="28"/>
  <c r="I43" i="28"/>
  <c r="B44" i="28"/>
  <c r="D44" i="28"/>
  <c r="F44" i="28"/>
  <c r="H44" i="28"/>
  <c r="H48" i="28"/>
  <c r="I50" i="28"/>
  <c r="I51" i="28"/>
  <c r="B17" i="27"/>
  <c r="D17" i="27"/>
  <c r="F17" i="27"/>
  <c r="H17" i="27"/>
  <c r="J17" i="27"/>
  <c r="L17" i="27"/>
  <c r="N17" i="27"/>
  <c r="B31" i="27"/>
  <c r="D31" i="27"/>
  <c r="F31" i="27"/>
  <c r="H31" i="27"/>
  <c r="J31" i="27"/>
  <c r="L31" i="27"/>
  <c r="N31" i="27"/>
  <c r="B45" i="27"/>
  <c r="D45" i="27"/>
  <c r="F45" i="27"/>
  <c r="H45" i="27"/>
  <c r="J45" i="27"/>
  <c r="L45" i="27"/>
  <c r="N45" i="27"/>
  <c r="B60" i="27"/>
  <c r="D60" i="27"/>
  <c r="F60" i="27"/>
  <c r="J60" i="27"/>
  <c r="L60" i="27"/>
  <c r="N60" i="27"/>
  <c r="B74" i="27"/>
  <c r="D74" i="27"/>
  <c r="F74" i="27"/>
  <c r="H74" i="27"/>
  <c r="K9" i="26"/>
  <c r="L9" i="26"/>
  <c r="M9" i="26"/>
  <c r="K10" i="26"/>
  <c r="L10" i="26"/>
  <c r="M10" i="26"/>
  <c r="K11" i="26"/>
  <c r="L11" i="26"/>
  <c r="M11" i="26"/>
  <c r="D12" i="26"/>
  <c r="G12" i="26"/>
  <c r="K12" i="26"/>
  <c r="L12" i="26"/>
  <c r="M12" i="26"/>
  <c r="K13" i="26"/>
  <c r="L13" i="26"/>
  <c r="M13" i="26"/>
  <c r="B14" i="26"/>
  <c r="C14" i="26"/>
  <c r="D14" i="26"/>
  <c r="E14" i="26"/>
  <c r="F14" i="26"/>
  <c r="G14" i="26"/>
  <c r="H14" i="26"/>
  <c r="I14" i="26"/>
  <c r="J14" i="26"/>
  <c r="K14" i="26"/>
  <c r="L14" i="26"/>
  <c r="M14" i="26"/>
  <c r="D18" i="26"/>
  <c r="G18" i="26" s="1"/>
  <c r="D19" i="26"/>
  <c r="G19" i="26"/>
  <c r="J19" i="26" s="1"/>
  <c r="D20" i="26"/>
  <c r="G20" i="26" s="1"/>
  <c r="J20" i="26" s="1"/>
  <c r="M20" i="26" s="1"/>
  <c r="K20" i="26"/>
  <c r="L20" i="26"/>
  <c r="L22" i="26" s="1"/>
  <c r="J21" i="26"/>
  <c r="M21" i="26" s="1"/>
  <c r="K21" i="26"/>
  <c r="L21" i="26"/>
  <c r="B22" i="26"/>
  <c r="C22" i="26"/>
  <c r="E22" i="26"/>
  <c r="F22" i="26"/>
  <c r="H22" i="26"/>
  <c r="I22" i="26"/>
  <c r="K22" i="26"/>
  <c r="D8" i="25"/>
  <c r="L8" i="25" s="1"/>
  <c r="D9" i="25"/>
  <c r="L9" i="25" s="1"/>
  <c r="D11" i="25"/>
  <c r="I11" i="25"/>
  <c r="D12" i="25"/>
  <c r="L12" i="25" s="1"/>
  <c r="D13" i="25"/>
  <c r="H13" i="25"/>
  <c r="D22" i="25"/>
  <c r="L22" i="25" s="1"/>
  <c r="D23" i="25"/>
  <c r="L23" i="25" s="1"/>
  <c r="D25" i="25"/>
  <c r="L25" i="25" s="1"/>
  <c r="D28" i="25"/>
  <c r="L28" i="25" s="1"/>
  <c r="D29" i="25"/>
  <c r="L29" i="25" s="1"/>
  <c r="D33" i="25"/>
  <c r="L33" i="25" s="1"/>
  <c r="D34" i="25"/>
  <c r="L34" i="25" s="1"/>
  <c r="D35" i="25"/>
  <c r="L35" i="25" s="1"/>
  <c r="D36" i="25"/>
  <c r="L36" i="25" s="1"/>
  <c r="D37" i="25"/>
  <c r="H37" i="25"/>
  <c r="I37" i="25"/>
  <c r="D38" i="25"/>
  <c r="L38" i="25" s="1"/>
  <c r="D39" i="25"/>
  <c r="L39" i="25" s="1"/>
  <c r="D41" i="25"/>
  <c r="L41" i="25" s="1"/>
  <c r="D42" i="25"/>
  <c r="L42" i="25" s="1"/>
  <c r="L43" i="25"/>
  <c r="D44" i="25"/>
  <c r="L44" i="25" s="1"/>
  <c r="D45" i="25"/>
  <c r="L45" i="25" s="1"/>
  <c r="D46" i="25"/>
  <c r="L46" i="25" s="1"/>
  <c r="D47" i="25"/>
  <c r="L47" i="25" s="1"/>
  <c r="D48" i="25"/>
  <c r="L48" i="25" s="1"/>
  <c r="D49" i="25"/>
  <c r="L49" i="25" s="1"/>
  <c r="D50" i="25"/>
  <c r="H50" i="25"/>
  <c r="I50" i="25"/>
  <c r="D55" i="25"/>
  <c r="L55" i="25" s="1"/>
  <c r="D56" i="25"/>
  <c r="L56" i="25" s="1"/>
  <c r="D57" i="25"/>
  <c r="L57" i="25" s="1"/>
  <c r="D58" i="25"/>
  <c r="L58" i="25" s="1"/>
  <c r="D59" i="25"/>
  <c r="L59" i="25" s="1"/>
  <c r="L60" i="25"/>
  <c r="L61" i="25"/>
  <c r="L62" i="25"/>
  <c r="L63" i="25"/>
  <c r="L64" i="25"/>
  <c r="L65" i="25"/>
  <c r="I66" i="25"/>
  <c r="L66" i="25" s="1"/>
  <c r="L67" i="25"/>
  <c r="L68" i="25"/>
  <c r="L69" i="25"/>
  <c r="L70" i="25"/>
  <c r="L71" i="25"/>
  <c r="L72" i="25"/>
  <c r="B74" i="25"/>
  <c r="C74" i="25"/>
  <c r="E74" i="25"/>
  <c r="F74" i="25"/>
  <c r="G74" i="25"/>
  <c r="L74" i="25" s="1"/>
  <c r="I74" i="25"/>
  <c r="J74" i="25"/>
  <c r="K74" i="25"/>
  <c r="D75" i="25"/>
  <c r="L75" i="25" s="1"/>
  <c r="K77" i="25"/>
  <c r="C78" i="25"/>
  <c r="C83" i="25" s="1"/>
  <c r="F78" i="25"/>
  <c r="F83" i="25" s="1"/>
  <c r="K81" i="25"/>
  <c r="K82" i="25"/>
  <c r="H83" i="25"/>
  <c r="U9" i="24"/>
  <c r="U10" i="24"/>
  <c r="P11" i="24"/>
  <c r="U13" i="24"/>
  <c r="U14" i="24"/>
  <c r="M15" i="24"/>
  <c r="P15" i="24"/>
  <c r="Q15" i="24"/>
  <c r="U21" i="24"/>
  <c r="P22" i="24"/>
  <c r="U24" i="24"/>
  <c r="M26" i="24"/>
  <c r="M29" i="24"/>
  <c r="U29" i="24" s="1"/>
  <c r="U30" i="24"/>
  <c r="P31" i="24"/>
  <c r="U33" i="24"/>
  <c r="Q34" i="24"/>
  <c r="U34" i="24"/>
  <c r="U35" i="24"/>
  <c r="U36" i="24"/>
  <c r="U37" i="24"/>
  <c r="U38" i="24"/>
  <c r="U39" i="24"/>
  <c r="U40" i="24"/>
  <c r="M41" i="24"/>
  <c r="U41" i="24" s="1"/>
  <c r="M42" i="24"/>
  <c r="U42" i="24" s="1"/>
  <c r="U43" i="24"/>
  <c r="U44" i="24"/>
  <c r="P45" i="24"/>
  <c r="Q45" i="24"/>
  <c r="M47" i="24"/>
  <c r="U47" i="24"/>
  <c r="U48" i="24"/>
  <c r="U49" i="24"/>
  <c r="U50" i="24"/>
  <c r="U51" i="24"/>
  <c r="U52" i="24"/>
  <c r="U53" i="24"/>
  <c r="U54" i="24"/>
  <c r="U55" i="24"/>
  <c r="U56" i="24"/>
  <c r="U57" i="24"/>
  <c r="U58" i="24"/>
  <c r="U59" i="24"/>
  <c r="U60" i="24"/>
  <c r="U61" i="24"/>
  <c r="U62" i="24"/>
  <c r="U63" i="24"/>
  <c r="U64" i="24"/>
  <c r="U65" i="24"/>
  <c r="U66" i="24"/>
  <c r="U67" i="24"/>
  <c r="U68" i="24"/>
  <c r="Q69" i="24"/>
  <c r="U69" i="24" s="1"/>
  <c r="B70" i="24"/>
  <c r="C70" i="24"/>
  <c r="E70" i="24"/>
  <c r="F70" i="24"/>
  <c r="H70" i="24"/>
  <c r="I70" i="24"/>
  <c r="K70" i="24"/>
  <c r="N70" i="24"/>
  <c r="O70" i="24"/>
  <c r="R70" i="24"/>
  <c r="S70" i="24"/>
  <c r="T70" i="24"/>
  <c r="T72" i="24" s="1"/>
  <c r="T77" i="24" s="1"/>
  <c r="T71" i="24"/>
  <c r="C72" i="24"/>
  <c r="F72" i="24"/>
  <c r="I72" i="24"/>
  <c r="L72" i="24"/>
  <c r="O72" i="24"/>
  <c r="T75" i="24"/>
  <c r="T76" i="24"/>
  <c r="C77" i="24"/>
  <c r="F77" i="24"/>
  <c r="I77" i="24"/>
  <c r="L77" i="24"/>
  <c r="O77" i="24"/>
  <c r="H10" i="23"/>
  <c r="H14" i="23" s="1"/>
  <c r="M10" i="23"/>
  <c r="M14" i="23" s="1"/>
  <c r="H11" i="23"/>
  <c r="M11" i="23"/>
  <c r="N11" i="23"/>
  <c r="H12" i="23"/>
  <c r="M12" i="23"/>
  <c r="N12" i="23"/>
  <c r="H13" i="23"/>
  <c r="C14" i="23"/>
  <c r="D14" i="23"/>
  <c r="E14" i="23"/>
  <c r="F14" i="23"/>
  <c r="G14" i="23"/>
  <c r="I14" i="23"/>
  <c r="I33" i="23" s="1"/>
  <c r="J14" i="23"/>
  <c r="K14" i="23"/>
  <c r="L14" i="23"/>
  <c r="H16" i="23"/>
  <c r="J16" i="23"/>
  <c r="L16" i="23"/>
  <c r="M16" i="23"/>
  <c r="H17" i="23"/>
  <c r="J17" i="23"/>
  <c r="L17" i="23"/>
  <c r="M17" i="23"/>
  <c r="F18" i="23"/>
  <c r="H18" i="23" s="1"/>
  <c r="N18" i="23" s="1"/>
  <c r="L18" i="23"/>
  <c r="M18" i="23"/>
  <c r="F19" i="23"/>
  <c r="H19" i="23" s="1"/>
  <c r="J19" i="23"/>
  <c r="J22" i="23" s="1"/>
  <c r="M19" i="23"/>
  <c r="H20" i="23"/>
  <c r="M20" i="23"/>
  <c r="N20" i="23"/>
  <c r="H21" i="23"/>
  <c r="M21" i="23"/>
  <c r="N21" i="23"/>
  <c r="C22" i="23"/>
  <c r="D22" i="23"/>
  <c r="E22" i="23"/>
  <c r="G22" i="23"/>
  <c r="I22" i="23"/>
  <c r="K22" i="23"/>
  <c r="M22" i="23"/>
  <c r="M24" i="23"/>
  <c r="H25" i="23"/>
  <c r="M25" i="23"/>
  <c r="N25" i="23"/>
  <c r="J26" i="23"/>
  <c r="L26" i="23"/>
  <c r="M26" i="23"/>
  <c r="F27" i="23"/>
  <c r="H27" i="23" s="1"/>
  <c r="J27" i="23"/>
  <c r="M27" i="23"/>
  <c r="H28" i="23"/>
  <c r="N28" i="23" s="1"/>
  <c r="H29" i="23"/>
  <c r="H30" i="23"/>
  <c r="F31" i="23"/>
  <c r="H31" i="23" s="1"/>
  <c r="L31" i="23"/>
  <c r="C32" i="23"/>
  <c r="C33" i="23" s="1"/>
  <c r="D32" i="23"/>
  <c r="D33" i="23" s="1"/>
  <c r="E32" i="23"/>
  <c r="E33" i="23" s="1"/>
  <c r="G32" i="23"/>
  <c r="I32" i="23"/>
  <c r="K32" i="23"/>
  <c r="K33" i="23" s="1"/>
  <c r="M32" i="23"/>
  <c r="G33" i="23"/>
  <c r="F8" i="22"/>
  <c r="G8" i="22"/>
  <c r="H8" i="22"/>
  <c r="H23" i="22" s="1"/>
  <c r="I8" i="22"/>
  <c r="J8" i="22"/>
  <c r="F9" i="22"/>
  <c r="G9" i="22"/>
  <c r="H9" i="22"/>
  <c r="I9" i="22"/>
  <c r="J9" i="22"/>
  <c r="F10" i="22"/>
  <c r="G10" i="22"/>
  <c r="H10" i="22"/>
  <c r="I10" i="22"/>
  <c r="J10" i="22"/>
  <c r="F11" i="22"/>
  <c r="G11" i="22"/>
  <c r="H11" i="22"/>
  <c r="I11" i="22"/>
  <c r="J11" i="22"/>
  <c r="F12" i="22"/>
  <c r="G12" i="22"/>
  <c r="H12" i="22"/>
  <c r="I12" i="22"/>
  <c r="J12" i="22"/>
  <c r="F13" i="22"/>
  <c r="G13" i="22"/>
  <c r="H13" i="22"/>
  <c r="I13" i="22"/>
  <c r="J13" i="22"/>
  <c r="F14" i="22"/>
  <c r="G14" i="22"/>
  <c r="H14" i="22"/>
  <c r="I14" i="22"/>
  <c r="J14" i="22"/>
  <c r="F15" i="22"/>
  <c r="G15" i="22"/>
  <c r="H15" i="22"/>
  <c r="I15" i="22"/>
  <c r="J15" i="22"/>
  <c r="F16" i="22"/>
  <c r="G16" i="22"/>
  <c r="H16" i="22"/>
  <c r="I16" i="22"/>
  <c r="J16" i="22"/>
  <c r="G35" i="22"/>
  <c r="H35" i="22"/>
  <c r="I35" i="22"/>
  <c r="J35" i="22"/>
  <c r="F18" i="22"/>
  <c r="G18" i="22"/>
  <c r="H18" i="22"/>
  <c r="I18" i="22"/>
  <c r="J18" i="22"/>
  <c r="F19" i="22"/>
  <c r="J19" i="22" s="1"/>
  <c r="G19" i="22"/>
  <c r="H19" i="22"/>
  <c r="I19" i="22"/>
  <c r="F20" i="22"/>
  <c r="G20" i="22"/>
  <c r="H20" i="22"/>
  <c r="I20" i="22"/>
  <c r="J20" i="22"/>
  <c r="F21" i="22"/>
  <c r="J21" i="22" s="1"/>
  <c r="G21" i="22"/>
  <c r="H21" i="22"/>
  <c r="I21" i="22"/>
  <c r="F22" i="22"/>
  <c r="G22" i="22"/>
  <c r="H22" i="22"/>
  <c r="I22" i="22"/>
  <c r="J22" i="22"/>
  <c r="C23" i="22"/>
  <c r="D23" i="22"/>
  <c r="E23" i="22"/>
  <c r="F27" i="22"/>
  <c r="G27" i="22"/>
  <c r="H27" i="22"/>
  <c r="I27" i="22"/>
  <c r="J27" i="22"/>
  <c r="F28" i="22"/>
  <c r="G28" i="22"/>
  <c r="H28" i="22"/>
  <c r="I28" i="22"/>
  <c r="J28" i="22"/>
  <c r="F29" i="22"/>
  <c r="G29" i="22"/>
  <c r="H29" i="22"/>
  <c r="I29" i="22"/>
  <c r="J29" i="22"/>
  <c r="F30" i="22"/>
  <c r="G30" i="22"/>
  <c r="H30" i="22"/>
  <c r="I30" i="22"/>
  <c r="J30" i="22"/>
  <c r="F31" i="22"/>
  <c r="G31" i="22"/>
  <c r="H31" i="22"/>
  <c r="I31" i="22"/>
  <c r="J31" i="22"/>
  <c r="F32" i="22"/>
  <c r="G32" i="22"/>
  <c r="H32" i="22"/>
  <c r="I32" i="22"/>
  <c r="J32" i="22"/>
  <c r="F33" i="22"/>
  <c r="G33" i="22"/>
  <c r="H33" i="22"/>
  <c r="I33" i="22"/>
  <c r="J33" i="22"/>
  <c r="F34" i="22"/>
  <c r="G34" i="22"/>
  <c r="H34" i="22"/>
  <c r="I34" i="22"/>
  <c r="J34" i="22"/>
  <c r="F36" i="22"/>
  <c r="G36" i="22"/>
  <c r="H36" i="22"/>
  <c r="I36" i="22"/>
  <c r="J36" i="22"/>
  <c r="F37" i="22"/>
  <c r="G37" i="22"/>
  <c r="H37" i="22"/>
  <c r="I37" i="22"/>
  <c r="J37" i="22"/>
  <c r="F38" i="22"/>
  <c r="G38" i="22"/>
  <c r="H38" i="22"/>
  <c r="I38" i="22"/>
  <c r="J38" i="22"/>
  <c r="F39" i="22"/>
  <c r="G39" i="22"/>
  <c r="H39" i="22"/>
  <c r="I39" i="22"/>
  <c r="J39" i="22"/>
  <c r="F40" i="22"/>
  <c r="G40" i="22"/>
  <c r="H40" i="22"/>
  <c r="I40" i="22"/>
  <c r="J40" i="22"/>
  <c r="E72" i="27" s="1"/>
  <c r="F41" i="22"/>
  <c r="J41" i="22" s="1"/>
  <c r="G41" i="22"/>
  <c r="H41" i="22"/>
  <c r="I41" i="22"/>
  <c r="F42" i="22"/>
  <c r="G42" i="22"/>
  <c r="H42" i="22"/>
  <c r="I42" i="22"/>
  <c r="I43" i="22" s="1"/>
  <c r="J42" i="22"/>
  <c r="C43" i="22"/>
  <c r="D43" i="22"/>
  <c r="E43" i="22"/>
  <c r="K9" i="21"/>
  <c r="H83" i="21" s="1"/>
  <c r="L9" i="21"/>
  <c r="M9" i="21"/>
  <c r="M10" i="21"/>
  <c r="M11" i="21"/>
  <c r="J85" i="21" s="1"/>
  <c r="M13" i="21"/>
  <c r="J87" i="21" s="1"/>
  <c r="M14" i="21"/>
  <c r="J88" i="21" s="1"/>
  <c r="M15" i="21"/>
  <c r="J89" i="21" s="1"/>
  <c r="M25" i="21"/>
  <c r="J99" i="21" s="1"/>
  <c r="M26" i="21"/>
  <c r="M27" i="21"/>
  <c r="J101" i="21" s="1"/>
  <c r="M28" i="21"/>
  <c r="J102" i="21" s="1"/>
  <c r="M29" i="21"/>
  <c r="M30" i="21"/>
  <c r="M31" i="21"/>
  <c r="M32" i="21"/>
  <c r="M37" i="21"/>
  <c r="J111" i="21" s="1"/>
  <c r="M38" i="21"/>
  <c r="J112" i="21" s="1"/>
  <c r="M39" i="21"/>
  <c r="J113" i="21" s="1"/>
  <c r="M41" i="21"/>
  <c r="J115" i="21" s="1"/>
  <c r="M42" i="21"/>
  <c r="M43" i="21"/>
  <c r="J117" i="21" s="1"/>
  <c r="M44" i="21"/>
  <c r="J118" i="21" s="1"/>
  <c r="M45" i="21"/>
  <c r="J119" i="21" s="1"/>
  <c r="M47" i="21"/>
  <c r="M48" i="21"/>
  <c r="J122" i="21" s="1"/>
  <c r="J126" i="21"/>
  <c r="M53" i="21"/>
  <c r="M54" i="21"/>
  <c r="J128" i="21" s="1"/>
  <c r="M55" i="21"/>
  <c r="J129" i="21" s="1"/>
  <c r="M56" i="21"/>
  <c r="J130" i="21" s="1"/>
  <c r="M57" i="21"/>
  <c r="J131" i="21" s="1"/>
  <c r="M58" i="21"/>
  <c r="M59" i="21"/>
  <c r="J133" i="21" s="1"/>
  <c r="M60" i="21"/>
  <c r="M65" i="21"/>
  <c r="J139" i="21" s="1"/>
  <c r="M66" i="21"/>
  <c r="J140" i="21" s="1"/>
  <c r="M67" i="21"/>
  <c r="M68" i="21"/>
  <c r="J142" i="21" s="1"/>
  <c r="M69" i="21"/>
  <c r="J143" i="21" s="1"/>
  <c r="B70" i="21"/>
  <c r="C70" i="21"/>
  <c r="C74" i="21" s="1"/>
  <c r="C79" i="21" s="1"/>
  <c r="D70" i="21"/>
  <c r="D72" i="21" s="1"/>
  <c r="E70" i="21"/>
  <c r="F70" i="21"/>
  <c r="F74" i="21" s="1"/>
  <c r="F79" i="21" s="1"/>
  <c r="G72" i="21"/>
  <c r="H70" i="21"/>
  <c r="I70" i="21"/>
  <c r="I74" i="21" s="1"/>
  <c r="J70" i="21"/>
  <c r="M71" i="21"/>
  <c r="L73" i="21"/>
  <c r="L77" i="21"/>
  <c r="I151" i="21" s="1"/>
  <c r="L78" i="21"/>
  <c r="I152" i="21" s="1"/>
  <c r="A83" i="21"/>
  <c r="I83" i="21"/>
  <c r="A84" i="21"/>
  <c r="A85" i="21"/>
  <c r="A86" i="21"/>
  <c r="A87" i="21"/>
  <c r="A88" i="21"/>
  <c r="A89" i="21"/>
  <c r="A90" i="21"/>
  <c r="A92" i="21"/>
  <c r="A93" i="21"/>
  <c r="A94" i="21"/>
  <c r="A95" i="21"/>
  <c r="A96" i="21"/>
  <c r="A97" i="21"/>
  <c r="A98" i="21"/>
  <c r="A100" i="21"/>
  <c r="J100" i="21"/>
  <c r="A101" i="21"/>
  <c r="J103" i="21"/>
  <c r="A104" i="21"/>
  <c r="J104" i="21"/>
  <c r="A105" i="21"/>
  <c r="J105" i="21"/>
  <c r="A106" i="21"/>
  <c r="J106" i="21"/>
  <c r="A107" i="21"/>
  <c r="A108" i="21"/>
  <c r="A109" i="21"/>
  <c r="A110" i="21"/>
  <c r="A111" i="21"/>
  <c r="A112" i="21"/>
  <c r="A113" i="21"/>
  <c r="A114" i="21"/>
  <c r="A115" i="21"/>
  <c r="A116" i="21"/>
  <c r="J116" i="21"/>
  <c r="A118" i="21"/>
  <c r="A119" i="21"/>
  <c r="A120" i="21"/>
  <c r="A121" i="21"/>
  <c r="J121" i="21"/>
  <c r="A122" i="21"/>
  <c r="A126" i="21"/>
  <c r="A127" i="21"/>
  <c r="J127" i="21"/>
  <c r="A128" i="21"/>
  <c r="A129" i="21"/>
  <c r="A130" i="21"/>
  <c r="A132" i="21"/>
  <c r="J132" i="21"/>
  <c r="A133" i="21"/>
  <c r="A134" i="21"/>
  <c r="J134" i="21"/>
  <c r="A135" i="21"/>
  <c r="A136" i="21"/>
  <c r="A137" i="21"/>
  <c r="A138" i="21"/>
  <c r="A139" i="21"/>
  <c r="A140" i="21"/>
  <c r="A141" i="21"/>
  <c r="J141" i="21"/>
  <c r="A142" i="21"/>
  <c r="A143" i="21"/>
  <c r="H143" i="21"/>
  <c r="I143" i="21"/>
  <c r="B144" i="21"/>
  <c r="C144" i="21"/>
  <c r="C148" i="21" s="1"/>
  <c r="C153" i="21" s="1"/>
  <c r="D144" i="21"/>
  <c r="D146" i="21" s="1"/>
  <c r="E144" i="21"/>
  <c r="F144" i="21"/>
  <c r="F148" i="21" s="1"/>
  <c r="G146" i="21"/>
  <c r="I147" i="21"/>
  <c r="I149" i="21"/>
  <c r="I150" i="21"/>
  <c r="B15" i="20"/>
  <c r="B19" i="20" s="1"/>
  <c r="C15" i="20"/>
  <c r="C19" i="20" s="1"/>
  <c r="D15" i="20"/>
  <c r="D19" i="20"/>
  <c r="B23" i="20"/>
  <c r="B24" i="20" s="1"/>
  <c r="C23" i="20"/>
  <c r="D23" i="20"/>
  <c r="D24" i="20" s="1"/>
  <c r="D25" i="20" s="1"/>
  <c r="C24" i="20"/>
  <c r="B43" i="20"/>
  <c r="C43" i="20"/>
  <c r="B61" i="20"/>
  <c r="C61" i="20"/>
  <c r="M33" i="23" l="1"/>
  <c r="N10" i="23"/>
  <c r="N14" i="23" s="1"/>
  <c r="U70" i="24"/>
  <c r="H43" i="22"/>
  <c r="D22" i="26"/>
  <c r="K78" i="25"/>
  <c r="K83" i="25" s="1"/>
  <c r="C25" i="20"/>
  <c r="G43" i="22"/>
  <c r="I23" i="22"/>
  <c r="G23" i="22"/>
  <c r="J23" i="22"/>
  <c r="F23" i="22"/>
  <c r="L22" i="23"/>
  <c r="C62" i="20"/>
  <c r="C63" i="20" s="1"/>
  <c r="N27" i="23"/>
  <c r="L32" i="23"/>
  <c r="J43" i="22"/>
  <c r="F43" i="22"/>
  <c r="J32" i="23"/>
  <c r="J33" i="23" s="1"/>
  <c r="N19" i="23"/>
  <c r="L73" i="25"/>
  <c r="I144" i="21"/>
  <c r="J83" i="21"/>
  <c r="J146" i="21" s="1"/>
  <c r="M70" i="21"/>
  <c r="L13" i="25"/>
  <c r="I59" i="27"/>
  <c r="I57" i="27"/>
  <c r="I53" i="27"/>
  <c r="I58" i="27"/>
  <c r="I54" i="27"/>
  <c r="I55" i="27"/>
  <c r="I56" i="27"/>
  <c r="H144" i="21"/>
  <c r="L74" i="21"/>
  <c r="I148" i="21" s="1"/>
  <c r="J84" i="21"/>
  <c r="I79" i="21"/>
  <c r="L79" i="21" s="1"/>
  <c r="B62" i="20"/>
  <c r="N17" i="23"/>
  <c r="D62" i="20"/>
  <c r="D63" i="20" s="1"/>
  <c r="M72" i="21"/>
  <c r="H24" i="23"/>
  <c r="C39" i="28"/>
  <c r="C44" i="28" s="1"/>
  <c r="L37" i="25"/>
  <c r="L11" i="25"/>
  <c r="H26" i="23"/>
  <c r="N26" i="23" s="1"/>
  <c r="F22" i="23"/>
  <c r="L50" i="25"/>
  <c r="D74" i="25"/>
  <c r="D42" i="29"/>
  <c r="D43" i="29"/>
  <c r="B42" i="29"/>
  <c r="B43" i="29"/>
  <c r="N16" i="23"/>
  <c r="H22" i="23"/>
  <c r="M22" i="26"/>
  <c r="B25" i="20"/>
  <c r="F153" i="21"/>
  <c r="G22" i="26"/>
  <c r="J18" i="26"/>
  <c r="J22" i="26" s="1"/>
  <c r="G68" i="27"/>
  <c r="G70" i="27"/>
  <c r="G67" i="27"/>
  <c r="G69" i="27"/>
  <c r="C68" i="27"/>
  <c r="C70" i="27"/>
  <c r="C67" i="27"/>
  <c r="C69" i="27"/>
  <c r="M54" i="27"/>
  <c r="M56" i="27"/>
  <c r="M58" i="27"/>
  <c r="M53" i="27"/>
  <c r="M55" i="27"/>
  <c r="M57" i="27"/>
  <c r="M59" i="27"/>
  <c r="E54" i="27"/>
  <c r="E56" i="27"/>
  <c r="E58" i="27"/>
  <c r="E53" i="27"/>
  <c r="E55" i="27"/>
  <c r="E57" i="27"/>
  <c r="E59" i="27"/>
  <c r="O39" i="27"/>
  <c r="O41" i="27"/>
  <c r="O43" i="27"/>
  <c r="O38" i="27"/>
  <c r="O40" i="27"/>
  <c r="O42" i="27"/>
  <c r="O44" i="27"/>
  <c r="K39" i="27"/>
  <c r="K41" i="27"/>
  <c r="K43" i="27"/>
  <c r="K38" i="27"/>
  <c r="K40" i="27"/>
  <c r="K42" i="27"/>
  <c r="K44" i="27"/>
  <c r="G39" i="27"/>
  <c r="G41" i="27"/>
  <c r="G43" i="27"/>
  <c r="G38" i="27"/>
  <c r="G40" i="27"/>
  <c r="G42" i="27"/>
  <c r="G44" i="27"/>
  <c r="C39" i="27"/>
  <c r="C41" i="27"/>
  <c r="C43" i="27"/>
  <c r="C38" i="27"/>
  <c r="C40" i="27"/>
  <c r="C42" i="27"/>
  <c r="C44" i="27"/>
  <c r="M25" i="27"/>
  <c r="M27" i="27"/>
  <c r="M24" i="27"/>
  <c r="M26" i="27"/>
  <c r="M29" i="27"/>
  <c r="M28" i="27"/>
  <c r="M30" i="27"/>
  <c r="I25" i="27"/>
  <c r="I27" i="27"/>
  <c r="I24" i="27"/>
  <c r="I26" i="27"/>
  <c r="I29" i="27"/>
  <c r="I28" i="27"/>
  <c r="I30" i="27"/>
  <c r="E25" i="27"/>
  <c r="E27" i="27"/>
  <c r="E24" i="27"/>
  <c r="E26" i="27"/>
  <c r="E29" i="27"/>
  <c r="E28" i="27"/>
  <c r="E30" i="27"/>
  <c r="O11" i="27"/>
  <c r="O13" i="27"/>
  <c r="O15" i="27"/>
  <c r="O10" i="27"/>
  <c r="O12" i="27"/>
  <c r="O14" i="27"/>
  <c r="O16" i="27"/>
  <c r="K11" i="27"/>
  <c r="K13" i="27"/>
  <c r="K15" i="27"/>
  <c r="K10" i="27"/>
  <c r="K12" i="27"/>
  <c r="K14" i="27"/>
  <c r="K16" i="27"/>
  <c r="G11" i="27"/>
  <c r="G13" i="27"/>
  <c r="G15" i="27"/>
  <c r="G10" i="27"/>
  <c r="G12" i="27"/>
  <c r="G14" i="27"/>
  <c r="G16" i="27"/>
  <c r="C11" i="27"/>
  <c r="C13" i="27"/>
  <c r="C15" i="27"/>
  <c r="C10" i="27"/>
  <c r="C12" i="27"/>
  <c r="C14" i="27"/>
  <c r="C16" i="27"/>
  <c r="G73" i="27"/>
  <c r="C73" i="27"/>
  <c r="G71" i="27"/>
  <c r="C71" i="27"/>
  <c r="E67" i="27"/>
  <c r="E69" i="27"/>
  <c r="E68" i="27"/>
  <c r="E70" i="27"/>
  <c r="O53" i="27"/>
  <c r="O55" i="27"/>
  <c r="O57" i="27"/>
  <c r="O59" i="27"/>
  <c r="O54" i="27"/>
  <c r="O56" i="27"/>
  <c r="O58" i="27"/>
  <c r="K53" i="27"/>
  <c r="K55" i="27"/>
  <c r="K57" i="27"/>
  <c r="K59" i="27"/>
  <c r="K54" i="27"/>
  <c r="K56" i="27"/>
  <c r="K58" i="27"/>
  <c r="C53" i="27"/>
  <c r="C55" i="27"/>
  <c r="C57" i="27"/>
  <c r="C59" i="27"/>
  <c r="C54" i="27"/>
  <c r="C56" i="27"/>
  <c r="C58" i="27"/>
  <c r="M38" i="27"/>
  <c r="M40" i="27"/>
  <c r="M42" i="27"/>
  <c r="M44" i="27"/>
  <c r="M39" i="27"/>
  <c r="M41" i="27"/>
  <c r="M43" i="27"/>
  <c r="I38" i="27"/>
  <c r="I40" i="27"/>
  <c r="I42" i="27"/>
  <c r="I44" i="27"/>
  <c r="I39" i="27"/>
  <c r="I41" i="27"/>
  <c r="I43" i="27"/>
  <c r="E38" i="27"/>
  <c r="E40" i="27"/>
  <c r="E42" i="27"/>
  <c r="E44" i="27"/>
  <c r="E39" i="27"/>
  <c r="E41" i="27"/>
  <c r="E43" i="27"/>
  <c r="O24" i="27"/>
  <c r="O26" i="27"/>
  <c r="O25" i="27"/>
  <c r="O27" i="27"/>
  <c r="O28" i="27"/>
  <c r="O30" i="27"/>
  <c r="O29" i="27"/>
  <c r="K24" i="27"/>
  <c r="K26" i="27"/>
  <c r="K25" i="27"/>
  <c r="K27" i="27"/>
  <c r="K28" i="27"/>
  <c r="K30" i="27"/>
  <c r="K29" i="27"/>
  <c r="C24" i="27"/>
  <c r="C26" i="27"/>
  <c r="C28" i="27"/>
  <c r="C25" i="27"/>
  <c r="C27" i="27"/>
  <c r="C30" i="27"/>
  <c r="C29" i="27"/>
  <c r="M10" i="27"/>
  <c r="M12" i="27"/>
  <c r="M14" i="27"/>
  <c r="M16" i="27"/>
  <c r="M11" i="27"/>
  <c r="M13" i="27"/>
  <c r="M15" i="27"/>
  <c r="I10" i="27"/>
  <c r="I12" i="27"/>
  <c r="I14" i="27"/>
  <c r="I16" i="27"/>
  <c r="I11" i="27"/>
  <c r="I13" i="27"/>
  <c r="I15" i="27"/>
  <c r="E10" i="27"/>
  <c r="E12" i="27"/>
  <c r="E14" i="27"/>
  <c r="E16" i="27"/>
  <c r="E11" i="27"/>
  <c r="E13" i="27"/>
  <c r="E15" i="27"/>
  <c r="E73" i="27"/>
  <c r="G72" i="27"/>
  <c r="C72" i="27"/>
  <c r="E71" i="27"/>
  <c r="E16" i="28"/>
  <c r="E34" i="28"/>
  <c r="E32" i="28"/>
  <c r="E30" i="28"/>
  <c r="E28" i="28"/>
  <c r="E21" i="28"/>
  <c r="E19" i="28"/>
  <c r="E17" i="28"/>
  <c r="E36" i="28"/>
  <c r="E33" i="28"/>
  <c r="E31" i="28"/>
  <c r="E29" i="28"/>
  <c r="E27" i="28"/>
  <c r="E22" i="28"/>
  <c r="E20" i="28"/>
  <c r="H8" i="19"/>
  <c r="I8" i="19"/>
  <c r="H9" i="19"/>
  <c r="I9" i="19"/>
  <c r="B10" i="19"/>
  <c r="C10" i="19"/>
  <c r="D10" i="19"/>
  <c r="E10" i="19"/>
  <c r="F10" i="19"/>
  <c r="G10" i="19"/>
  <c r="H10" i="19"/>
  <c r="I10" i="19"/>
  <c r="H11" i="19"/>
  <c r="I11" i="19"/>
  <c r="H12" i="19"/>
  <c r="I12" i="19"/>
  <c r="H13" i="19"/>
  <c r="I13" i="19"/>
  <c r="B14" i="19"/>
  <c r="C14" i="19"/>
  <c r="D14" i="19"/>
  <c r="E14" i="19"/>
  <c r="E37" i="19" s="1"/>
  <c r="E43" i="19" s="1"/>
  <c r="E45" i="19" s="1"/>
  <c r="F14" i="19"/>
  <c r="G14" i="19"/>
  <c r="H14" i="19"/>
  <c r="I14" i="19"/>
  <c r="I16" i="19"/>
  <c r="I17" i="19"/>
  <c r="I18" i="19"/>
  <c r="I19" i="19"/>
  <c r="I20" i="19"/>
  <c r="I21" i="19"/>
  <c r="I22" i="19"/>
  <c r="I23" i="19"/>
  <c r="I24" i="19"/>
  <c r="I25" i="19"/>
  <c r="I26" i="19"/>
  <c r="I27" i="19"/>
  <c r="I28" i="19"/>
  <c r="I29" i="19"/>
  <c r="I30" i="19"/>
  <c r="I31" i="19"/>
  <c r="I32" i="19"/>
  <c r="I33" i="19"/>
  <c r="I34" i="19"/>
  <c r="I35" i="19"/>
  <c r="I36" i="19"/>
  <c r="C37" i="19"/>
  <c r="C43" i="19" s="1"/>
  <c r="G37" i="19"/>
  <c r="G43" i="19" s="1"/>
  <c r="I38" i="19"/>
  <c r="I39" i="19"/>
  <c r="I40" i="19"/>
  <c r="I41" i="19"/>
  <c r="I42" i="19"/>
  <c r="D43" i="19"/>
  <c r="F43" i="19"/>
  <c r="H43" i="19"/>
  <c r="H47" i="19"/>
  <c r="I49" i="19"/>
  <c r="I50" i="19"/>
  <c r="M10" i="18"/>
  <c r="M11" i="18"/>
  <c r="M12" i="18"/>
  <c r="M13" i="18"/>
  <c r="M14" i="18"/>
  <c r="M15" i="18"/>
  <c r="M16" i="18"/>
  <c r="B17" i="18"/>
  <c r="C17" i="18"/>
  <c r="D17" i="18"/>
  <c r="E17" i="18"/>
  <c r="F17" i="18"/>
  <c r="G17" i="18"/>
  <c r="H17" i="18"/>
  <c r="I17" i="18"/>
  <c r="J17" i="18"/>
  <c r="K17" i="18"/>
  <c r="L17" i="18"/>
  <c r="K9" i="17"/>
  <c r="L9" i="17"/>
  <c r="M9" i="17"/>
  <c r="K10" i="17"/>
  <c r="L10" i="17"/>
  <c r="M10" i="17"/>
  <c r="K11" i="17"/>
  <c r="L11" i="17"/>
  <c r="M11" i="17"/>
  <c r="K13" i="17"/>
  <c r="L13" i="17"/>
  <c r="M13" i="17"/>
  <c r="B14" i="17"/>
  <c r="C14" i="17"/>
  <c r="D14" i="17"/>
  <c r="E14" i="17"/>
  <c r="F14" i="17"/>
  <c r="G14" i="17"/>
  <c r="H14" i="17"/>
  <c r="I14" i="17"/>
  <c r="J14" i="17"/>
  <c r="K18" i="17"/>
  <c r="L18" i="17"/>
  <c r="K20" i="17"/>
  <c r="L20" i="17"/>
  <c r="L22" i="17" s="1"/>
  <c r="M20" i="17"/>
  <c r="K21" i="17"/>
  <c r="L21" i="17"/>
  <c r="M21" i="17"/>
  <c r="M22" i="17" s="1"/>
  <c r="B22" i="17"/>
  <c r="C22" i="17"/>
  <c r="D22" i="17"/>
  <c r="E22" i="17"/>
  <c r="F22" i="17"/>
  <c r="G22" i="17"/>
  <c r="H22" i="17"/>
  <c r="I22" i="17"/>
  <c r="J22" i="17"/>
  <c r="K22" i="17"/>
  <c r="J20" i="16"/>
  <c r="L9" i="16"/>
  <c r="L11" i="16"/>
  <c r="L12" i="16"/>
  <c r="L14" i="16"/>
  <c r="L15" i="16"/>
  <c r="L17" i="16"/>
  <c r="L18" i="16"/>
  <c r="L19" i="16"/>
  <c r="B20" i="16"/>
  <c r="C20" i="16"/>
  <c r="C24" i="16" s="1"/>
  <c r="C29" i="16" s="1"/>
  <c r="D20" i="16"/>
  <c r="E20" i="16"/>
  <c r="F20" i="16"/>
  <c r="F24" i="16" s="1"/>
  <c r="F29" i="16" s="1"/>
  <c r="G20" i="16"/>
  <c r="L20" i="16" s="1"/>
  <c r="H24" i="16"/>
  <c r="H29" i="16" s="1"/>
  <c r="I20" i="16"/>
  <c r="L21" i="16"/>
  <c r="D22" i="16"/>
  <c r="K23" i="16"/>
  <c r="K27" i="16"/>
  <c r="K28" i="16"/>
  <c r="S9" i="15"/>
  <c r="T9" i="15"/>
  <c r="U9" i="15"/>
  <c r="S10" i="15"/>
  <c r="T10" i="15"/>
  <c r="S11" i="15"/>
  <c r="T11" i="15"/>
  <c r="U13" i="15"/>
  <c r="U15" i="15"/>
  <c r="U16" i="15"/>
  <c r="U17" i="15"/>
  <c r="U18" i="15"/>
  <c r="U19" i="15"/>
  <c r="U20" i="15"/>
  <c r="U21" i="15"/>
  <c r="U22" i="15"/>
  <c r="U23" i="15"/>
  <c r="U24" i="15"/>
  <c r="U25" i="15"/>
  <c r="U27" i="15"/>
  <c r="S28" i="15"/>
  <c r="T28" i="15"/>
  <c r="U28" i="15"/>
  <c r="B29" i="15"/>
  <c r="C29" i="15"/>
  <c r="D29" i="15"/>
  <c r="E29" i="15"/>
  <c r="F29" i="15"/>
  <c r="G29" i="15"/>
  <c r="H29" i="15"/>
  <c r="I29" i="15"/>
  <c r="K29" i="15"/>
  <c r="L29" i="15"/>
  <c r="L31" i="15" s="1"/>
  <c r="L36" i="15" s="1"/>
  <c r="N29" i="15"/>
  <c r="O29" i="15"/>
  <c r="T30" i="15"/>
  <c r="C31" i="15"/>
  <c r="C36" i="15" s="1"/>
  <c r="F31" i="15"/>
  <c r="I31" i="15"/>
  <c r="I36" i="15" s="1"/>
  <c r="O31" i="15"/>
  <c r="O36" i="15" s="1"/>
  <c r="T34" i="15"/>
  <c r="T35" i="15"/>
  <c r="F36" i="15"/>
  <c r="M10" i="14"/>
  <c r="N10" i="14"/>
  <c r="M11" i="14"/>
  <c r="M14" i="14" s="1"/>
  <c r="N11" i="14"/>
  <c r="M12" i="14"/>
  <c r="N12" i="14"/>
  <c r="C14" i="14"/>
  <c r="D14" i="14"/>
  <c r="E14" i="14"/>
  <c r="F14" i="14"/>
  <c r="G14" i="14"/>
  <c r="H14" i="14"/>
  <c r="I14" i="14"/>
  <c r="J14" i="14"/>
  <c r="K14" i="14"/>
  <c r="L14" i="14"/>
  <c r="N14" i="14"/>
  <c r="M16" i="14"/>
  <c r="M22" i="14" s="1"/>
  <c r="N16" i="14"/>
  <c r="M17" i="14"/>
  <c r="N17" i="14"/>
  <c r="M18" i="14"/>
  <c r="N18" i="14"/>
  <c r="M19" i="14"/>
  <c r="N19" i="14"/>
  <c r="M20" i="14"/>
  <c r="N20" i="14"/>
  <c r="M21" i="14"/>
  <c r="N21" i="14"/>
  <c r="C22" i="14"/>
  <c r="D22" i="14"/>
  <c r="E22" i="14"/>
  <c r="F22" i="14"/>
  <c r="G22" i="14"/>
  <c r="H22" i="14"/>
  <c r="I22" i="14"/>
  <c r="J22" i="14"/>
  <c r="K22" i="14"/>
  <c r="L22" i="14"/>
  <c r="N22" i="14"/>
  <c r="M24" i="14"/>
  <c r="N24" i="14"/>
  <c r="M25" i="14"/>
  <c r="N25" i="14"/>
  <c r="M26" i="14"/>
  <c r="M32" i="14" s="1"/>
  <c r="N26" i="14"/>
  <c r="N32" i="14" s="1"/>
  <c r="N33" i="14" s="1"/>
  <c r="M27" i="14"/>
  <c r="N27" i="14"/>
  <c r="C32" i="14"/>
  <c r="D32" i="14"/>
  <c r="E32" i="14"/>
  <c r="F32" i="14"/>
  <c r="G32" i="14"/>
  <c r="H32" i="14"/>
  <c r="I32" i="14"/>
  <c r="J32" i="14"/>
  <c r="K32" i="14"/>
  <c r="L32" i="14"/>
  <c r="C33" i="14"/>
  <c r="D33" i="14"/>
  <c r="E33" i="14"/>
  <c r="F33" i="14"/>
  <c r="G33" i="14"/>
  <c r="H33" i="14"/>
  <c r="I33" i="14"/>
  <c r="J33" i="14"/>
  <c r="K33" i="14"/>
  <c r="L33" i="14"/>
  <c r="J8" i="13"/>
  <c r="J9" i="13"/>
  <c r="J10" i="13"/>
  <c r="J11" i="13"/>
  <c r="C12" i="13"/>
  <c r="D12" i="13"/>
  <c r="E12" i="13"/>
  <c r="F12" i="13"/>
  <c r="G12" i="13"/>
  <c r="H12" i="13"/>
  <c r="I12" i="13"/>
  <c r="J12" i="13"/>
  <c r="J17" i="13"/>
  <c r="C18" i="13"/>
  <c r="D18" i="13"/>
  <c r="E18" i="13"/>
  <c r="F18" i="13"/>
  <c r="G18" i="13"/>
  <c r="H18" i="13"/>
  <c r="I18" i="13"/>
  <c r="J18" i="13"/>
  <c r="K9" i="12"/>
  <c r="H36" i="12" s="1"/>
  <c r="L9" i="12"/>
  <c r="I36" i="12" s="1"/>
  <c r="M9" i="12"/>
  <c r="M10" i="12"/>
  <c r="J32" i="12" s="1"/>
  <c r="M11" i="12"/>
  <c r="J33" i="12" s="1"/>
  <c r="M13" i="12"/>
  <c r="M14" i="12"/>
  <c r="J36" i="12" s="1"/>
  <c r="B17" i="12"/>
  <c r="C17" i="12"/>
  <c r="C22" i="12" s="1"/>
  <c r="C27" i="12" s="1"/>
  <c r="D17" i="12"/>
  <c r="D20" i="12" s="1"/>
  <c r="E17" i="12"/>
  <c r="F17" i="12"/>
  <c r="F22" i="12" s="1"/>
  <c r="G17" i="12"/>
  <c r="G20" i="12" s="1"/>
  <c r="H17" i="12"/>
  <c r="I17" i="12"/>
  <c r="I22" i="12" s="1"/>
  <c r="I27" i="12" s="1"/>
  <c r="J17" i="12"/>
  <c r="J20" i="12" s="1"/>
  <c r="M18" i="12"/>
  <c r="J40" i="12" s="1"/>
  <c r="L21" i="12"/>
  <c r="I42" i="12" s="1"/>
  <c r="L25" i="12"/>
  <c r="I46" i="12" s="1"/>
  <c r="L26" i="12"/>
  <c r="J31" i="12"/>
  <c r="J35" i="12"/>
  <c r="B39" i="12"/>
  <c r="C39" i="12"/>
  <c r="C43" i="12" s="1"/>
  <c r="C48" i="12" s="1"/>
  <c r="D41" i="12"/>
  <c r="E39" i="12"/>
  <c r="F39" i="12"/>
  <c r="F43" i="12" s="1"/>
  <c r="F48" i="12" s="1"/>
  <c r="G39" i="12"/>
  <c r="G41" i="12" s="1"/>
  <c r="I44" i="12"/>
  <c r="I45" i="12"/>
  <c r="I47" i="12"/>
  <c r="B15" i="11"/>
  <c r="B19" i="11" s="1"/>
  <c r="B25" i="11" s="1"/>
  <c r="C15" i="11"/>
  <c r="D15" i="11"/>
  <c r="C19" i="11"/>
  <c r="C25" i="11" s="1"/>
  <c r="C37" i="11" s="1"/>
  <c r="D19" i="11"/>
  <c r="B23" i="11"/>
  <c r="B24" i="11" s="1"/>
  <c r="C23" i="11"/>
  <c r="D23" i="11"/>
  <c r="D24" i="11" s="1"/>
  <c r="D25" i="11" s="1"/>
  <c r="C24" i="11"/>
  <c r="B32" i="11"/>
  <c r="C32" i="11"/>
  <c r="D32" i="11"/>
  <c r="B35" i="11"/>
  <c r="B36" i="11" s="1"/>
  <c r="C35" i="11"/>
  <c r="D35" i="11"/>
  <c r="D36" i="11" s="1"/>
  <c r="C36" i="11"/>
  <c r="M33" i="14" l="1"/>
  <c r="T29" i="15"/>
  <c r="T31" i="15" s="1"/>
  <c r="T36" i="15" s="1"/>
  <c r="C66" i="20"/>
  <c r="C65" i="20"/>
  <c r="B63" i="20"/>
  <c r="B65" i="20" s="1"/>
  <c r="L33" i="23"/>
  <c r="I153" i="21"/>
  <c r="I17" i="28"/>
  <c r="I19" i="28"/>
  <c r="I21" i="28"/>
  <c r="I28" i="28"/>
  <c r="I30" i="28"/>
  <c r="I32" i="28"/>
  <c r="I25" i="28"/>
  <c r="I36" i="28"/>
  <c r="F32" i="23"/>
  <c r="F33" i="23" s="1"/>
  <c r="L14" i="17"/>
  <c r="M14" i="17"/>
  <c r="K14" i="17"/>
  <c r="I60" i="27"/>
  <c r="I23" i="28"/>
  <c r="I35" i="28"/>
  <c r="I16" i="28"/>
  <c r="I18" i="28"/>
  <c r="I20" i="28"/>
  <c r="I22" i="28"/>
  <c r="I24" i="28"/>
  <c r="N22" i="23"/>
  <c r="D65" i="20"/>
  <c r="D66" i="20"/>
  <c r="I37" i="19"/>
  <c r="I43" i="19" s="1"/>
  <c r="D76" i="25"/>
  <c r="L76" i="25"/>
  <c r="S29" i="15"/>
  <c r="M17" i="18"/>
  <c r="I26" i="28"/>
  <c r="I34" i="28"/>
  <c r="L17" i="12"/>
  <c r="H39" i="12"/>
  <c r="J39" i="12"/>
  <c r="I39" i="12"/>
  <c r="M17" i="12"/>
  <c r="K17" i="12"/>
  <c r="M20" i="12"/>
  <c r="J41" i="12" s="1"/>
  <c r="L22" i="16"/>
  <c r="K20" i="16"/>
  <c r="K24" i="16" s="1"/>
  <c r="K29" i="16" s="1"/>
  <c r="E37" i="28"/>
  <c r="E44" i="28" s="1"/>
  <c r="E46" i="28" s="1"/>
  <c r="I17" i="27"/>
  <c r="C31" i="27"/>
  <c r="K31" i="27"/>
  <c r="E45" i="27"/>
  <c r="M45" i="27"/>
  <c r="G60" i="27"/>
  <c r="O60" i="27"/>
  <c r="E74" i="27"/>
  <c r="G17" i="27"/>
  <c r="O17" i="27"/>
  <c r="E31" i="27"/>
  <c r="M31" i="27"/>
  <c r="C45" i="27"/>
  <c r="K45" i="27"/>
  <c r="E60" i="27"/>
  <c r="M60" i="27"/>
  <c r="B66" i="20"/>
  <c r="H32" i="23"/>
  <c r="H33" i="23" s="1"/>
  <c r="N24" i="23"/>
  <c r="N32" i="23" s="1"/>
  <c r="N33" i="23" s="1"/>
  <c r="I27" i="28"/>
  <c r="I29" i="28"/>
  <c r="I31" i="28"/>
  <c r="I33" i="28"/>
  <c r="E17" i="27"/>
  <c r="M17" i="27"/>
  <c r="O31" i="27"/>
  <c r="I45" i="27"/>
  <c r="C60" i="27"/>
  <c r="K60" i="27"/>
  <c r="C17" i="27"/>
  <c r="K17" i="27"/>
  <c r="I31" i="27"/>
  <c r="G45" i="27"/>
  <c r="O45" i="27"/>
  <c r="C74" i="27"/>
  <c r="G74" i="27"/>
  <c r="B37" i="11"/>
  <c r="L22" i="12"/>
  <c r="I43" i="12" s="1"/>
  <c r="F27" i="12"/>
  <c r="L27" i="12" s="1"/>
  <c r="I48" i="12" s="1"/>
  <c r="D37" i="11"/>
  <c r="C40" i="11"/>
  <c r="C39" i="11"/>
  <c r="G37" i="28" l="1"/>
  <c r="G44" i="28" s="1"/>
  <c r="G46" i="28" s="1"/>
  <c r="I37" i="28"/>
  <c r="I44" i="28" s="1"/>
  <c r="D39" i="11"/>
  <c r="D40" i="11"/>
  <c r="B39" i="11"/>
  <c r="B40" i="11"/>
  <c r="F37" i="10"/>
  <c r="F43" i="10" s="1"/>
  <c r="I23" i="9" l="1"/>
  <c r="I21" i="9"/>
  <c r="I16" i="9"/>
  <c r="I12" i="9"/>
  <c r="J9" i="4" l="1"/>
  <c r="I9" i="4"/>
  <c r="H9" i="4"/>
  <c r="G9" i="4"/>
  <c r="C14" i="2"/>
  <c r="B14" i="2"/>
  <c r="D13" i="2"/>
  <c r="D14" i="2" s="1"/>
  <c r="G10" i="6" l="1"/>
  <c r="F10" i="6"/>
  <c r="F12" i="6" s="1"/>
  <c r="F17" i="6" s="1"/>
  <c r="E10" i="6"/>
  <c r="D11" i="2"/>
  <c r="B11" i="2"/>
  <c r="U10" i="6" l="1"/>
  <c r="L11" i="7" l="1"/>
  <c r="L9" i="7"/>
  <c r="M10" i="6" l="1"/>
  <c r="L10" i="6"/>
  <c r="L12" i="6" s="1"/>
  <c r="L17" i="6" s="1"/>
  <c r="K10" i="6"/>
  <c r="E13" i="5" l="1"/>
  <c r="F13" i="5"/>
  <c r="E16" i="5"/>
  <c r="E17" i="5" s="1"/>
  <c r="F16" i="5"/>
  <c r="F17" i="5" s="1"/>
  <c r="G16" i="5"/>
  <c r="G13" i="5" l="1"/>
  <c r="G17" i="5" s="1"/>
  <c r="D25" i="2" l="1"/>
  <c r="D26" i="2" s="1"/>
  <c r="C25" i="2"/>
  <c r="C26" i="2" s="1"/>
  <c r="B25" i="2"/>
  <c r="B26" i="2" s="1"/>
  <c r="C19" i="2"/>
  <c r="B19" i="2"/>
  <c r="B21" i="2" s="1"/>
  <c r="B27" i="2" l="1"/>
  <c r="B29" i="2" s="1"/>
  <c r="C21" i="2"/>
  <c r="B30" i="2" l="1"/>
  <c r="D21" i="2"/>
  <c r="D27" i="2" s="1"/>
  <c r="D30" i="2" s="1"/>
  <c r="C27" i="2"/>
  <c r="C30" i="2" s="1"/>
  <c r="D29" i="2" l="1"/>
  <c r="C29" i="2"/>
  <c r="T16" i="6"/>
  <c r="T15" i="6"/>
  <c r="T11" i="6"/>
  <c r="J10" i="6"/>
  <c r="I10" i="6"/>
  <c r="I12" i="6" s="1"/>
  <c r="I17" i="6" s="1"/>
  <c r="H10" i="6"/>
  <c r="K18" i="7" l="1"/>
  <c r="K17" i="7"/>
  <c r="K13" i="7"/>
  <c r="T9" i="6" l="1"/>
  <c r="A23" i="3" l="1"/>
  <c r="B10" i="10" l="1"/>
  <c r="B14" i="10" s="1"/>
  <c r="B37" i="10" s="1"/>
  <c r="B43" i="10" s="1"/>
  <c r="K9" i="8"/>
  <c r="K9" i="3"/>
  <c r="H23" i="3" s="1"/>
  <c r="B10" i="3"/>
  <c r="S9" i="6" l="1"/>
  <c r="M11" i="3" l="1"/>
  <c r="J25" i="3" s="1"/>
  <c r="I29" i="9" l="1"/>
  <c r="I28" i="9"/>
  <c r="I27" i="9"/>
  <c r="I26" i="9"/>
  <c r="I25" i="9"/>
  <c r="I24" i="9"/>
  <c r="I22" i="9"/>
  <c r="I20" i="9"/>
  <c r="I19" i="9"/>
  <c r="I18" i="9"/>
  <c r="I17" i="9"/>
  <c r="I15" i="9"/>
  <c r="I14" i="9"/>
  <c r="I13" i="9"/>
  <c r="I11" i="9"/>
  <c r="I10" i="9"/>
  <c r="I9" i="9"/>
  <c r="G10" i="4"/>
  <c r="J10" i="4"/>
  <c r="I10" i="4"/>
  <c r="H10" i="4"/>
  <c r="F10" i="4"/>
  <c r="E10" i="4"/>
  <c r="D10" i="4"/>
  <c r="C10" i="4"/>
  <c r="I48" i="10" l="1"/>
  <c r="I47" i="10"/>
  <c r="H45" i="10"/>
  <c r="I39" i="10" l="1"/>
  <c r="I40" i="10"/>
  <c r="I41" i="10"/>
  <c r="I42" i="10"/>
  <c r="I38" i="10"/>
  <c r="I36" i="10" l="1"/>
  <c r="I35" i="10"/>
  <c r="I34" i="10"/>
  <c r="I33" i="10"/>
  <c r="I32" i="10"/>
  <c r="I31" i="10"/>
  <c r="I30" i="10"/>
  <c r="I29" i="10"/>
  <c r="I28" i="10"/>
  <c r="I27" i="10"/>
  <c r="I26" i="10"/>
  <c r="I25" i="10"/>
  <c r="I24" i="10"/>
  <c r="I23" i="10"/>
  <c r="I22" i="10"/>
  <c r="I21" i="10"/>
  <c r="I20" i="10"/>
  <c r="I19" i="10"/>
  <c r="I18" i="10"/>
  <c r="I17" i="10"/>
  <c r="I16" i="10"/>
  <c r="I13" i="10"/>
  <c r="H13" i="10"/>
  <c r="I12" i="10"/>
  <c r="H12" i="10"/>
  <c r="I11" i="10"/>
  <c r="H11" i="10"/>
  <c r="I9" i="10"/>
  <c r="H9" i="10"/>
  <c r="F10" i="10"/>
  <c r="D10" i="10"/>
  <c r="C14" i="10"/>
  <c r="C37" i="10" s="1"/>
  <c r="C43" i="10" s="1"/>
  <c r="I8" i="10"/>
  <c r="G34" i="9"/>
  <c r="F34" i="9"/>
  <c r="E34" i="9"/>
  <c r="D34" i="9"/>
  <c r="C34" i="9"/>
  <c r="B34" i="9"/>
  <c r="J30" i="9"/>
  <c r="H30" i="9"/>
  <c r="H31" i="9" s="1"/>
  <c r="I31" i="9" s="1"/>
  <c r="G30" i="9"/>
  <c r="F30" i="9"/>
  <c r="E30" i="9"/>
  <c r="D30" i="9"/>
  <c r="C30" i="9"/>
  <c r="B30" i="9"/>
  <c r="F14" i="10" l="1"/>
  <c r="G14" i="10"/>
  <c r="G37" i="10" s="1"/>
  <c r="G43" i="10" s="1"/>
  <c r="D43" i="10"/>
  <c r="D14" i="10"/>
  <c r="E14" i="10"/>
  <c r="E37" i="10" s="1"/>
  <c r="E43" i="10" s="1"/>
  <c r="I30" i="9"/>
  <c r="I10" i="10"/>
  <c r="I14" i="10" s="1"/>
  <c r="H10" i="10"/>
  <c r="H32" i="9"/>
  <c r="H33" i="9" l="1"/>
  <c r="I33" i="9" s="1"/>
  <c r="I32" i="9"/>
  <c r="I37" i="10"/>
  <c r="I43" i="10" s="1"/>
  <c r="H14" i="10"/>
  <c r="H37" i="10" s="1"/>
  <c r="H43" i="10" s="1"/>
  <c r="J34" i="9"/>
  <c r="H34" i="9" l="1"/>
  <c r="I34" i="9"/>
  <c r="J15" i="8"/>
  <c r="I15" i="8"/>
  <c r="H15" i="8"/>
  <c r="G15" i="8"/>
  <c r="F15" i="8"/>
  <c r="E15" i="8"/>
  <c r="D15" i="8"/>
  <c r="C15" i="8"/>
  <c r="B15" i="8"/>
  <c r="M14" i="8"/>
  <c r="L14" i="8"/>
  <c r="K14" i="8"/>
  <c r="M9" i="8"/>
  <c r="L9" i="8"/>
  <c r="J10" i="8"/>
  <c r="I10" i="8"/>
  <c r="H10" i="8"/>
  <c r="G10" i="8"/>
  <c r="F10" i="8"/>
  <c r="E10" i="8"/>
  <c r="D10" i="8"/>
  <c r="C10" i="8"/>
  <c r="B10" i="8"/>
  <c r="I10" i="7"/>
  <c r="H10" i="7"/>
  <c r="H14" i="7" s="1"/>
  <c r="G10" i="7"/>
  <c r="F10" i="7"/>
  <c r="F14" i="7" s="1"/>
  <c r="F19" i="7" s="1"/>
  <c r="E10" i="7"/>
  <c r="D10" i="7"/>
  <c r="C10" i="7"/>
  <c r="C14" i="7" s="1"/>
  <c r="C19" i="7" s="1"/>
  <c r="B10" i="7"/>
  <c r="J9" i="7"/>
  <c r="P10" i="6"/>
  <c r="O10" i="6"/>
  <c r="O12" i="6" s="1"/>
  <c r="N10" i="6"/>
  <c r="R10" i="6"/>
  <c r="Q10" i="6"/>
  <c r="D10" i="6"/>
  <c r="C10" i="6"/>
  <c r="C12" i="6" s="1"/>
  <c r="C17" i="6" s="1"/>
  <c r="B10" i="6"/>
  <c r="D12" i="7" l="1"/>
  <c r="L10" i="7"/>
  <c r="O17" i="6"/>
  <c r="K10" i="7"/>
  <c r="K14" i="7" s="1"/>
  <c r="K19" i="7" s="1"/>
  <c r="J10" i="7"/>
  <c r="K15" i="8"/>
  <c r="L15" i="8"/>
  <c r="M15" i="8"/>
  <c r="L10" i="8"/>
  <c r="K10" i="8"/>
  <c r="M10" i="8"/>
  <c r="T10" i="6"/>
  <c r="S10" i="6"/>
  <c r="T17" i="6" l="1"/>
  <c r="T12" i="6"/>
  <c r="L18" i="3" l="1"/>
  <c r="I32" i="3" s="1"/>
  <c r="L17" i="3"/>
  <c r="I31" i="3" s="1"/>
  <c r="I30" i="3"/>
  <c r="I29" i="3"/>
  <c r="L13" i="3"/>
  <c r="I27" i="3" s="1"/>
  <c r="G24" i="3"/>
  <c r="G26" i="3" s="1"/>
  <c r="F24" i="3"/>
  <c r="F28" i="3" s="1"/>
  <c r="F33" i="3" s="1"/>
  <c r="E24" i="3"/>
  <c r="D24" i="3"/>
  <c r="D26" i="3" s="1"/>
  <c r="C24" i="3"/>
  <c r="C28" i="3" s="1"/>
  <c r="C33" i="3" s="1"/>
  <c r="B24" i="3"/>
  <c r="J10" i="3"/>
  <c r="J12" i="3" s="1"/>
  <c r="I10" i="3"/>
  <c r="I14" i="3" s="1"/>
  <c r="I19" i="3" s="1"/>
  <c r="H10" i="3"/>
  <c r="G10" i="3"/>
  <c r="G12" i="3" s="1"/>
  <c r="F10" i="3"/>
  <c r="F14" i="3" s="1"/>
  <c r="E10" i="3"/>
  <c r="D10" i="3"/>
  <c r="D12" i="3" s="1"/>
  <c r="C10" i="3"/>
  <c r="C14" i="3" s="1"/>
  <c r="C19" i="3" s="1"/>
  <c r="M9" i="3"/>
  <c r="J23" i="3" s="1"/>
  <c r="L9" i="3"/>
  <c r="I23" i="3" s="1"/>
  <c r="M12" i="3" l="1"/>
  <c r="J26" i="3" s="1"/>
  <c r="K10" i="3"/>
  <c r="L10" i="3"/>
  <c r="M10" i="3"/>
  <c r="J24" i="3"/>
  <c r="F19" i="3"/>
  <c r="L19" i="3" s="1"/>
  <c r="I33" i="3" s="1"/>
  <c r="L14" i="3"/>
  <c r="I28" i="3" s="1"/>
  <c r="I24" i="3"/>
  <c r="H24" i="3"/>
</calcChain>
</file>

<file path=xl/sharedStrings.xml><?xml version="1.0" encoding="utf-8"?>
<sst xmlns="http://schemas.openxmlformats.org/spreadsheetml/2006/main" count="5219" uniqueCount="650">
  <si>
    <t>Summary of Requirements</t>
  </si>
  <si>
    <t>(Dollars in Thousands)</t>
  </si>
  <si>
    <t>Direct Pos.</t>
  </si>
  <si>
    <t>Amount</t>
  </si>
  <si>
    <t>Technical Adjustments</t>
  </si>
  <si>
    <t>Pay and Benefits</t>
  </si>
  <si>
    <t>Domestic Rent and Facilities</t>
  </si>
  <si>
    <t>Program Changes</t>
  </si>
  <si>
    <t>Subtotal, Increases</t>
  </si>
  <si>
    <t>Total Program Changes</t>
  </si>
  <si>
    <t>end of line</t>
  </si>
  <si>
    <t>end of sheet</t>
  </si>
  <si>
    <t>Total</t>
  </si>
  <si>
    <t>Reimbursable FTE</t>
  </si>
  <si>
    <t>Other FTE:</t>
  </si>
  <si>
    <t>LEAP</t>
  </si>
  <si>
    <t>Overtime</t>
  </si>
  <si>
    <t>Direct FTE</t>
  </si>
  <si>
    <t>Program Increases</t>
  </si>
  <si>
    <t>Total Increases</t>
  </si>
  <si>
    <t>Program Offsets</t>
  </si>
  <si>
    <t>Total Program Increases</t>
  </si>
  <si>
    <t>Agt./
Atty.</t>
  </si>
  <si>
    <t>25.6 Medical Care</t>
  </si>
  <si>
    <t xml:space="preserve"> </t>
  </si>
  <si>
    <t>Subtotal, Pay and Benefits</t>
  </si>
  <si>
    <t>Subtotal, Domestic Rent and Facilities</t>
  </si>
  <si>
    <t>Reprogramming/Transfers</t>
  </si>
  <si>
    <t xml:space="preserve">Carryover </t>
  </si>
  <si>
    <t>Crosswalk of 2013 Availability</t>
  </si>
  <si>
    <t>Summary of Reimbursable Resources</t>
  </si>
  <si>
    <t>Increase/Decrease</t>
  </si>
  <si>
    <t>Reimb. Pos.</t>
  </si>
  <si>
    <t>Reimb. FTE</t>
  </si>
  <si>
    <t>Detail of Permanent Positions by Category</t>
  </si>
  <si>
    <t>ATBs</t>
  </si>
  <si>
    <t>Category</t>
  </si>
  <si>
    <t>Intelligence Series (132)</t>
  </si>
  <si>
    <t>Personnel Management (200-299)</t>
  </si>
  <si>
    <t>Clerical and Office Services (300-399)</t>
  </si>
  <si>
    <t>Accounting and Budget (500-599)</t>
  </si>
  <si>
    <t>Attorneys (905)</t>
  </si>
  <si>
    <t>Paralegals / Other Law (900-998)</t>
  </si>
  <si>
    <t>Information &amp; Arts (1000-1099)</t>
  </si>
  <si>
    <t>Business &amp; Industry (1100-1199)</t>
  </si>
  <si>
    <t>Library (1400-1499)</t>
  </si>
  <si>
    <t>Equipment/Facilities Services (1600-1699)</t>
  </si>
  <si>
    <t>Miscellaneous Inspectors Series (1802)</t>
  </si>
  <si>
    <t>Criminal Investigative Series (1811)</t>
  </si>
  <si>
    <t>Supply Services (2000-2099)</t>
  </si>
  <si>
    <t>Motor Vehicle Operations (5703)</t>
  </si>
  <si>
    <t>Information Technology Mgmt  (2210)</t>
  </si>
  <si>
    <t>Security Specialists (080)</t>
  </si>
  <si>
    <t>Miscellaneous Operations (010-099)</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</si>
  <si>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</si>
  <si>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</si>
  <si>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</si>
  <si>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</si>
  <si>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</si>
  <si>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</si>
  <si>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</si>
  <si>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</si>
  <si>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</si>
  <si>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</si>
  <si>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</si>
  <si>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</si>
  <si>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</si>
  <si>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</si>
  <si>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</si>
  <si>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</si>
  <si>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</si>
  <si>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</si>
  <si>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</si>
  <si>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</si>
  <si>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</si>
  <si>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</si>
  <si>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</si>
  <si>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</si>
  <si>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</si>
  <si>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25.8 Subsistence and Support of Persons</t>
  </si>
  <si>
    <t>26.0 Supplies and Materials</t>
  </si>
  <si>
    <t>31.0 Equipment</t>
  </si>
  <si>
    <t>32.0 Land and Structures</t>
  </si>
  <si>
    <t>41.0 Grants, Subsidies, and Contributions</t>
  </si>
  <si>
    <t>42.0 Insurance Claims and Indemnities</t>
  </si>
  <si>
    <t>Total Obligations</t>
  </si>
  <si>
    <t>Add - Unobligated End-of-Year, Available</t>
  </si>
  <si>
    <t>Total Direct Requirements</t>
  </si>
  <si>
    <t>Full-Time Permanent</t>
  </si>
  <si>
    <t>23.1 Rental Payments to GSA (Reimbursable)</t>
  </si>
  <si>
    <t>25.3 Other Goods and Services from Federal Sources - DHS Security (Reimbursable)</t>
  </si>
  <si>
    <t>Base Adjustments</t>
  </si>
  <si>
    <t>Total Base Adjustments</t>
  </si>
  <si>
    <t>Total Technical and Base Adjustments</t>
  </si>
  <si>
    <t>Estimate FTE</t>
  </si>
  <si>
    <t>Actual FTE</t>
  </si>
  <si>
    <t>Estim. FTE</t>
  </si>
  <si>
    <t>Balance Rescission</t>
  </si>
  <si>
    <t>Total Direct</t>
  </si>
  <si>
    <t>Total Direct and Reimb. FTE</t>
  </si>
  <si>
    <t>Grand Total, FTE</t>
  </si>
  <si>
    <t>Program Activity</t>
  </si>
  <si>
    <t>Justifications for Technical and Base Adjustments</t>
  </si>
  <si>
    <t>TOTAL DIRECT TECHNICAL and BASE ADJUSTMENTS</t>
  </si>
  <si>
    <t>Recoveries/Refunds</t>
  </si>
  <si>
    <t>Obligations by Program Activity</t>
  </si>
  <si>
    <t>11.5 Other Personnel Compensation</t>
  </si>
  <si>
    <t>22.0 Transportation of Things</t>
  </si>
  <si>
    <t>Subtract - Unobligated Balance, Start-of-Year</t>
  </si>
  <si>
    <t>Budgetary Resources</t>
  </si>
  <si>
    <t>Est. FTE</t>
  </si>
  <si>
    <t>Total Direct with Rescission</t>
  </si>
  <si>
    <t>Add - Unobligated End-of-Year, Expiring</t>
  </si>
  <si>
    <t>Carryover:</t>
  </si>
  <si>
    <t>Recoveries/Refunds:</t>
  </si>
  <si>
    <t>Total Technical Adjustments</t>
  </si>
  <si>
    <t>Collections by Source</t>
  </si>
  <si>
    <t>Subtract - Transfers/Reprogramming</t>
  </si>
  <si>
    <t>Subtract - Recoveries/Refunds</t>
  </si>
  <si>
    <t>2013 Enacted</t>
  </si>
  <si>
    <t xml:space="preserve">  2013 Rescissions (1.877% &amp; 0.2%)</t>
  </si>
  <si>
    <t>FY 2015 Request</t>
  </si>
  <si>
    <t>Total 2013 Enacted (with Rescissions and Sequester)</t>
  </si>
  <si>
    <t>2015 Current Services</t>
  </si>
  <si>
    <t>2015 Total Request</t>
  </si>
  <si>
    <t>2015 Total Request (with Balance Rescission)</t>
  </si>
  <si>
    <t>2013 Enacted with Rescissions and Sequester</t>
  </si>
  <si>
    <t>2015 Technical and Base Adjustments</t>
  </si>
  <si>
    <t>2015 Increases</t>
  </si>
  <si>
    <t>2015 Offsets</t>
  </si>
  <si>
    <t>2015 Request</t>
  </si>
  <si>
    <t>FY 2015 Program Changes by Decision Unit</t>
  </si>
  <si>
    <t>Sequester</t>
  </si>
  <si>
    <t>2013 Actual</t>
  </si>
  <si>
    <t>Crosswalk of 2014 Availability</t>
  </si>
  <si>
    <t>2014 Availability</t>
  </si>
  <si>
    <t>2014 Planned</t>
  </si>
  <si>
    <r>
      <t xml:space="preserve">2013 Appropriation Enacted w/o Balance Rescission </t>
    </r>
    <r>
      <rPr>
        <b/>
        <vertAlign val="superscript"/>
        <sz val="11"/>
        <color theme="1"/>
        <rFont val="Arial"/>
        <family val="2"/>
      </rPr>
      <t>1</t>
    </r>
  </si>
  <si>
    <t>Footnotes:</t>
  </si>
  <si>
    <t>Supplementals</t>
  </si>
  <si>
    <t>1) The 2013 Enacted appropriation includes the 2 across-the-board rescissions of 1.877% and 0.2%</t>
  </si>
  <si>
    <t xml:space="preserve">  2013 Sequester</t>
  </si>
  <si>
    <t>2015 Balance Rescission</t>
  </si>
  <si>
    <t>Direct Positions</t>
  </si>
  <si>
    <t>FTE</t>
  </si>
  <si>
    <t>Note: The FTE for FY 2013 is actual and for FY 2014 and FY 2015 is estimated.</t>
  </si>
  <si>
    <t>Location of Description in Narrative</t>
  </si>
  <si>
    <t>2013 Enacted with Rescissions &amp; Sequestration</t>
  </si>
  <si>
    <t>2014 Enacted</t>
  </si>
  <si>
    <t>Total 2014 Enacted (with Balance Rescission)</t>
  </si>
  <si>
    <t>FY 2014 Enacted</t>
  </si>
  <si>
    <t>2014 - 2015 Total Change</t>
  </si>
  <si>
    <t>Office of Justice Programs</t>
  </si>
  <si>
    <t>Management and Administration</t>
  </si>
  <si>
    <t>Increases:</t>
  </si>
  <si>
    <r>
      <rPr>
        <u/>
        <sz val="9"/>
        <color theme="1"/>
        <rFont val="Arial"/>
        <family val="2"/>
      </rPr>
      <t xml:space="preserve">FERS Regular/Law Enforcement Retirement Contribution:
</t>
    </r>
    <r>
      <rPr>
        <sz val="9"/>
        <color theme="1"/>
        <rFont val="Arial"/>
        <family val="2"/>
      </rPr>
      <t xml:space="preserve">Effective October 1, 2014 (FY 2015), the </t>
    </r>
    <r>
      <rPr>
        <b/>
        <sz val="9"/>
        <color theme="1"/>
        <rFont val="Arial"/>
        <family val="2"/>
      </rPr>
      <t xml:space="preserve">new agency contribution rates of 13.2% (up from the current 11.9%, or an increase of 1.3%) and 28.8% for law enforcement personnel (up from the current 26.3%, or an increase of 2.5%).  </t>
    </r>
    <r>
      <rPr>
        <sz val="9"/>
        <color theme="1"/>
        <rFont val="Arial"/>
        <family val="2"/>
      </rPr>
      <t xml:space="preserve">The amount requested, </t>
    </r>
    <r>
      <rPr>
        <u/>
        <sz val="9"/>
        <color theme="1"/>
        <rFont val="Arial"/>
        <family val="2"/>
      </rPr>
      <t>$798K</t>
    </r>
    <r>
      <rPr>
        <sz val="9"/>
        <color theme="1"/>
        <rFont val="Arial"/>
        <family val="2"/>
      </rPr>
      <t xml:space="preserve">, represents the funds needed to cover this increase. </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</si>
  <si>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t>
    </r>
    <r>
      <rPr>
        <u/>
        <sz val="9"/>
        <color theme="1"/>
        <rFont val="Arial"/>
        <family val="2"/>
      </rPr>
      <t>$109K</t>
    </r>
    <r>
      <rPr>
        <sz val="9"/>
        <color theme="1"/>
        <rFont val="Arial"/>
        <family val="2"/>
      </rPr>
      <t xml:space="preserve"> is necessary to meet our increased retirement obligations as a result of this conversion.</t>
    </r>
  </si>
  <si>
    <r>
      <t>Health Insurance:</t>
    </r>
    <r>
      <rPr>
        <sz val="9"/>
        <color theme="1"/>
        <rFont val="Arial"/>
        <family val="2"/>
      </rPr>
      <t xml:space="preserve">
Effective January 2015, the component's contribution to Federal employees' health insurance increases by 2.4 percent.  Applied against the 2014 estimate of </t>
    </r>
    <r>
      <rPr>
        <u/>
        <sz val="9"/>
        <color theme="1"/>
        <rFont val="Arial"/>
        <family val="2"/>
      </rPr>
      <t>$3,613K</t>
    </r>
    <r>
      <rPr>
        <sz val="9"/>
        <color theme="1"/>
        <rFont val="Arial"/>
        <family val="2"/>
      </rPr>
      <t xml:space="preserve">, the additional amount required is </t>
    </r>
    <r>
      <rPr>
        <u/>
        <sz val="9"/>
        <color theme="1"/>
        <rFont val="Arial"/>
        <family val="2"/>
      </rPr>
      <t>$85K</t>
    </r>
    <r>
      <rPr>
        <sz val="9"/>
        <color theme="1"/>
        <rFont val="Arial"/>
        <family val="2"/>
      </rPr>
      <t>.</t>
    </r>
  </si>
  <si>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t>
    </r>
    <r>
      <rPr>
        <u/>
        <sz val="9"/>
        <color theme="1"/>
        <rFont val="Arial"/>
        <family val="2"/>
      </rPr>
      <t>$2,100K</t>
    </r>
    <r>
      <rPr>
        <sz val="9"/>
        <color theme="1"/>
        <rFont val="Arial"/>
        <family val="2"/>
      </rPr>
      <t xml:space="preserve"> is required to meet our commitment to GSA.  The costs associated with GSA rent were derived through the use of an automated system, which uses the latest inventory data, including rate increases to be effective FY 2015 for each building currently occupied by Department of Justice components, as well as the costs of new space to be occupied.  GSA provides data on the rate increases.</t>
    </r>
  </si>
  <si>
    <t>Social Scientist, Economic, and Kindred (100-199)</t>
  </si>
  <si>
    <t>Engineering and Architecture</t>
  </si>
  <si>
    <t>Physical Sciences (1300-1399)</t>
  </si>
  <si>
    <t>Management and Administration Staffing</t>
  </si>
  <si>
    <r>
      <t xml:space="preserve">Annualization of 2014 Pay Raise:
This pay annualization represents first quarter amounts (October through December) of the 2014 pay increase of 1.0% included in the 2014 President's Budget.  The amount requested </t>
    </r>
    <r>
      <rPr>
        <u/>
        <sz val="9"/>
        <color theme="1"/>
        <rFont val="Arial"/>
        <family val="2"/>
      </rPr>
      <t>$208K</t>
    </r>
    <r>
      <rPr>
        <sz val="9"/>
        <color theme="1"/>
        <rFont val="Arial"/>
        <family val="2"/>
      </rPr>
      <t>, represents the pay amounts for 1/4 of the fiscal year plus appropriate benefits (</t>
    </r>
    <r>
      <rPr>
        <u/>
        <sz val="9"/>
        <color theme="1"/>
        <rFont val="Arial"/>
        <family val="2"/>
      </rPr>
      <t>$150K</t>
    </r>
    <r>
      <rPr>
        <sz val="9"/>
        <color theme="1"/>
        <rFont val="Arial"/>
        <family val="2"/>
      </rPr>
      <t xml:space="preserve"> for pay and </t>
    </r>
    <r>
      <rPr>
        <u/>
        <sz val="9"/>
        <color theme="1"/>
        <rFont val="Arial"/>
        <family val="2"/>
      </rPr>
      <t>$58K</t>
    </r>
    <r>
      <rPr>
        <sz val="9"/>
        <color theme="1"/>
        <rFont val="Arial"/>
        <family val="2"/>
      </rPr>
      <t xml:space="preserve"> for benefits).</t>
    </r>
  </si>
  <si>
    <t>Subtotal, Offsets</t>
  </si>
  <si>
    <t>Regional Information Sharing System</t>
  </si>
  <si>
    <t xml:space="preserve">Offsets: </t>
  </si>
  <si>
    <t>Research, Evaluation and Statistics Base</t>
  </si>
  <si>
    <t>Forensic Science</t>
  </si>
  <si>
    <t>Criminal Justice Statistics Base</t>
  </si>
  <si>
    <t xml:space="preserve">Increases: </t>
  </si>
  <si>
    <t>Restoration of Balance Rescission</t>
  </si>
  <si>
    <t>2014 Balance Rescission</t>
  </si>
  <si>
    <t>2013 Balance Rescission</t>
  </si>
  <si>
    <t xml:space="preserve">  Transfer for 2% RESS set-aside</t>
  </si>
  <si>
    <t xml:space="preserve">  Transfers out to BOP</t>
  </si>
  <si>
    <t xml:space="preserve">  Transfers out to NIST</t>
  </si>
  <si>
    <t xml:space="preserve">  2013 Sequester Cut</t>
  </si>
  <si>
    <t>Research, Evaluation, and Statistics</t>
  </si>
  <si>
    <t xml:space="preserve">      Transfer-NIST</t>
  </si>
  <si>
    <t xml:space="preserve">      National Commission on Forensic Science</t>
  </si>
  <si>
    <t xml:space="preserve">     Transfer-NIST/OLES</t>
  </si>
  <si>
    <t xml:space="preserve">    Redesign of NCVS</t>
  </si>
  <si>
    <t xml:space="preserve">    National Crime Victimization Survey</t>
  </si>
  <si>
    <t>Criminal Justice Statistics Programs</t>
  </si>
  <si>
    <t>Transfers</t>
  </si>
  <si>
    <t>`</t>
  </si>
  <si>
    <t>Total Program Offsets</t>
  </si>
  <si>
    <t>Research, Evaluation and Statistics</t>
  </si>
  <si>
    <t>Total Offsets</t>
  </si>
  <si>
    <r>
      <t>Note</t>
    </r>
    <r>
      <rPr>
        <b/>
        <sz val="11"/>
        <color theme="1"/>
        <rFont val="Arial"/>
        <family val="2"/>
      </rPr>
      <t>:</t>
    </r>
    <r>
      <rPr>
        <sz val="11"/>
        <color theme="1"/>
        <rFont val="Arial"/>
        <family val="2"/>
      </rPr>
      <t xml:space="preserve"> Excludes Balance Rescission and/or Supplemental Appropriations.</t>
    </r>
  </si>
  <si>
    <t>TOTAL</t>
  </si>
  <si>
    <t>Subtotal, Goal 3</t>
  </si>
  <si>
    <t>Strengthen the government-to-government relationship between tribes and the United States, improve public safety in Indian Country, and honor treaty and trust responsibilities through consistent, coordinated policies, activities, and litigation</t>
  </si>
  <si>
    <t xml:space="preserve">Adjudicate all immigration cases promptly and impartially in accordance with due process </t>
  </si>
  <si>
    <t>Prevent and respond to genocide and mass atrocities and ensure that perpetrators of such crimes are held accountable in the United States, and if appropriate, their home countries</t>
  </si>
  <si>
    <t>Apprehend fugitives to ensure their appearance for federal judicial proceedings or confinement</t>
  </si>
  <si>
    <t>Reform and strengthen America’s criminal justice system by targeting only the most serious offenses for federal prosecution, expanding the use of diversion programs, and aiding inmates in reentering society</t>
  </si>
  <si>
    <t>Provide safe, secure, humane, and cost effective confinement and transportation of federal detainees and inmates</t>
  </si>
  <si>
    <t>Protect judges, witnesses, and other participants in federal proceedings by anticipating, deterring, and investigating threats of violence</t>
  </si>
  <si>
    <t>Promote and strengthen relationships and strategies for the administration of justice with law enforcement agencies, organizations, prosecutors, and defenders, through innovative leadership and programs</t>
  </si>
  <si>
    <t>Ensure and Support the Fair, Impartial, Efficient, and Transparent Administration of Justice at the Federal, State, Local, Tribal and International Levels.</t>
  </si>
  <si>
    <t>Goal 3</t>
  </si>
  <si>
    <t>Subtotal, Goal 2</t>
  </si>
  <si>
    <t>Protect the federal fisc and defend the interests of the United States</t>
  </si>
  <si>
    <t xml:space="preserve">Promote and protect American civil rights by preventing and prosecuting discriminatory practices </t>
  </si>
  <si>
    <t>Investigate and prosecute corruption, economic crimes, and transnational organized crime</t>
  </si>
  <si>
    <t>Disrupt and dismantle major drug trafficking organizations to combat the threat, trafficking, and use of illegal drugs and the diversion of licit drugs</t>
  </si>
  <si>
    <t xml:space="preserve">Prevent and intervene in crimes against vulnerable populations and uphold the rights of, and improve services to America’s crime victims </t>
  </si>
  <si>
    <t>Combat the threat, incidence, and prevalence of violent crime by leveraging strategic partnerships to investigate, arrest, and prosecute violent offenders and illegal firearms traffickers</t>
  </si>
  <si>
    <t>Prevent Crime, Protect the Rights of the American People, and enforce Federal Law</t>
  </si>
  <si>
    <t>Goal 2</t>
  </si>
  <si>
    <t>Subtotal, Goal 1</t>
  </si>
  <si>
    <t>Combat cyber-based threats and attacks through the use of all available tools, strong public-private partnerships, and the investigation and prosecution of cyber threat actors</t>
  </si>
  <si>
    <t>Investigate and prosecute espionage activity against the United States, strengthen partnerships with potential targets of intelligence intrusions, and proactively prevent insider threats</t>
  </si>
  <si>
    <t>Prosecute those involved in terrorist acts.</t>
  </si>
  <si>
    <t>Prevent, disrupt, and defeat terrorist operations before they occur by integrating intelligence and law enforcement efforts to achieve a coordinated response to terrorist threats</t>
  </si>
  <si>
    <t xml:space="preserve">Prevent Terrorism and Promote the Nation's Security Consistent with the Rule of Law
</t>
  </si>
  <si>
    <t>Goal 1</t>
  </si>
  <si>
    <t>Direct Amount</t>
  </si>
  <si>
    <t>Direct/
Reimb FTE</t>
  </si>
  <si>
    <t>Strategic Goal and Strategic Objective</t>
  </si>
  <si>
    <t>Resources by Department of Justice Strategic Goal/Objective</t>
  </si>
  <si>
    <t>1) The 2013 Enacted appropriation includes the two across-the-board rescissions of 1.877% and 0.2%</t>
  </si>
  <si>
    <t>Transfer to BOP</t>
  </si>
  <si>
    <t>Rescission</t>
  </si>
  <si>
    <t>Other Programs</t>
  </si>
  <si>
    <t>Economic, High-Tech, Cybercrime</t>
  </si>
  <si>
    <t>Offender Reentry</t>
  </si>
  <si>
    <t>Missing and Exploited Children</t>
  </si>
  <si>
    <t>Gun Violence Prosecution</t>
  </si>
  <si>
    <t>DNA and Forensics</t>
  </si>
  <si>
    <t>Domestic Terrorism Technology Development Program</t>
  </si>
  <si>
    <t>Redesign and Development of Data Collection Programs for Indian Country</t>
  </si>
  <si>
    <t>Victim Notification System</t>
  </si>
  <si>
    <t>Crime Solutions.Gov (Evaluation Clearinghouse/What Works Repository</t>
  </si>
  <si>
    <t xml:space="preserve">           Transfers/NISTOLES</t>
  </si>
  <si>
    <t>Research, Development and Evaluation</t>
  </si>
  <si>
    <t>Criminal Justice Statistics</t>
  </si>
  <si>
    <t>Crime Solutions.gov (Evaluation Clearinghouse/What Works Repository)</t>
  </si>
  <si>
    <t xml:space="preserve">    Transfers/NIST/OLES</t>
  </si>
  <si>
    <t>Research, Development and Evaluation Programs</t>
  </si>
  <si>
    <t xml:space="preserve">    Redesign of the NCVS</t>
  </si>
  <si>
    <t>Various Agencies</t>
  </si>
  <si>
    <t>NIJ Research on Violence Against Indian Women</t>
  </si>
  <si>
    <t>Elder Abuse</t>
  </si>
  <si>
    <t>DOD</t>
  </si>
  <si>
    <t>OVW</t>
  </si>
  <si>
    <t>COPS</t>
  </si>
  <si>
    <t>Department of Justice</t>
  </si>
  <si>
    <t>Total Program Change Requests</t>
  </si>
  <si>
    <t>Research, Development, and Evaluation</t>
  </si>
  <si>
    <t>Grades</t>
  </si>
  <si>
    <t>Financial Analysis of Program Changes</t>
  </si>
  <si>
    <t>Vision 21</t>
  </si>
  <si>
    <t>Violent Gang and Gun Crime Reduction (S&amp;L Gun Crime Prosecution Assistance)</t>
  </si>
  <si>
    <t>Victims of Trafficking</t>
  </si>
  <si>
    <t>Veterans Treatment Courts</t>
  </si>
  <si>
    <t>State Criminal Alien Assistance Program (SCAAP)</t>
  </si>
  <si>
    <t>Prison Rape Prevention and Prosecution Program</t>
  </si>
  <si>
    <t>Paul Coverdell Grants</t>
  </si>
  <si>
    <t>National Instant Criminal Background Check System (NICS) Grants</t>
  </si>
  <si>
    <t>Missing Alzheimer's Patient Alert Program</t>
  </si>
  <si>
    <t xml:space="preserve">Mentally Ill Offender Act Program </t>
  </si>
  <si>
    <t>John R. Justice Loan Repayment Grant Program</t>
  </si>
  <si>
    <t>Indian Country Initiatives</t>
  </si>
  <si>
    <t xml:space="preserve">Drug Court Program </t>
  </si>
  <si>
    <t>DNA Related and Forensic Programs and Activities</t>
  </si>
  <si>
    <t>Campus Public Safety - National Center for Public Safety</t>
  </si>
  <si>
    <t>Bulletproof Vest Partnership</t>
  </si>
  <si>
    <t>Second Chance Act/Offender Re-entry</t>
  </si>
  <si>
    <t>Residential Substance Abuse Treatment</t>
  </si>
  <si>
    <t xml:space="preserve">Project Hawaii Opportunity Probation with Enforcement (HOPE) </t>
  </si>
  <si>
    <t>Problem Solving Courts (Drug, Mental Health, Other) / Problem Solving Justice</t>
  </si>
  <si>
    <t xml:space="preserve">National Criminal Records History Improvement Program (NCHIP) </t>
  </si>
  <si>
    <t>Justice Reinvestment (Criminal Justice Reform and Recidivism Reduction)</t>
  </si>
  <si>
    <t>Economic, High-tech, and Cybercrime Prevention</t>
  </si>
  <si>
    <t>Defending Childhood/Children Exposed to Violence</t>
  </si>
  <si>
    <t>Byrne Criminal Justice Innovation Program</t>
  </si>
  <si>
    <t>Byrne Competitive Grants</t>
  </si>
  <si>
    <t xml:space="preserve">  Transfers from OVW and COPS to BJA</t>
  </si>
  <si>
    <t xml:space="preserve">  Transfer for 2% RES set-aside</t>
  </si>
  <si>
    <t>State and Local Law Enforcement Assistance</t>
  </si>
  <si>
    <t>Smart Probation</t>
  </si>
  <si>
    <t xml:space="preserve">Pay for Success (Permanent Supportive Housing Model) </t>
  </si>
  <si>
    <t xml:space="preserve">Pay for Success  (discretionary) </t>
  </si>
  <si>
    <t>Children of Incarcerated Parents Demonstration Grants</t>
  </si>
  <si>
    <t xml:space="preserve">Second Chance Act/Offender Re-entry </t>
  </si>
  <si>
    <t>Prescription Drug Monitoring Program</t>
  </si>
  <si>
    <t xml:space="preserve">National Sex Offender Public Website </t>
  </si>
  <si>
    <t>National Instant Criminal Background Check System (NICS) Initiative</t>
  </si>
  <si>
    <t>Task Force on Federal Corrections</t>
  </si>
  <si>
    <t>Emergency Law Enforcement Assistance</t>
  </si>
  <si>
    <t>Intellectual Property Enforcement Program</t>
  </si>
  <si>
    <t>Economic, High-tech, Cybercrime Prevention</t>
  </si>
  <si>
    <t>Sexual Assault Kit Backlog Reduction</t>
  </si>
  <si>
    <t>Sexual Assault Nurse Examiners</t>
  </si>
  <si>
    <t>Post-Conviction DNA Testing</t>
  </si>
  <si>
    <t>DNA Backlog</t>
  </si>
  <si>
    <t xml:space="preserve">Court Appointed Special Advocate Program </t>
  </si>
  <si>
    <t>Research and Evaluation</t>
  </si>
  <si>
    <t>Pilot Grants</t>
  </si>
  <si>
    <t>Comprehensive School Safety Initiative</t>
  </si>
  <si>
    <t>Capital Litigation Improvement Grant Program</t>
  </si>
  <si>
    <t>Voter Education on Puerto Rico Plebiscite</t>
  </si>
  <si>
    <t>VALOR Initiative</t>
  </si>
  <si>
    <t>State and Local Assistance Help Desk and Diagnostic Center (E2l)</t>
  </si>
  <si>
    <t>State and Local Antiterrorism Training (SLATT)</t>
  </si>
  <si>
    <t>Smart Prosecution</t>
  </si>
  <si>
    <t>Smart Policing</t>
  </si>
  <si>
    <t>Research on Domestic Radicalization</t>
  </si>
  <si>
    <t>Bulletproof Vests Partnership</t>
  </si>
  <si>
    <t xml:space="preserve">Byrne Justice Assistance Grants (JAG) </t>
  </si>
  <si>
    <t>NIST Transfer</t>
  </si>
  <si>
    <t>Border Initiatives</t>
  </si>
  <si>
    <t>Adam Walsh Act</t>
  </si>
  <si>
    <t>Total Direct and Reims. FTE</t>
  </si>
  <si>
    <t>OVW Undistributed</t>
  </si>
  <si>
    <t>JAG - SORNA Penalty</t>
  </si>
  <si>
    <t>National Offender Reentry</t>
  </si>
  <si>
    <t>Violence Against Women in Indian Country</t>
  </si>
  <si>
    <t>NIJ Research and Evaluation Violence Against Women</t>
  </si>
  <si>
    <t>STOP/Law Enforcement &amp; Prosecution  (Formula)-OVW</t>
  </si>
  <si>
    <t>STOP Earmark for Violence Against Women Research Agenda</t>
  </si>
  <si>
    <t>Violent Offender Incarceration</t>
  </si>
  <si>
    <t>Byrne S&amp;L Justice Improvement Discretionary Grants</t>
  </si>
  <si>
    <t>Sex Offender Mgmt.. Training Program to Assist Probation and Parole Officers</t>
  </si>
  <si>
    <t>National Stalker and Domestic Violence Reduction Program</t>
  </si>
  <si>
    <t>Safe Havens for Children</t>
  </si>
  <si>
    <t>Safe Start</t>
  </si>
  <si>
    <t>Southwest Border</t>
  </si>
  <si>
    <t>Local Law Enforcement Block Grants(LLEBG)</t>
  </si>
  <si>
    <t>Juvenile Accountability Block Grants (JABG)</t>
  </si>
  <si>
    <t>Gang Prevention-COPS</t>
  </si>
  <si>
    <t>Byrne Formula Grants</t>
  </si>
  <si>
    <t>Violent Gang and Gun Crime Reduction</t>
  </si>
  <si>
    <t xml:space="preserve">     Pay for Success (Permanent Supportive Housing Model)</t>
  </si>
  <si>
    <t xml:space="preserve">     Pay for Success (discretionary)</t>
  </si>
  <si>
    <t xml:space="preserve">     Children of Incarcerated Parents Demonstration Grants</t>
  </si>
  <si>
    <t>Second Chance Act/Offender Reentry</t>
  </si>
  <si>
    <t>Project Hawaii Opportunity Probation with Enforcement (HOPE)</t>
  </si>
  <si>
    <t>National Sex Offender Public Website</t>
  </si>
  <si>
    <t>National Criminal Records History Improvement Program (NCHIP)</t>
  </si>
  <si>
    <t>Mentally Ill Offender Act Program</t>
  </si>
  <si>
    <t>Justice Reinvestment/Criminal Justice Reform and Recidivism Reduction</t>
  </si>
  <si>
    <t xml:space="preserve">      Intellectual Property Enforcement Program</t>
  </si>
  <si>
    <t>Economic, High-Tech, Cybercrime Prevention</t>
  </si>
  <si>
    <t>Drug Court Program</t>
  </si>
  <si>
    <t xml:space="preserve">     Sexual Assault Nurse Examiners</t>
  </si>
  <si>
    <t xml:space="preserve">     Post-Conviction DNA Testing</t>
  </si>
  <si>
    <t xml:space="preserve">     DNA Backlog</t>
  </si>
  <si>
    <t>Court Appointed Special Advocate Program</t>
  </si>
  <si>
    <t xml:space="preserve">  JFAA/Wrongful Prosecution Review</t>
  </si>
  <si>
    <t>Campus Public Safety</t>
  </si>
  <si>
    <t>Byrne Incentive Grants</t>
  </si>
  <si>
    <t xml:space="preserve">     Voter Education on Puerto Rico Plebiscite</t>
  </si>
  <si>
    <t xml:space="preserve">     Smart Prosecution</t>
  </si>
  <si>
    <t xml:space="preserve">     Smart Policing</t>
  </si>
  <si>
    <t xml:space="preserve">     VALOR Initiative</t>
  </si>
  <si>
    <t xml:space="preserve">     State and Local Assistance Help Desk and Diagnostic Center (E2I)</t>
  </si>
  <si>
    <t xml:space="preserve">     Criminal Justice Reform and Recidivism Reduction</t>
  </si>
  <si>
    <t xml:space="preserve">     Research on Domestic Radicalization</t>
  </si>
  <si>
    <t xml:space="preserve">     State and Local Antiterrorism Training (SLATT)</t>
  </si>
  <si>
    <t>Byrne Justice Assistance Grants</t>
  </si>
  <si>
    <t xml:space="preserve">     NIST Transfer</t>
  </si>
  <si>
    <t>Reprogramming/
Transfers</t>
  </si>
  <si>
    <t>Supplemental</t>
  </si>
  <si>
    <t>STOP Violence on College Campuses-OVW</t>
  </si>
  <si>
    <t>STOP Training and Technical Assistance-OVW</t>
  </si>
  <si>
    <t>Truth in Sentencing</t>
  </si>
  <si>
    <t>JFAA/Wrongful Prosecution Review</t>
  </si>
  <si>
    <t>Byrne Competitive Grants - Active Shooter Training</t>
  </si>
  <si>
    <t>Office of Director of National Intelligence/ISE</t>
  </si>
  <si>
    <t>FBI</t>
  </si>
  <si>
    <t>Department of Education</t>
  </si>
  <si>
    <t>CDC</t>
  </si>
  <si>
    <t>Offset</t>
  </si>
  <si>
    <t xml:space="preserve"> National Instant Criminal Background Check System (NICS) Initiative</t>
  </si>
  <si>
    <t>Increase</t>
  </si>
  <si>
    <t>Procedural Justice - Building Community Trust</t>
  </si>
  <si>
    <t>Justice Reinvestment (CJ Reform &amp; Recidivism Reduction)</t>
  </si>
  <si>
    <t>Indigent Defense Initiative-- Answering Gideon's Call</t>
  </si>
  <si>
    <t>Community Teams to Reduce the SAK Backlog</t>
  </si>
  <si>
    <t>Civil Legal Aid - Competitive Grant</t>
  </si>
  <si>
    <t>Unobligated End-of-Year, Expiring</t>
  </si>
  <si>
    <t>Transfers/Reprogramming</t>
  </si>
  <si>
    <t>Unobligated Balance, Start-of-Year</t>
  </si>
  <si>
    <t>Youth Mentoring</t>
  </si>
  <si>
    <t>VOCA - Improving Investigation and Prosecution of Child Abuse Program</t>
  </si>
  <si>
    <t>Part B: Formula Grants</t>
  </si>
  <si>
    <t>National Forum on Youth Violence Prevention</t>
  </si>
  <si>
    <t xml:space="preserve">Juvenile Justice Realignment Incentive Grants </t>
  </si>
  <si>
    <t xml:space="preserve">Juvenile Accountability Block Grant (JABG) Program </t>
  </si>
  <si>
    <t xml:space="preserve">Indigent Defense Initiative-- Improving Juvenile Indigent Defense Program </t>
  </si>
  <si>
    <t xml:space="preserve">Girls in the Juvenile Justice System </t>
  </si>
  <si>
    <t>Delinquency Prevention Program (formerly Title V: Local Delinquency Prevention Incentive Grants)</t>
  </si>
  <si>
    <t>Community-Based Violence Prevention Initiative</t>
  </si>
  <si>
    <t>Restoration of FY 2014 Balance Rescission</t>
  </si>
  <si>
    <t>Transfers to Research, Evaluation, and Statistics for RES 2% set-aside</t>
  </si>
  <si>
    <t>Juvenile Justice Programs</t>
  </si>
  <si>
    <t>JABG Activities</t>
  </si>
  <si>
    <t>Emergency Planning - Juvenile Detention Facilities</t>
  </si>
  <si>
    <t xml:space="preserve">Part B: Formula Grants </t>
  </si>
  <si>
    <t xml:space="preserve">Missing and Exploited Children </t>
  </si>
  <si>
    <t>Juvenile Justice Realignment Incentive Grants</t>
  </si>
  <si>
    <t>Juvenile Accountability Block Grant (JABG) Program</t>
  </si>
  <si>
    <t>Indigent Defense Initiative-- Improving Juvenile Indigent Defense Program</t>
  </si>
  <si>
    <t>Girls in the Juvenile Justice System</t>
  </si>
  <si>
    <t>Tribal Youth Program</t>
  </si>
  <si>
    <t xml:space="preserve">Juvenile Justice and Education Collaboration Assistance </t>
  </si>
  <si>
    <t>Gang Prevention/Gang and Youth Violence Prevention and Intervention Initiatives</t>
  </si>
  <si>
    <t>Enforcing Underage Drinking Laws</t>
  </si>
  <si>
    <t xml:space="preserve">Children of Incarcerated Parents (COIP) Web Portal </t>
  </si>
  <si>
    <t xml:space="preserve">Child Abuse Training Programs for Judicial Personnel and Practitioners </t>
  </si>
  <si>
    <t>Enacted Rescissions: $5.3M unobligated balance rescission as required by P.L. 113-76.</t>
  </si>
  <si>
    <t>$2.6M is direct carryover as of September 30, 2013.</t>
  </si>
  <si>
    <t>Transfers are the 2% RES set-aside</t>
  </si>
  <si>
    <t>$1.2M for recoveries/refunds as of December 2013.</t>
  </si>
  <si>
    <t>Child Abuse Training Programs for Judicial Personnel &amp; Practitioners</t>
  </si>
  <si>
    <t xml:space="preserve">Department of Education </t>
  </si>
  <si>
    <t xml:space="preserve">U.S. Secret Service </t>
  </si>
  <si>
    <t>Department of Health and Human Services</t>
  </si>
  <si>
    <t xml:space="preserve">Delinquency Prevention Program </t>
  </si>
  <si>
    <t xml:space="preserve">Subtract - Balance Rescission </t>
  </si>
  <si>
    <t>Public Safety Officers Benefits</t>
  </si>
  <si>
    <t>PSOB Disability and Education Benefits (Discretionary)</t>
  </si>
  <si>
    <t>Recoveries are $263K as of September 30, 2013.</t>
  </si>
  <si>
    <t>PSOB Death Benefits (Mandatory)</t>
  </si>
  <si>
    <t>Recoveries are $287K as of December 31, 2013.</t>
  </si>
  <si>
    <t>Add - Withdrawn/Cancelled Appropriations</t>
  </si>
  <si>
    <t>Crime Victims Fund (Obligation Cap Increase and Vision 21)</t>
  </si>
  <si>
    <t>2013 Hurricane Sandy Supplemental</t>
  </si>
  <si>
    <t>Crime Victims Fund</t>
  </si>
  <si>
    <t>Crime Victims Fund (CVF Obligations Cap and Vision 21)</t>
  </si>
  <si>
    <t xml:space="preserve">Crime Victims Fund </t>
  </si>
  <si>
    <t>Restore Reserve Fund</t>
  </si>
  <si>
    <r>
      <t xml:space="preserve">21.  The Department shall submit to the Committees a report no later than September 1, 2014, specifying the amount of the rescission from State and Local Law Enforcement Activities, Office of Justice Programs.   </t>
    </r>
    <r>
      <rPr>
        <i/>
        <sz val="12"/>
        <rFont val="Arial"/>
        <family val="2"/>
      </rPr>
      <t>Target response to Committees September 2014.</t>
    </r>
  </si>
  <si>
    <r>
      <t xml:space="preserve">20.  The Senate Committee encourages OJJDP to conduct its studies on child victimization, both in person and on the Internet, once every 3 years, at minimum.  </t>
    </r>
    <r>
      <rPr>
        <i/>
        <sz val="12"/>
        <rFont val="Arial"/>
        <family val="2"/>
      </rPr>
      <t>Target response to Committees September 2014.</t>
    </r>
  </si>
  <si>
    <r>
      <t xml:space="preserve">18.  The Senate Committee directs OJP to submit to the Committee within 45 days of enactment of this act a review of OJP's grant guidelines and regulations to ensure they are consistent with the law and protect the ability of grantees to participate in voluntary religious activities initiated and carried out by program participants. The review shall outline plans to improve the Department's outreach activities to potential grant applicants regarding the right of program participants to participate in voluntary religious activities.  </t>
    </r>
    <r>
      <rPr>
        <i/>
        <sz val="12"/>
        <rFont val="Arial"/>
        <family val="2"/>
      </rPr>
      <t>Target response to Committees March 2014.</t>
    </r>
  </si>
  <si>
    <r>
      <t xml:space="preserve">17.  The Department shall detail, as part of its budget submission for FY 2015 and future years, the actual costs for each grant office with respect to training, technical assistance, research and statistics, and peer review for the prior fiscal year, along with estimates of planned expenditures by each grant office in each of these categories for the current year and the budget year.  </t>
    </r>
    <r>
      <rPr>
        <i/>
        <sz val="12"/>
        <rFont val="Arial"/>
        <family val="2"/>
      </rPr>
      <t>Target response to Committees March 2014.</t>
    </r>
  </si>
  <si>
    <r>
      <t xml:space="preserve">16.  The Department shall report to the House Committee no later than 45 days after enactment of this Act on the status of the Katie Sepich Enhanced DNA Collection Act program, which authorizes grants to assist states with the costs of collecting arrestee DNA.  </t>
    </r>
    <r>
      <rPr>
        <i/>
        <sz val="12"/>
        <rFont val="Arial"/>
        <family val="2"/>
      </rPr>
      <t>Target response to Committees March 2014.</t>
    </r>
  </si>
  <si>
    <r>
      <t xml:space="preserve">15.  NIJ shall develop and implement the Comprehensive School Safety Initiative and shall report to the Committees on Appropriations no later than 90 days after the date of enactment of this Act on its implementation plans. This implementation report may require providing information on use of funds.
NIJ shall collaborate with key partners from law enforcement, mental health, and education disciplines to develop a strategy and model for comprehensive school safety. The model should take into account concerns about the "school-to-prison pipeline" discussed in the Senate report. NIJ shall provide to the Committees on Appropriations a report detailing the results of this effort and an outline of the model not later than 90 days after the date of enactment of this Act. Immediately following the development of this model the NIJ shall make it available via the Department of Justice website.  </t>
    </r>
    <r>
      <rPr>
        <i/>
        <sz val="12"/>
        <rFont val="Arial"/>
        <family val="2"/>
      </rPr>
      <t>Target response to Committees April 2014.</t>
    </r>
  </si>
  <si>
    <r>
      <t xml:space="preserve">14.  BJS shall report to the House Committee its findings regarding honor violence in the United States, as well as plans and recommendations for statistical data collection no later than one year after enactment of this Act. The report shall include statistics on the incidence of honor violence in the United States.  </t>
    </r>
    <r>
      <rPr>
        <i/>
        <sz val="12"/>
        <rFont val="Arial"/>
        <family val="2"/>
      </rPr>
      <t>Target response to Committees January 2015.</t>
    </r>
  </si>
  <si>
    <r>
      <t xml:space="preserve">12.  OJP is directed to provide a report and spend plan to the Senate Committee detailing the criteria and methodology that will be used to award Youth Mentoring Grants.  The Senate Committee expects that OJJDP will take all steps necessary to ensure fairness and objectivity in the award of these and future competitive grants.  </t>
    </r>
    <r>
      <rPr>
        <i/>
        <sz val="12"/>
        <rFont val="Arial"/>
        <family val="2"/>
      </rPr>
      <t>Target response to Committees February 2014.</t>
    </r>
  </si>
  <si>
    <r>
      <t xml:space="preserve">11.  The Senate Committee directs OJP to submit as part of its spending plan for State and Local Law Enforcement Activities a plan for the administration of Part B State Formula Grants.  The Committee expects this plan to include details pertaining to the formulas utilized in awarding grants under this heading and a plan for State-based competitions promoting community-based integrated continuums of service for at-risk juveniles and their families.  </t>
    </r>
    <r>
      <rPr>
        <i/>
        <sz val="12"/>
        <rFont val="Arial"/>
        <family val="2"/>
      </rPr>
      <t>Target response to Committees February 2014.</t>
    </r>
  </si>
  <si>
    <r>
      <t xml:space="preserve">10.  The Senate Committee directs the Department to submit as part of its spending plan for State and Local Law Enforcement Activities a plan for the use of all funding administered by the Office for Victims of Crime for Vision 21.  </t>
    </r>
    <r>
      <rPr>
        <i/>
        <sz val="12"/>
        <rFont val="Arial"/>
        <family val="2"/>
      </rPr>
      <t>Target response to Committees February 2014.</t>
    </r>
  </si>
  <si>
    <r>
      <t xml:space="preserve">9.  The spend plan must include planned uses of funds for human trafficking task force activities and for services for victims, which may also be used to develop, expand and strengthen assistance programs for child victims of sex and labor trafficking. 
OJP shall consult with stakeholder groups in determining the overall allocation of Victims of Trafficking funding, including amounts allocated to assist foreign national victims, and shall provide to the Senate Committee a plan for the use of these funds as part of the Department's FY 2014 spending plan. The spending plan should be guided by the best information available on the regions of the United States with the highest incidence of trafficking. </t>
    </r>
    <r>
      <rPr>
        <i/>
        <sz val="12"/>
        <rFont val="Arial"/>
        <family val="2"/>
      </rPr>
      <t xml:space="preserve"> Target response to Committees February 2014.</t>
    </r>
  </si>
  <si>
    <r>
      <t xml:space="preserve">8.  The Department shall submit to the Senate Committee as part of its spending plan for State and Local Law Enforcement Activities a plan for the use of all funding administered by NIJ and BJS for approval by the Committee prior to the obligation of any such funds.  </t>
    </r>
    <r>
      <rPr>
        <i/>
        <sz val="12"/>
        <rFont val="Arial"/>
        <family val="2"/>
      </rPr>
      <t>Target response to Committees February 2014.</t>
    </r>
  </si>
  <si>
    <r>
      <t xml:space="preserve">7.  The House and Senate Committees direct the Department to submit to the Committee as part of its spending plan for State and Local Law Enforcement Activities a plan with respect to funds appropriated for DNA-related and forensic programs, including the alignment of appropriated funds with the authorized purposes of the Debbie Smith DNA Backlog Grant Program.  </t>
    </r>
    <r>
      <rPr>
        <i/>
        <sz val="12"/>
        <rFont val="Arial"/>
        <family val="2"/>
      </rPr>
      <t>Target response to Committees February 2014.</t>
    </r>
  </si>
  <si>
    <r>
      <t xml:space="preserve">6.  OJP is directed to provide a report as part of the Department's spend plan to the Committee, which details the criteria and methodology that will be used to award Byrne Competitive Grants. The Committee expects that OJP will take all steps necessary to ensure fairness and objectivity in the award of these and future competitive grants.  </t>
    </r>
    <r>
      <rPr>
        <i/>
        <sz val="12"/>
        <rFont val="Arial"/>
        <family val="2"/>
      </rPr>
      <t>Target response to Committees February 2014.</t>
    </r>
  </si>
  <si>
    <r>
      <t xml:space="preserve">5.  The spend plan must include a plan for the use of all funds appropriated for Second Chance Act programs. It is expected that such plan will designate funds for proven, evidence-based programs that will further the goal of maximizing public safety, as well as for promising new approaches and projects. The plan should include new initiatives requested by the Department that are funded in this recommendation.  </t>
    </r>
    <r>
      <rPr>
        <i/>
        <sz val="12"/>
        <rFont val="Arial"/>
        <family val="2"/>
      </rPr>
      <t>Target response to Committees February 2014.</t>
    </r>
  </si>
  <si>
    <r>
      <t xml:space="preserve">4.  OJP is expected to consult closely with tribal stakeholders in determining how tribal assistance funds will be awarded for detention facilities, courts, alcohol and substance abuse programs, civil and criminal legal assistance, and other priorities. The House and Senate Committees direct OJP to submit, no later than 30 days after enactment of this Act, an allocation of funds that has been informed by OJP’s consultation with tribal stakeholders.  </t>
    </r>
    <r>
      <rPr>
        <i/>
        <sz val="12"/>
        <rFont val="Arial"/>
        <family val="2"/>
      </rPr>
      <t>Target response to Committees February 2014.</t>
    </r>
  </si>
  <si>
    <r>
      <t xml:space="preserve">3.  The Department shall submit a spending plan and related materials for each program funded under the State and Local Law Enforcement Activities heading along with the overall spending plan required by this Act.  In matters in the House report under the State and Local Law Enforcement Activities heading that call for a plan for the use of funds for a specific grant program, such requirement shall be satisfied by inclusion in the overall spending plan unless otherwise provided.   </t>
    </r>
    <r>
      <rPr>
        <i/>
        <sz val="12"/>
        <rFont val="Arial"/>
        <family val="2"/>
      </rPr>
      <t>Target response to Committees February 2014.</t>
    </r>
  </si>
  <si>
    <r>
      <t xml:space="preserve">2.  The Department shall, in preparation of its FY 2014 spending plan, assess management and administration [M&amp;A] expenses against program funding. The Senate Committee directs the Department to ensure that its assessment methodology is equitable and, for programs funded through the Crime Victims Fund, that the assessment reflects a fair representation of the share of each program devoted to common M&amp;A costs. The Senate Committee also directs grant offices to minimize administrative spending in order to maximize the amount of funding that can be used for grants or training and technical assistance.  
The House Committee is concerned with how management and administration costs are being applied to state Victims of Crime Act grants. The House Committee directs the Department to bring administrative and management costs for these grants in line with costs associated with the management of similar Justice grant programs.  </t>
    </r>
    <r>
      <rPr>
        <i/>
        <sz val="12"/>
        <rFont val="Arial"/>
        <family val="2"/>
      </rPr>
      <t>Target response to Committees February 2014.</t>
    </r>
  </si>
  <si>
    <r>
      <t xml:space="preserve">1.  The explanatory statement accompanying the Consolidated and Further Continuing Appropriations Act of 2013 (Public Law 113-6) includes report language requesting that the  Office of Justice Programs (OJP) report annually to the Attorney General and Congress regarding the activities performed by the National Center for Campus Public Safety over the previous twelve months.  </t>
    </r>
    <r>
      <rPr>
        <i/>
        <sz val="12"/>
        <rFont val="Arial"/>
        <family val="2"/>
      </rPr>
      <t>Target response to Committees March 2014.</t>
    </r>
  </si>
  <si>
    <t>Status of Congressionally Requested Studies, Reports, and Evaluations</t>
  </si>
  <si>
    <t>2% RES Set-aside Transfer</t>
  </si>
  <si>
    <t>2% RES Set-Aside to NIJ/BJS</t>
  </si>
  <si>
    <t>Balance Rescissions</t>
  </si>
  <si>
    <t>Unobligated End-of-Year</t>
  </si>
  <si>
    <t>Carryover is $5.7M.</t>
  </si>
  <si>
    <r>
      <t>Community Teams to Reduce the SAK Backlog</t>
    </r>
    <r>
      <rPr>
        <i/>
        <sz val="11"/>
        <color theme="1"/>
        <rFont val="Arial"/>
        <family val="2"/>
      </rPr>
      <t xml:space="preserve"> </t>
    </r>
  </si>
  <si>
    <r>
      <t>Indigent Defense Initiative-- Answering Gideon's Call</t>
    </r>
    <r>
      <rPr>
        <i/>
        <sz val="11"/>
        <color theme="1"/>
        <rFont val="Arial"/>
        <family val="2"/>
      </rPr>
      <t xml:space="preserve"> </t>
    </r>
  </si>
  <si>
    <r>
      <t>Procedural Justice - Building Community Trust</t>
    </r>
    <r>
      <rPr>
        <i/>
        <sz val="11"/>
        <color theme="1"/>
        <rFont val="Arial"/>
        <family val="2"/>
      </rPr>
      <t xml:space="preserve"> </t>
    </r>
  </si>
  <si>
    <r>
      <t>Byrne Incentive Grants</t>
    </r>
    <r>
      <rPr>
        <i/>
        <sz val="11"/>
        <color theme="1"/>
        <rFont val="Arial"/>
        <family val="2"/>
      </rPr>
      <t xml:space="preserve"> </t>
    </r>
  </si>
  <si>
    <t xml:space="preserve">Civil Legal Aid - Competitive Grant (in consult with ATJ) </t>
  </si>
  <si>
    <t xml:space="preserve">Community Teams to Reduce the SAK Backlog </t>
  </si>
  <si>
    <t xml:space="preserve">Indigent Defense Initiative-- Answering Gideon's Call </t>
  </si>
  <si>
    <t xml:space="preserve">Procedural Justice - Building Community Trust </t>
  </si>
  <si>
    <t>Sex Offender Mgmt. Training Program to Assist Probation and Parole Officers</t>
  </si>
  <si>
    <t>Carryover is $2.122M.</t>
  </si>
  <si>
    <t>$1.5M is direct carryover as of December 2013.</t>
  </si>
  <si>
    <t>Total Direct Requirements with Balance Rescission</t>
  </si>
  <si>
    <t>2014 Mandatory Sequester</t>
  </si>
  <si>
    <t>Other Adjustments</t>
  </si>
  <si>
    <t>FY 2013 total obligations include $17M from HHS.</t>
  </si>
  <si>
    <t>$105K for recoveries/refunds as of December 2013.</t>
  </si>
  <si>
    <t>Carryover is $3.6M.</t>
  </si>
  <si>
    <t xml:space="preserve">Recoveries are $4.0M as of December 31, 2013. </t>
  </si>
  <si>
    <t>[1,469]</t>
  </si>
  <si>
    <t>[0]</t>
  </si>
  <si>
    <t>[5,579]</t>
  </si>
  <si>
    <t>[3,720]</t>
  </si>
  <si>
    <t>[1,860]</t>
  </si>
  <si>
    <t>[4,649]</t>
  </si>
  <si>
    <t>[108,798]</t>
  </si>
  <si>
    <t>[3,441]</t>
  </si>
  <si>
    <t>[4,000]</t>
  </si>
  <si>
    <t>[5,000]</t>
  </si>
  <si>
    <t>[2,500]</t>
  </si>
  <si>
    <t>[1,000]</t>
  </si>
  <si>
    <t>[15,000]</t>
  </si>
  <si>
    <t>[117,000]</t>
  </si>
  <si>
    <t>[2,000]</t>
  </si>
  <si>
    <t>[6,000]</t>
  </si>
  <si>
    <t>[10,000]</t>
  </si>
  <si>
    <t>[20,000]</t>
  </si>
  <si>
    <t>[30,000]</t>
  </si>
  <si>
    <t>[467]</t>
  </si>
  <si>
    <t>$6.4M for recoveries/refunds as of September 30, 2013.</t>
  </si>
  <si>
    <t>$1.3M is direct carryover as of September 30, 2013.</t>
  </si>
  <si>
    <t>$4.8M for recoveries/refunds as of September 30, 2013.</t>
  </si>
  <si>
    <t>$4.0M is direct carryover as of December 2013.</t>
  </si>
  <si>
    <t>[1,500]</t>
  </si>
  <si>
    <t>[22,500]</t>
  </si>
  <si>
    <t>Carryover is $26.8M.</t>
  </si>
  <si>
    <t>Carryover is $31.5M.</t>
  </si>
  <si>
    <t>Direct Recoveries are $7.2M as of December 2013.</t>
  </si>
  <si>
    <t>Transfers are $22.1M.</t>
  </si>
  <si>
    <t>[14,257]</t>
  </si>
  <si>
    <t>Carryover is $50.0M.</t>
  </si>
  <si>
    <t>Recoveries are $1.6M as of December 31, 2013.</t>
  </si>
  <si>
    <t>Transfers (Net)</t>
  </si>
  <si>
    <t>[58,500]</t>
  </si>
  <si>
    <t>[55,000]</t>
  </si>
  <si>
    <t xml:space="preserve">Project HOPE Opportunity Probation with Enforcement (HOPE) </t>
  </si>
  <si>
    <t xml:space="preserve">Civil Legal Aid </t>
  </si>
  <si>
    <t>Problem Solving Justice</t>
  </si>
  <si>
    <t xml:space="preserve">Project Hope Opportunity Probation with Enforcement (HOPE) </t>
  </si>
  <si>
    <t>[-117,000]</t>
  </si>
  <si>
    <t>[-3,500)]</t>
  </si>
  <si>
    <t>[3,000]</t>
  </si>
  <si>
    <t>[27,500]</t>
  </si>
  <si>
    <t>Justice Reinvestment  Initiative</t>
  </si>
  <si>
    <t>[-4000]</t>
  </si>
  <si>
    <t>[-2,500]</t>
  </si>
  <si>
    <t>Recoveries are $46.8 and Refunds are $15.1M for a total of $61.9M as of September 2013.</t>
  </si>
  <si>
    <t>Total, VAW</t>
  </si>
  <si>
    <t xml:space="preserve">Research on Violence Against Women in Indian Country </t>
  </si>
  <si>
    <t xml:space="preserve">NIJ Research and Eval Violence Against Women </t>
  </si>
  <si>
    <t xml:space="preserve">OJP Programs Funded Under Violence Against Women: </t>
  </si>
  <si>
    <r>
      <t xml:space="preserve">Rescission (from Unobligated Balances) </t>
    </r>
    <r>
      <rPr>
        <sz val="12"/>
        <color indexed="9"/>
        <rFont val="Times New Roman"/>
        <family val="1"/>
      </rPr>
      <t>*</t>
    </r>
  </si>
  <si>
    <t>OJP Grand Total</t>
  </si>
  <si>
    <t>Total, Transfers-in/Reimbursements</t>
  </si>
  <si>
    <t xml:space="preserve">Total OJP Programs Funded Under Violence Against Women </t>
  </si>
  <si>
    <t>Total, OJP Discretionary/Mandatory</t>
  </si>
  <si>
    <t>Total, OJP Mandatory (PSOB and CVF)</t>
  </si>
  <si>
    <r>
      <t>Domestic Trafficking Victims Grants</t>
    </r>
    <r>
      <rPr>
        <i/>
        <sz val="12"/>
        <color theme="0"/>
        <rFont val="Times New Roman"/>
        <family val="1"/>
      </rPr>
      <t xml:space="preserve"> (new program)</t>
    </r>
  </si>
  <si>
    <r>
      <t>Tribal Assistance for Victims of Violence - Vision 21</t>
    </r>
    <r>
      <rPr>
        <i/>
        <sz val="12"/>
        <color theme="0"/>
        <rFont val="Times New Roman"/>
        <family val="1"/>
      </rPr>
      <t xml:space="preserve"> (new program)</t>
    </r>
  </si>
  <si>
    <t>Crime Victims Fund - Vision 21</t>
  </si>
  <si>
    <t>CVF Obligations Cap</t>
  </si>
  <si>
    <r>
      <t xml:space="preserve">Crime Victims Fund* (Mandatory) </t>
    </r>
    <r>
      <rPr>
        <b/>
        <vertAlign val="superscript"/>
        <sz val="12"/>
        <color theme="0"/>
        <rFont val="Times New Roman"/>
        <family val="1"/>
      </rPr>
      <t>5/9</t>
    </r>
    <r>
      <rPr>
        <vertAlign val="superscript"/>
        <sz val="12"/>
        <color theme="0"/>
        <rFont val="Times New Roman"/>
        <family val="1"/>
      </rPr>
      <t>/</t>
    </r>
  </si>
  <si>
    <t>Subtotal, PSOB Mandatory</t>
  </si>
  <si>
    <r>
      <t>Public Safety Officers Benefits--Mandatory (Death Benefits Program)</t>
    </r>
    <r>
      <rPr>
        <b/>
        <vertAlign val="superscript"/>
        <sz val="12"/>
        <color theme="0"/>
        <rFont val="Times New Roman"/>
        <family val="1"/>
      </rPr>
      <t>15</t>
    </r>
  </si>
  <si>
    <t>NIJ Research and Eval Violence Against Women</t>
  </si>
  <si>
    <t>Gun Safety Research</t>
  </si>
  <si>
    <t>Federal Inmate Research and Evaluation (transfer to BOP)</t>
  </si>
  <si>
    <r>
      <t>Research, Evaluation, and Statistics Set Aside (2% in FY 2013 and FY 2014; 3% in FY 2015)</t>
    </r>
    <r>
      <rPr>
        <i/>
        <sz val="12"/>
        <color theme="0"/>
        <rFont val="Times New Roman"/>
        <family val="1"/>
      </rPr>
      <t xml:space="preserve"> </t>
    </r>
    <r>
      <rPr>
        <i/>
        <vertAlign val="superscript"/>
        <sz val="12"/>
        <color theme="0"/>
        <rFont val="Times New Roman"/>
        <family val="1"/>
      </rPr>
      <t>2/</t>
    </r>
  </si>
  <si>
    <r>
      <t xml:space="preserve">New Flexible Tribal Grant - Set Aside </t>
    </r>
    <r>
      <rPr>
        <i/>
        <vertAlign val="superscript"/>
        <sz val="12"/>
        <color theme="0"/>
        <rFont val="Times New Roman"/>
        <family val="1"/>
      </rPr>
      <t>1/</t>
    </r>
  </si>
  <si>
    <t>Total, OJP Discretionary</t>
  </si>
  <si>
    <t>Subtotal, PSOB Discretionary</t>
  </si>
  <si>
    <t>Public Safety Officers' Benefits Program-Disability and Educational Assistance Benefits Programs</t>
  </si>
  <si>
    <r>
      <t xml:space="preserve">Subtotal, Juvenile Justice Programs </t>
    </r>
    <r>
      <rPr>
        <b/>
        <vertAlign val="superscript"/>
        <sz val="12"/>
        <color theme="0"/>
        <rFont val="Times New Roman"/>
        <family val="1"/>
      </rPr>
      <t>7/</t>
    </r>
  </si>
  <si>
    <r>
      <t xml:space="preserve">Part B: Formula Grants </t>
    </r>
    <r>
      <rPr>
        <vertAlign val="superscript"/>
        <sz val="12"/>
        <color theme="0"/>
        <rFont val="Times New Roman"/>
        <family val="1"/>
      </rPr>
      <t>6/</t>
    </r>
  </si>
  <si>
    <r>
      <t xml:space="preserve">Missing and Exploited Children </t>
    </r>
    <r>
      <rPr>
        <vertAlign val="superscript"/>
        <sz val="12"/>
        <color theme="0"/>
        <rFont val="Times New Roman"/>
        <family val="1"/>
      </rPr>
      <t>14/</t>
    </r>
  </si>
  <si>
    <r>
      <t>Juvenile Justice Realignment Incentive Grants</t>
    </r>
    <r>
      <rPr>
        <i/>
        <sz val="12"/>
        <color theme="0"/>
        <rFont val="Times New Roman"/>
        <family val="1"/>
      </rPr>
      <t xml:space="preserve"> (new program in FY 2014 PB)</t>
    </r>
  </si>
  <si>
    <r>
      <t xml:space="preserve">Juvenile Accountability Block Grant (JABG) Program </t>
    </r>
    <r>
      <rPr>
        <vertAlign val="superscript"/>
        <sz val="12"/>
        <color theme="0"/>
        <rFont val="Times New Roman"/>
        <family val="1"/>
      </rPr>
      <t>6/</t>
    </r>
  </si>
  <si>
    <r>
      <t>Girls in the Juvenile Justice System</t>
    </r>
    <r>
      <rPr>
        <i/>
        <sz val="12"/>
        <color theme="0"/>
        <rFont val="Times New Roman"/>
        <family val="1"/>
      </rPr>
      <t xml:space="preserve"> (new program in FY 2014 PB)</t>
    </r>
  </si>
  <si>
    <r>
      <t>Juvenile Justice and Education Collaboration Assistance  (JJECA)</t>
    </r>
    <r>
      <rPr>
        <sz val="12"/>
        <color theme="0"/>
        <rFont val="Times New Roman"/>
        <family val="1"/>
      </rPr>
      <t xml:space="preserve"> </t>
    </r>
    <r>
      <rPr>
        <i/>
        <sz val="12"/>
        <color theme="0"/>
        <rFont val="Times New Roman"/>
        <family val="1"/>
      </rPr>
      <t>(new program in FY 2014 PB)</t>
    </r>
  </si>
  <si>
    <r>
      <t>Children of Incarcerated Parents (COIP) Web Portal</t>
    </r>
    <r>
      <rPr>
        <i/>
        <sz val="12"/>
        <color theme="0"/>
        <rFont val="Times New Roman"/>
        <family val="1"/>
      </rPr>
      <t xml:space="preserve"> (new program in FY 2014 PB)</t>
    </r>
  </si>
  <si>
    <t xml:space="preserve">Juvenile Justice Programs </t>
  </si>
  <si>
    <t>Total, State and Local Law Enforcement Assistance</t>
  </si>
  <si>
    <r>
      <t>Violent Gang and Gun Crime Reduction</t>
    </r>
    <r>
      <rPr>
        <vertAlign val="superscript"/>
        <sz val="12"/>
        <color theme="0"/>
        <rFont val="Times New Roman"/>
        <family val="1"/>
      </rPr>
      <t>3</t>
    </r>
    <r>
      <rPr>
        <sz val="12"/>
        <rFont val="Times New Roman"/>
        <family val="1"/>
      </rPr>
      <t>(S&amp;L Gun Crime Prosecution Assistance)</t>
    </r>
  </si>
  <si>
    <r>
      <t>Pay for Success (Permanent Supportive Housing Model)</t>
    </r>
    <r>
      <rPr>
        <sz val="12"/>
        <color theme="0"/>
        <rFont val="Times New Roman"/>
        <family val="1"/>
      </rPr>
      <t xml:space="preserve"> </t>
    </r>
    <r>
      <rPr>
        <i/>
        <sz val="12"/>
        <color theme="0"/>
        <rFont val="Times New Roman"/>
        <family val="1"/>
      </rPr>
      <t>(new program)</t>
    </r>
  </si>
  <si>
    <r>
      <t>Pay for Success  (discretionary)</t>
    </r>
    <r>
      <rPr>
        <i/>
        <sz val="12"/>
        <color theme="0"/>
        <rFont val="Times New Roman"/>
        <family val="1"/>
      </rPr>
      <t xml:space="preserve"> (new program)</t>
    </r>
  </si>
  <si>
    <r>
      <t>Children of Incarcerated Parents Demonstration Grants</t>
    </r>
    <r>
      <rPr>
        <sz val="12"/>
        <color theme="0"/>
        <rFont val="Times New Roman"/>
        <family val="1"/>
      </rPr>
      <t xml:space="preserve"> </t>
    </r>
    <r>
      <rPr>
        <i/>
        <sz val="12"/>
        <color theme="0"/>
        <rFont val="Times New Roman"/>
        <family val="1"/>
      </rPr>
      <t>(new program)</t>
    </r>
  </si>
  <si>
    <r>
      <t xml:space="preserve">Second Chance Act/Offender Re-entry </t>
    </r>
    <r>
      <rPr>
        <vertAlign val="superscript"/>
        <sz val="12"/>
        <color theme="0"/>
        <rFont val="Times New Roman"/>
        <family val="1"/>
      </rPr>
      <t xml:space="preserve">3/ </t>
    </r>
  </si>
  <si>
    <r>
      <t xml:space="preserve">Paul Coverdell Grants </t>
    </r>
    <r>
      <rPr>
        <vertAlign val="superscript"/>
        <sz val="12"/>
        <color theme="0"/>
        <rFont val="Times New Roman"/>
        <family val="1"/>
      </rPr>
      <t>10/</t>
    </r>
  </si>
  <si>
    <r>
      <t>National Instant Criminal Background Check System (NICS) Grants</t>
    </r>
    <r>
      <rPr>
        <sz val="12"/>
        <color theme="0"/>
        <rFont val="Times New Roman"/>
        <family val="1"/>
      </rPr>
      <t xml:space="preserve"> </t>
    </r>
    <r>
      <rPr>
        <vertAlign val="superscript"/>
        <sz val="12"/>
        <color theme="0"/>
        <rFont val="Times New Roman"/>
        <family val="1"/>
      </rPr>
      <t xml:space="preserve">3/ </t>
    </r>
  </si>
  <si>
    <r>
      <t>National Criminal Records History Improvement Program (NCHIP)</t>
    </r>
    <r>
      <rPr>
        <vertAlign val="superscript"/>
        <sz val="12"/>
        <rFont val="Times New Roman"/>
        <family val="1"/>
      </rPr>
      <t xml:space="preserve"> </t>
    </r>
    <r>
      <rPr>
        <vertAlign val="superscript"/>
        <sz val="12"/>
        <color theme="0"/>
        <rFont val="Times New Roman"/>
        <family val="1"/>
      </rPr>
      <t xml:space="preserve">3/ </t>
    </r>
  </si>
  <si>
    <r>
      <t xml:space="preserve">Indian Country Initiatives </t>
    </r>
    <r>
      <rPr>
        <vertAlign val="superscript"/>
        <sz val="12"/>
        <color theme="0"/>
        <rFont val="Times New Roman"/>
        <family val="1"/>
      </rPr>
      <t>4/</t>
    </r>
  </si>
  <si>
    <r>
      <t>Defending Childhood/Children Exposed to Violence</t>
    </r>
    <r>
      <rPr>
        <vertAlign val="superscript"/>
        <sz val="12"/>
        <color theme="0"/>
        <rFont val="Times New Roman"/>
        <family val="1"/>
      </rPr>
      <t>6/</t>
    </r>
  </si>
  <si>
    <r>
      <t xml:space="preserve">DNA Related and Forensic Programs and Activities </t>
    </r>
    <r>
      <rPr>
        <vertAlign val="superscript"/>
        <sz val="12"/>
        <color theme="0"/>
        <rFont val="Times New Roman"/>
        <family val="1"/>
      </rPr>
      <t>10/</t>
    </r>
  </si>
  <si>
    <r>
      <t xml:space="preserve">Court Appointed Special Advocate Program </t>
    </r>
    <r>
      <rPr>
        <vertAlign val="superscript"/>
        <sz val="12"/>
        <color theme="0"/>
        <rFont val="Times New Roman"/>
        <family val="1"/>
      </rPr>
      <t>2/</t>
    </r>
  </si>
  <si>
    <r>
      <t>Community Teams to Reduce the SAK Backlog</t>
    </r>
    <r>
      <rPr>
        <i/>
        <sz val="12"/>
        <rFont val="Times New Roman"/>
        <family val="1"/>
      </rPr>
      <t xml:space="preserve"> </t>
    </r>
  </si>
  <si>
    <t xml:space="preserve">Capital Litigation Improvement Grant Program </t>
  </si>
  <si>
    <r>
      <t>Byrne Incentive Grants</t>
    </r>
    <r>
      <rPr>
        <i/>
        <sz val="12"/>
        <color theme="0"/>
        <rFont val="Times New Roman"/>
        <family val="1"/>
      </rPr>
      <t xml:space="preserve"> (new program in FY 2014 PB)</t>
    </r>
  </si>
  <si>
    <r>
      <t>Voter Education on Puerto Rico Plebiscite</t>
    </r>
    <r>
      <rPr>
        <i/>
        <sz val="12"/>
        <rFont val="Times New Roman"/>
        <family val="1"/>
      </rPr>
      <t xml:space="preserve"> </t>
    </r>
    <r>
      <rPr>
        <i/>
        <sz val="12"/>
        <color theme="0"/>
        <rFont val="Times New Roman"/>
        <family val="1"/>
      </rPr>
      <t>(new program in FY 2014 PB)</t>
    </r>
  </si>
  <si>
    <t>State and Local Assistance Help Desk and Diagnostic Center</t>
  </si>
  <si>
    <r>
      <t>Smart Prosecution</t>
    </r>
    <r>
      <rPr>
        <sz val="12"/>
        <color theme="0"/>
        <rFont val="Times New Roman"/>
        <family val="1"/>
      </rPr>
      <t xml:space="preserve"> </t>
    </r>
    <r>
      <rPr>
        <i/>
        <sz val="12"/>
        <color theme="0"/>
        <rFont val="Times New Roman"/>
        <family val="1"/>
      </rPr>
      <t>(new program in FY 2014 PB)</t>
    </r>
  </si>
  <si>
    <r>
      <t>Byrne Justice Assistance Grants (JAG)</t>
    </r>
    <r>
      <rPr>
        <sz val="12"/>
        <color theme="0"/>
        <rFont val="Times New Roman"/>
        <family val="1"/>
      </rPr>
      <t xml:space="preserve"> </t>
    </r>
    <r>
      <rPr>
        <vertAlign val="superscript"/>
        <sz val="12"/>
        <color theme="0"/>
        <rFont val="Times New Roman"/>
        <family val="1"/>
      </rPr>
      <t>4/</t>
    </r>
  </si>
  <si>
    <r>
      <t>Subtotal, Research, Evaluation, and Statistics</t>
    </r>
    <r>
      <rPr>
        <b/>
        <vertAlign val="superscript"/>
        <sz val="12"/>
        <color theme="0"/>
        <rFont val="Times New Roman"/>
        <family val="1"/>
      </rPr>
      <t>7/</t>
    </r>
  </si>
  <si>
    <r>
      <t xml:space="preserve">CrimeSolutions.gov (Evaluation Clearinghouse/What Works Repository) </t>
    </r>
    <r>
      <rPr>
        <vertAlign val="superscript"/>
        <sz val="12"/>
        <color theme="0"/>
        <rFont val="Times New Roman"/>
        <family val="1"/>
      </rPr>
      <t>14</t>
    </r>
  </si>
  <si>
    <t>Transfer - NSF</t>
  </si>
  <si>
    <t>Transfer - NIST</t>
  </si>
  <si>
    <r>
      <t xml:space="preserve">National Commission on Forensic Science </t>
    </r>
    <r>
      <rPr>
        <sz val="12"/>
        <color theme="0"/>
        <rFont val="Times New Roman"/>
        <family val="1"/>
      </rPr>
      <t/>
    </r>
  </si>
  <si>
    <t>Transfer - NIST/OLES</t>
  </si>
  <si>
    <t>Indigent Defense Initiative--  Social Science Research on Indigent Defense</t>
  </si>
  <si>
    <t>Research, Development, and Evaluation Programs</t>
  </si>
  <si>
    <t xml:space="preserve">Regional Information Sharing System (RISS) </t>
  </si>
  <si>
    <t>Redesign of the NCVS</t>
  </si>
  <si>
    <t>National Crime Victimization Survey</t>
  </si>
  <si>
    <r>
      <t xml:space="preserve">Indigent Defense Initiative--  National Public Defenders Reporting Program: Design and Testing </t>
    </r>
    <r>
      <rPr>
        <i/>
        <sz val="12"/>
        <rFont val="Times New Roman"/>
        <family val="1"/>
      </rPr>
      <t>(new program)</t>
    </r>
  </si>
  <si>
    <t>Indigent Defense Initiative-- National Survey of Public Defenders</t>
  </si>
  <si>
    <t>FY 2015 
President's Budget vs.
FY 2014 Enacted</t>
  </si>
  <si>
    <t>FY 2015 
President's Budget</t>
  </si>
  <si>
    <t>FY 2014 
Enacted
(P.L. 113-76)</t>
  </si>
  <si>
    <t xml:space="preserve">FY 2013 
Enacted w/ Resc. &amp; Sequestration
(P.L. 113-6) </t>
  </si>
  <si>
    <r>
      <t xml:space="preserve">13.  The Senate Committee directs OJP to provide a spending plan for the use of funds for Missing and Exploited Children Programs as part of the Department's spending plan for FY 2014. The Senate Committee expects the Department to allocate no less than the current funding level for task force grants, training and technical assistance, research and statistics, and administrative costs for the Internet Crimes Against Children program. 
The Senate Committee directs OJJDP to provide training and technical assistance to improve forensic interview training for investigation and prosecution professionals, evidence-based community prevention programs for child protection professionals, and undergraduate and graduate curricula on the maltreatment and exploitation of children.  </t>
    </r>
    <r>
      <rPr>
        <i/>
        <sz val="12"/>
        <rFont val="Arial"/>
        <family val="2"/>
      </rPr>
      <t>Target response to Committees February 2014.</t>
    </r>
  </si>
  <si>
    <r>
      <t xml:space="preserve">22.  The Committee directs OVW, OJP, and COPS to publicly disclose on each office's Web site the names of any subgrantees associated with each grant award, and to detail the purpose of each award in order to mitigate duplication and to ensure transparency. The Department shall also heed the findings of GAO's 2013 Annual Report: Actions Needed to Reduce Fragmentation, Overlap, and Duplication and Achieve Other Financial Benefits, respond proactively, and report to the Committee within 45 days of enactment of this act on a plan to implement the recommendations.  </t>
    </r>
    <r>
      <rPr>
        <i/>
        <sz val="12"/>
        <rFont val="Arial"/>
        <family val="2"/>
      </rPr>
      <t>Date of response to Committees March 2014.</t>
    </r>
  </si>
  <si>
    <r>
      <t xml:space="preserve">19.  The funds provided for the plebiscite shall not be obligated until 45 days after the Department notifies the Committees on Appropriations that it approves of an expenditure plan from the Puerto Rico State Elections Commission for voter education and plebiscite administration, including approval of the plebiscite ballot. This notification shall include a finding that the voter education materials, plebiscite ballot, and related materials are not incompatible with the Constitution and laws and policies of the United States.  </t>
    </r>
    <r>
      <rPr>
        <i/>
        <sz val="12"/>
        <rFont val="Arial"/>
        <family val="2"/>
      </rPr>
      <t>Date of response to Committees TBD contingent on grantee's submission of its spending plan.</t>
    </r>
  </si>
  <si>
    <r>
      <t xml:space="preserve">23.  The Department shall, no later than 60 days after enactment of this Act, choose an organization that will convene individuals with recognized relevant expertise in justice reinvestment and corrections reform. Not later than 12 months after its first meeting, the task force shall prepare and submit a report that contains a statement of its findings, conclusions, and recommendations to the Congress, Attorney General and President.  </t>
    </r>
    <r>
      <rPr>
        <i/>
        <sz val="12"/>
        <rFont val="Arial"/>
        <family val="2"/>
      </rPr>
      <t>Target response to Committees in 2015 (extract date TBD).</t>
    </r>
  </si>
  <si>
    <t>Mathematics and Statistics (1500-1599)</t>
  </si>
  <si>
    <t xml:space="preserve">Civil Legal Aid Research </t>
  </si>
  <si>
    <r>
      <t xml:space="preserve">Project Hope Opportunity Probation with Enforcement (HOPE) </t>
    </r>
    <r>
      <rPr>
        <i/>
        <sz val="12"/>
        <color theme="0"/>
        <rFont val="Times New Roman"/>
        <family val="1"/>
      </rPr>
      <t>(new program)</t>
    </r>
  </si>
  <si>
    <r>
      <t>Problem Solving Justice</t>
    </r>
    <r>
      <rPr>
        <i/>
        <sz val="12"/>
        <rFont val="Times New Roman"/>
        <family val="1"/>
      </rPr>
      <t xml:space="preserve"> </t>
    </r>
  </si>
  <si>
    <t>[2]</t>
  </si>
  <si>
    <t>[490]</t>
  </si>
  <si>
    <t>[481]</t>
  </si>
  <si>
    <t>[500]</t>
  </si>
  <si>
    <t>[-4,000]</t>
  </si>
  <si>
    <t>[4,896]</t>
  </si>
  <si>
    <t>[9,380]</t>
  </si>
  <si>
    <t>[25,461]</t>
  </si>
  <si>
    <t>[9,793]</t>
  </si>
  <si>
    <t>[24,412]</t>
  </si>
  <si>
    <t>[9,393]</t>
  </si>
  <si>
    <t>[1,959]</t>
  </si>
  <si>
    <t>[3,917]</t>
  </si>
  <si>
    <t>[5,876]</t>
  </si>
  <si>
    <t>[114,574]</t>
  </si>
  <si>
    <t>[3,623]</t>
  </si>
  <si>
    <t>[50,000]</t>
  </si>
  <si>
    <t>[25,000]</t>
  </si>
  <si>
    <t>[4,008]</t>
  </si>
  <si>
    <t>[15,100]</t>
  </si>
  <si>
    <t>[4,271]</t>
  </si>
  <si>
    <t>[4,668]</t>
  </si>
  <si>
    <t>[9,336]</t>
  </si>
  <si>
    <t>[5,0000]</t>
  </si>
  <si>
    <t>[-5,000]</t>
  </si>
  <si>
    <t>[-500]</t>
  </si>
  <si>
    <t>[-10,000]</t>
  </si>
  <si>
    <t>[9,606]</t>
  </si>
  <si>
    <t>[5,013]</t>
  </si>
  <si>
    <t>[4,939]</t>
  </si>
  <si>
    <t>[1,624]</t>
  </si>
  <si>
    <t>Subtotal, Technical Adjustments</t>
  </si>
  <si>
    <t>[3,554]</t>
  </si>
  <si>
    <t>[106,621]</t>
  </si>
  <si>
    <t>[3,646]</t>
  </si>
  <si>
    <t>[-44]</t>
  </si>
  <si>
    <t>[1,823]</t>
  </si>
  <si>
    <t>[3,706]</t>
  </si>
  <si>
    <t>[5,468]</t>
  </si>
  <si>
    <t>[4,656]</t>
  </si>
  <si>
    <t>Restoration of mandatory sequester</t>
  </si>
  <si>
    <t>Carryover is $12.8M.</t>
  </si>
  <si>
    <t>Recoveries are $14.257M as of September 30, 2013.</t>
  </si>
  <si>
    <t xml:space="preserve">Recoveries are $3.7M and Refunds are $1.6M for a total of $5.3M as of September 30, 2013.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</si>
</sst>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 #,##0_);_(* \(#,##0\);_(* &quot;-&quot;??_);_(@_)"/>
    <numFmt numFmtId="165" formatCode="#,##0;[Red]#,##0"/>
    <numFmt numFmtId="166" formatCode="#,##0.000"/>
    <numFmt numFmtId="167" formatCode="0.0"/>
    <numFmt numFmtId="168" formatCode="#,##0.0_);\(#,##0.0\)"/>
  </numFmts>
  <fonts count="72" x14ac:knownFonts="1">
    <font>
      <sz val="11"/>
      <color theme="1"/>
      <name val="Calibri"/>
      <family val="2"/>
      <scheme val="minor"/>
    </font>
    <font>
      <sz val="11"/>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i/>
      <sz val="11"/>
      <color theme="1"/>
      <name val="Arial"/>
      <family val="2"/>
    </font>
    <font>
      <sz val="12"/>
      <color theme="0"/>
      <name val="Arial"/>
      <family val="2"/>
    </font>
    <font>
      <b/>
      <vertAlign val="superscript"/>
      <sz val="11"/>
      <color theme="1"/>
      <name val="Arial"/>
      <family val="2"/>
    </font>
    <font>
      <u/>
      <sz val="11"/>
      <color theme="1"/>
      <name val="Arial"/>
      <family val="2"/>
    </font>
    <font>
      <sz val="10"/>
      <name val="Arial"/>
      <family val="2"/>
    </font>
    <font>
      <sz val="12"/>
      <name val="Arial"/>
      <family val="2"/>
    </font>
    <font>
      <sz val="9"/>
      <color rgb="FF1F497D"/>
      <name val="Arial"/>
      <family val="2"/>
    </font>
    <font>
      <b/>
      <sz val="12"/>
      <name val="Arial"/>
      <family val="2"/>
    </font>
    <font>
      <sz val="12"/>
      <name val="Arial"/>
      <family val="2"/>
    </font>
    <font>
      <sz val="12"/>
      <name val="Times New Roman"/>
      <family val="1"/>
    </font>
    <font>
      <b/>
      <sz val="11"/>
      <name val="Arial"/>
      <family val="2"/>
    </font>
    <font>
      <sz val="11"/>
      <name val="Arial"/>
      <family val="2"/>
    </font>
    <font>
      <b/>
      <u/>
      <sz val="11"/>
      <color theme="0"/>
      <name val="Arial"/>
      <family val="2"/>
    </font>
    <font>
      <b/>
      <sz val="11"/>
      <color theme="0"/>
      <name val="Arial"/>
      <family val="2"/>
    </font>
    <font>
      <sz val="14"/>
      <color theme="0"/>
      <name val="Arial"/>
      <family val="2"/>
    </font>
    <font>
      <sz val="10"/>
      <color theme="0"/>
      <name val="Arial"/>
      <family val="2"/>
    </font>
    <font>
      <b/>
      <u/>
      <sz val="14"/>
      <color theme="0"/>
      <name val="Arial"/>
      <family val="2"/>
    </font>
    <font>
      <b/>
      <sz val="10"/>
      <color theme="1"/>
      <name val="Arial"/>
      <family val="2"/>
    </font>
    <font>
      <sz val="12"/>
      <color theme="1"/>
      <name val="Times New Roman"/>
      <family val="1"/>
    </font>
    <font>
      <b/>
      <i/>
      <sz val="11"/>
      <color theme="1"/>
      <name val="Arial"/>
      <family val="2"/>
    </font>
    <font>
      <sz val="12"/>
      <name val="Courier New"/>
      <family val="3"/>
    </font>
    <font>
      <sz val="8"/>
      <color theme="0"/>
      <name val="Arial"/>
      <family val="2"/>
    </font>
    <font>
      <i/>
      <sz val="12"/>
      <name val="Arial"/>
      <family val="2"/>
    </font>
    <font>
      <b/>
      <u/>
      <sz val="12"/>
      <name val="Arial"/>
      <family val="2"/>
    </font>
    <font>
      <b/>
      <sz val="16"/>
      <name val="Arial"/>
      <family val="2"/>
    </font>
    <font>
      <sz val="11"/>
      <color rgb="FFFF0000"/>
      <name val="Arial"/>
      <family val="2"/>
    </font>
    <font>
      <sz val="14"/>
      <name val="Times New Roman"/>
      <family val="1"/>
    </font>
    <font>
      <sz val="14"/>
      <color indexed="9"/>
      <name val="Times New Roman"/>
      <family val="1"/>
    </font>
    <font>
      <b/>
      <sz val="12"/>
      <name val="Times New Roman"/>
      <family val="1"/>
    </font>
    <font>
      <b/>
      <sz val="14"/>
      <name val="Times New Roman"/>
      <family val="1"/>
    </font>
    <font>
      <sz val="12"/>
      <color indexed="9"/>
      <name val="Times New Roman"/>
      <family val="1"/>
    </font>
    <font>
      <b/>
      <sz val="12"/>
      <color theme="0"/>
      <name val="Times New Roman"/>
      <family val="1"/>
    </font>
    <font>
      <b/>
      <sz val="12"/>
      <color indexed="9"/>
      <name val="Times New Roman"/>
      <family val="1"/>
    </font>
    <font>
      <i/>
      <sz val="12"/>
      <name val="Times New Roman"/>
      <family val="1"/>
    </font>
    <font>
      <i/>
      <sz val="14"/>
      <name val="Times New Roman"/>
      <family val="1"/>
    </font>
    <font>
      <i/>
      <sz val="12"/>
      <color theme="0"/>
      <name val="Times New Roman"/>
      <family val="1"/>
    </font>
    <font>
      <b/>
      <vertAlign val="superscript"/>
      <sz val="12"/>
      <color theme="0"/>
      <name val="Times New Roman"/>
      <family val="1"/>
    </font>
    <font>
      <vertAlign val="superscript"/>
      <sz val="12"/>
      <color theme="0"/>
      <name val="Times New Roman"/>
      <family val="1"/>
    </font>
    <font>
      <i/>
      <vertAlign val="superscript"/>
      <sz val="12"/>
      <color theme="0"/>
      <name val="Times New Roman"/>
      <family val="1"/>
    </font>
    <font>
      <b/>
      <sz val="12"/>
      <color rgb="FFFF0000"/>
      <name val="Times New Roman"/>
      <family val="1"/>
    </font>
    <font>
      <sz val="12"/>
      <color rgb="FFFF0000"/>
      <name val="Times New Roman"/>
      <family val="1"/>
    </font>
    <font>
      <sz val="12"/>
      <color indexed="10"/>
      <name val="Times New Roman"/>
      <family val="1"/>
    </font>
    <font>
      <sz val="14"/>
      <color indexed="10"/>
      <name val="Times New Roman"/>
      <family val="1"/>
    </font>
    <font>
      <sz val="12"/>
      <color theme="0"/>
      <name val="Times New Roman"/>
      <family val="1"/>
    </font>
    <font>
      <u/>
      <sz val="14"/>
      <name val="Times New Roman"/>
      <family val="1"/>
    </font>
    <font>
      <vertAlign val="superscript"/>
      <sz val="12"/>
      <name val="Times New Roman"/>
      <family val="1"/>
    </font>
  </fonts>
  <fills count="8">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indexed="22"/>
        <bgColor indexed="64"/>
      </patternFill>
    </fill>
  </fills>
  <borders count="11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medium">
        <color auto="1"/>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right style="medium">
        <color auto="1"/>
      </right>
      <top style="dashed">
        <color theme="0" tint="-0.14996795556505021"/>
      </top>
      <bottom style="dashed">
        <color theme="0" tint="-0.1499679555650502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right style="medium">
        <color auto="1"/>
      </right>
      <top/>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right style="medium">
        <color auto="1"/>
      </right>
      <top style="thin">
        <color auto="1"/>
      </top>
      <bottom style="dashed">
        <color theme="0" tint="-0.1499679555650502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bottom style="medium">
        <color auto="1"/>
      </bottom>
      <diagonal/>
    </border>
    <border>
      <left/>
      <right style="medium">
        <color auto="1"/>
      </right>
      <top style="dashed">
        <color theme="0" tint="-0.14996795556505021"/>
      </top>
      <bottom/>
      <diagonal/>
    </border>
    <border>
      <left style="thin">
        <color auto="1"/>
      </left>
      <right style="medium">
        <color indexed="64"/>
      </right>
      <top style="medium">
        <color indexed="64"/>
      </top>
      <bottom style="medium">
        <color auto="1"/>
      </bottom>
      <diagonal/>
    </border>
    <border>
      <left style="thin">
        <color auto="1"/>
      </left>
      <right style="thin">
        <color auto="1"/>
      </right>
      <top style="medium">
        <color indexed="64"/>
      </top>
      <bottom style="medium">
        <color auto="1"/>
      </bottom>
      <diagonal/>
    </border>
    <border>
      <left style="medium">
        <color indexed="64"/>
      </left>
      <right style="thin">
        <color auto="1"/>
      </right>
      <top style="medium">
        <color indexed="64"/>
      </top>
      <bottom style="medium">
        <color auto="1"/>
      </bottom>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bottom/>
      <diagonal/>
    </border>
    <border>
      <left style="medium">
        <color auto="1"/>
      </left>
      <right style="thin">
        <color auto="1"/>
      </right>
      <top/>
      <bottom/>
      <diagonal/>
    </border>
    <border>
      <left style="thin">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dashed">
        <color theme="0" tint="-0.1499679555650502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medium">
        <color auto="1"/>
      </left>
      <right/>
      <top/>
      <bottom style="medium">
        <color auto="1"/>
      </bottom>
      <diagonal/>
    </border>
    <border>
      <left style="thin">
        <color auto="1"/>
      </left>
      <right style="medium">
        <color auto="1"/>
      </right>
      <top/>
      <bottom style="thin">
        <color indexed="64"/>
      </bottom>
      <diagonal/>
    </border>
    <border>
      <left/>
      <right/>
      <top style="thin">
        <color theme="4" tint="0.39997558519241921"/>
      </top>
      <bottom/>
      <diagonal/>
    </border>
    <border>
      <left style="thin">
        <color auto="1"/>
      </left>
      <right/>
      <top/>
      <bottom style="thin">
        <color auto="1"/>
      </bottom>
      <diagonal/>
    </border>
    <border>
      <left style="thin">
        <color auto="1"/>
      </left>
      <right/>
      <top/>
      <bottom/>
      <diagonal/>
    </border>
    <border>
      <left/>
      <right style="medium">
        <color auto="1"/>
      </right>
      <top/>
      <bottom style="thin">
        <color auto="1"/>
      </bottom>
      <diagonal/>
    </border>
    <border>
      <left/>
      <right style="medium">
        <color auto="1"/>
      </right>
      <top style="dashed">
        <color theme="0" tint="-0.14996795556505021"/>
      </top>
      <bottom style="medium">
        <color indexed="64"/>
      </bottom>
      <diagonal/>
    </border>
    <border>
      <left/>
      <right/>
      <top/>
      <bottom style="thin">
        <color auto="1"/>
      </bottom>
      <diagonal/>
    </border>
    <border>
      <left style="medium">
        <color auto="1"/>
      </left>
      <right style="thin">
        <color auto="1"/>
      </right>
      <top style="dashed">
        <color theme="0" tint="-0.14996795556505021"/>
      </top>
      <bottom style="dashed">
        <color theme="0" tint="-0.24994659260841701"/>
      </bottom>
      <diagonal/>
    </border>
    <border>
      <left style="thin">
        <color auto="1"/>
      </left>
      <right style="thin">
        <color auto="1"/>
      </right>
      <top style="dashed">
        <color theme="0" tint="-0.14996795556505021"/>
      </top>
      <bottom style="dashed">
        <color theme="0" tint="-0.24994659260841701"/>
      </bottom>
      <diagonal/>
    </border>
    <border>
      <left style="thin">
        <color auto="1"/>
      </left>
      <right style="medium">
        <color auto="1"/>
      </right>
      <top style="dashed">
        <color theme="0" tint="-0.14996795556505021"/>
      </top>
      <bottom style="dashed">
        <color theme="0" tint="-0.24994659260841701"/>
      </bottom>
      <diagonal/>
    </border>
    <border>
      <left style="medium">
        <color auto="1"/>
      </left>
      <right style="thin">
        <color auto="1"/>
      </right>
      <top style="dashed">
        <color theme="0" tint="-0.24994659260841701"/>
      </top>
      <bottom style="dashed">
        <color theme="0" tint="-0.14996795556505021"/>
      </bottom>
      <diagonal/>
    </border>
    <border>
      <left style="thin">
        <color auto="1"/>
      </left>
      <right style="thin">
        <color auto="1"/>
      </right>
      <top style="dashed">
        <color theme="0" tint="-0.24994659260841701"/>
      </top>
      <bottom style="dashed">
        <color theme="0" tint="-0.14996795556505021"/>
      </bottom>
      <diagonal/>
    </border>
    <border>
      <left style="thin">
        <color auto="1"/>
      </left>
      <right style="medium">
        <color auto="1"/>
      </right>
      <top style="dashed">
        <color theme="0" tint="-0.24994659260841701"/>
      </top>
      <bottom style="dashed">
        <color theme="0" tint="-0.14996795556505021"/>
      </bottom>
      <diagonal/>
    </border>
    <border>
      <left/>
      <right/>
      <top style="medium">
        <color auto="1"/>
      </top>
      <bottom style="dashed">
        <color theme="0" tint="-0.14996795556505021"/>
      </bottom>
      <diagonal/>
    </border>
    <border>
      <left/>
      <right style="medium">
        <color auto="1"/>
      </right>
      <top style="medium">
        <color auto="1"/>
      </top>
      <bottom/>
      <diagonal/>
    </border>
    <border>
      <left style="medium">
        <color auto="1"/>
      </left>
      <right style="medium">
        <color auto="1"/>
      </right>
      <top style="dashed">
        <color theme="0" tint="-0.14996795556505021"/>
      </top>
      <bottom style="medium">
        <color auto="1"/>
      </bottom>
      <diagonal/>
    </border>
    <border>
      <left/>
      <right style="medium">
        <color auto="1"/>
      </right>
      <top style="thin">
        <color auto="1"/>
      </top>
      <bottom style="thin">
        <color auto="1"/>
      </bottom>
      <diagonal/>
    </border>
  </borders>
  <cellStyleXfs count="30">
    <xf numFmtId="0" fontId="0" fillId="0" borderId="0"/>
    <xf numFmtId="43" fontId="13" fillId="0" borderId="0" applyFont="0" applyFill="0" applyBorder="0" applyAlignment="0" applyProtection="0"/>
    <xf numFmtId="0" fontId="30"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31" fillId="0" borderId="0"/>
    <xf numFmtId="0" fontId="31" fillId="0" borderId="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31" fillId="0" borderId="0"/>
    <xf numFmtId="0" fontId="34" fillId="0" borderId="0"/>
    <xf numFmtId="44" fontId="46" fillId="0" borderId="0" applyFont="0" applyFill="0" applyBorder="0" applyAlignment="0" applyProtection="0"/>
    <xf numFmtId="0" fontId="31" fillId="0" borderId="0"/>
    <xf numFmtId="0" fontId="31" fillId="0" borderId="0"/>
    <xf numFmtId="0" fontId="30" fillId="0" borderId="0"/>
    <xf numFmtId="0" fontId="30" fillId="0" borderId="0"/>
    <xf numFmtId="0" fontId="31" fillId="0" borderId="0"/>
    <xf numFmtId="0" fontId="30" fillId="0" borderId="0"/>
    <xf numFmtId="0" fontId="30" fillId="0" borderId="0"/>
    <xf numFmtId="0" fontId="31" fillId="0" borderId="0"/>
  </cellStyleXfs>
  <cellXfs count="673">
    <xf numFmtId="0" fontId="0" fillId="0" borderId="0" xfId="0"/>
    <xf numFmtId="3" fontId="17" fillId="0" borderId="5" xfId="0" applyNumberFormat="1" applyFont="1" applyBorder="1" applyAlignment="1">
      <alignment horizontal="center" vertical="top" wrapText="1"/>
    </xf>
    <xf numFmtId="3" fontId="17" fillId="0" borderId="6" xfId="0" applyNumberFormat="1" applyFont="1" applyBorder="1" applyAlignment="1">
      <alignment horizontal="center" vertical="top" wrapText="1"/>
    </xf>
    <xf numFmtId="164" fontId="17" fillId="0" borderId="7" xfId="1" applyNumberFormat="1" applyFont="1" applyBorder="1" applyAlignment="1">
      <alignment horizontal="center" vertical="top" wrapText="1"/>
    </xf>
    <xf numFmtId="0" fontId="18" fillId="0" borderId="0" xfId="0" applyFont="1"/>
    <xf numFmtId="0" fontId="17" fillId="0" borderId="0" xfId="0" applyFont="1"/>
    <xf numFmtId="0" fontId="15" fillId="0" borderId="0" xfId="0" applyFont="1" applyAlignment="1"/>
    <xf numFmtId="0" fontId="16" fillId="0" borderId="0" xfId="0" applyFont="1" applyAlignment="1"/>
    <xf numFmtId="0" fontId="14" fillId="0" borderId="0" xfId="0" applyFont="1" applyAlignment="1"/>
    <xf numFmtId="0" fontId="12" fillId="0" borderId="0" xfId="0" applyFont="1"/>
    <xf numFmtId="0" fontId="12" fillId="0" borderId="0" xfId="0" applyFont="1" applyAlignment="1"/>
    <xf numFmtId="0" fontId="12" fillId="0" borderId="1" xfId="0" applyFont="1" applyBorder="1" applyAlignment="1">
      <alignment horizontal="center" vertical="top" wrapText="1"/>
    </xf>
    <xf numFmtId="0" fontId="12" fillId="0" borderId="11" xfId="0" applyFont="1" applyBorder="1" applyAlignment="1">
      <alignment horizontal="center" vertical="top" wrapText="1"/>
    </xf>
    <xf numFmtId="0" fontId="17" fillId="0" borderId="13" xfId="0" applyFont="1" applyBorder="1" applyAlignment="1">
      <alignment horizontal="right"/>
    </xf>
    <xf numFmtId="0" fontId="12" fillId="0" borderId="14" xfId="0" applyFont="1" applyBorder="1" applyAlignment="1">
      <alignment horizontal="left" indent="3"/>
    </xf>
    <xf numFmtId="0" fontId="12" fillId="0" borderId="17" xfId="0" applyFont="1" applyBorder="1" applyAlignment="1">
      <alignment horizontal="left" indent="3"/>
    </xf>
    <xf numFmtId="0" fontId="12" fillId="0" borderId="17" xfId="0" applyFont="1" applyBorder="1" applyAlignment="1">
      <alignment horizontal="left" indent="5"/>
    </xf>
    <xf numFmtId="0" fontId="12" fillId="0" borderId="20" xfId="0" applyFont="1" applyBorder="1" applyAlignment="1">
      <alignment horizontal="left" indent="5"/>
    </xf>
    <xf numFmtId="0" fontId="12" fillId="0" borderId="5" xfId="0" applyFont="1" applyBorder="1" applyAlignment="1">
      <alignment horizontal="left" indent="3"/>
    </xf>
    <xf numFmtId="0" fontId="11" fillId="0" borderId="1" xfId="0" applyFont="1" applyBorder="1" applyAlignment="1">
      <alignment horizontal="center" vertical="top" wrapText="1"/>
    </xf>
    <xf numFmtId="0" fontId="11" fillId="0" borderId="0" xfId="0" applyFont="1"/>
    <xf numFmtId="0" fontId="17" fillId="0" borderId="5" xfId="0" applyFont="1" applyBorder="1" applyAlignment="1">
      <alignment horizontal="right"/>
    </xf>
    <xf numFmtId="0" fontId="17" fillId="0" borderId="29" xfId="0" applyFont="1" applyBorder="1" applyAlignment="1">
      <alignment horizontal="right"/>
    </xf>
    <xf numFmtId="0" fontId="11" fillId="0" borderId="0" xfId="0" applyFont="1" applyAlignment="1">
      <alignment vertical="top" wrapText="1"/>
    </xf>
    <xf numFmtId="3" fontId="12" fillId="0" borderId="18" xfId="0" applyNumberFormat="1" applyFont="1" applyBorder="1"/>
    <xf numFmtId="3" fontId="17" fillId="0" borderId="34" xfId="0" applyNumberFormat="1" applyFont="1" applyBorder="1"/>
    <xf numFmtId="3" fontId="17" fillId="0" borderId="35" xfId="0" applyNumberFormat="1" applyFont="1" applyBorder="1"/>
    <xf numFmtId="3" fontId="17" fillId="0" borderId="6" xfId="0" applyNumberFormat="1" applyFont="1" applyBorder="1"/>
    <xf numFmtId="0" fontId="21" fillId="0" borderId="32" xfId="0" applyFont="1" applyBorder="1" applyAlignment="1">
      <alignment vertical="center" wrapText="1"/>
    </xf>
    <xf numFmtId="0" fontId="24" fillId="0" borderId="0" xfId="0" applyFont="1" applyAlignment="1"/>
    <xf numFmtId="0" fontId="22" fillId="0" borderId="0" xfId="0" applyFont="1"/>
    <xf numFmtId="0" fontId="22" fillId="0" borderId="39" xfId="0" applyFont="1" applyBorder="1" applyAlignment="1">
      <alignment vertical="top"/>
    </xf>
    <xf numFmtId="0" fontId="22" fillId="0" borderId="40" xfId="0" applyFont="1" applyBorder="1"/>
    <xf numFmtId="0" fontId="24" fillId="0" borderId="0" xfId="0" applyFont="1"/>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3" fontId="21" fillId="0" borderId="34" xfId="0" applyNumberFormat="1" applyFont="1" applyBorder="1"/>
    <xf numFmtId="3" fontId="22" fillId="0" borderId="15" xfId="0" applyNumberFormat="1" applyFont="1" applyBorder="1"/>
    <xf numFmtId="0" fontId="22" fillId="0" borderId="38" xfId="0" applyFont="1" applyBorder="1" applyAlignment="1">
      <alignment vertical="top"/>
    </xf>
    <xf numFmtId="3" fontId="21" fillId="0" borderId="18" xfId="0" applyNumberFormat="1" applyFont="1" applyBorder="1"/>
    <xf numFmtId="3" fontId="21" fillId="0" borderId="44" xfId="0" applyNumberFormat="1" applyFont="1" applyBorder="1"/>
    <xf numFmtId="0" fontId="22" fillId="0" borderId="42" xfId="0" applyFont="1" applyBorder="1" applyAlignment="1">
      <alignment vertical="top"/>
    </xf>
    <xf numFmtId="0" fontId="22" fillId="0" borderId="41" xfId="0" applyFont="1" applyBorder="1" applyAlignment="1">
      <alignment vertical="top"/>
    </xf>
    <xf numFmtId="3" fontId="21" fillId="0" borderId="48" xfId="0" applyNumberFormat="1" applyFont="1" applyBorder="1"/>
    <xf numFmtId="0" fontId="21" fillId="0" borderId="2" xfId="0" applyFont="1" applyBorder="1" applyAlignment="1">
      <alignment horizontal="center" vertical="center" wrapText="1"/>
    </xf>
    <xf numFmtId="3" fontId="22" fillId="0" borderId="19" xfId="0" applyNumberFormat="1" applyFont="1" applyBorder="1"/>
    <xf numFmtId="3" fontId="21" fillId="0" borderId="35" xfId="0" applyNumberFormat="1" applyFont="1" applyBorder="1"/>
    <xf numFmtId="3" fontId="22" fillId="0" borderId="16" xfId="0" applyNumberFormat="1" applyFont="1" applyBorder="1"/>
    <xf numFmtId="3" fontId="21" fillId="0" borderId="49" xfId="0" applyNumberFormat="1" applyFont="1" applyBorder="1"/>
    <xf numFmtId="3" fontId="21" fillId="0" borderId="50" xfId="0" applyNumberFormat="1" applyFont="1" applyBorder="1"/>
    <xf numFmtId="0" fontId="14" fillId="0" borderId="32" xfId="0" applyFont="1" applyBorder="1" applyAlignment="1"/>
    <xf numFmtId="0" fontId="18" fillId="0" borderId="0" xfId="0" applyFont="1" applyAlignment="1"/>
    <xf numFmtId="0" fontId="10" fillId="0" borderId="1" xfId="0" applyFont="1" applyBorder="1" applyAlignment="1">
      <alignment horizontal="center" vertical="top" wrapText="1"/>
    </xf>
    <xf numFmtId="0" fontId="10" fillId="0" borderId="11" xfId="0" applyFont="1" applyBorder="1" applyAlignment="1">
      <alignment horizontal="center" vertical="top" wrapText="1"/>
    </xf>
    <xf numFmtId="0" fontId="12" fillId="0" borderId="38" xfId="0" applyFont="1" applyBorder="1"/>
    <xf numFmtId="0" fontId="12" fillId="0" borderId="42" xfId="0" applyFont="1" applyBorder="1"/>
    <xf numFmtId="0" fontId="12" fillId="0" borderId="39" xfId="0" applyFont="1" applyBorder="1"/>
    <xf numFmtId="0" fontId="12" fillId="0" borderId="42" xfId="0" applyFont="1" applyBorder="1" applyAlignment="1">
      <alignment horizontal="left" indent="1"/>
    </xf>
    <xf numFmtId="0" fontId="12" fillId="0" borderId="39" xfId="0" applyFont="1" applyBorder="1" applyAlignment="1">
      <alignment horizontal="left" indent="1"/>
    </xf>
    <xf numFmtId="0" fontId="17" fillId="0" borderId="8" xfId="0" applyFont="1" applyBorder="1" applyAlignment="1">
      <alignment horizontal="center"/>
    </xf>
    <xf numFmtId="0" fontId="10" fillId="0" borderId="14" xfId="0" applyFont="1" applyBorder="1" applyAlignment="1">
      <alignment horizontal="left" indent="2"/>
    </xf>
    <xf numFmtId="0" fontId="10" fillId="0" borderId="17" xfId="0" applyFont="1" applyBorder="1" applyAlignment="1">
      <alignment horizontal="left" indent="2"/>
    </xf>
    <xf numFmtId="0" fontId="26" fillId="0" borderId="17" xfId="0" applyFont="1" applyBorder="1" applyAlignment="1">
      <alignment horizontal="left" indent="8"/>
    </xf>
    <xf numFmtId="0" fontId="17" fillId="0" borderId="17" xfId="0" applyFont="1" applyBorder="1"/>
    <xf numFmtId="0" fontId="17" fillId="0" borderId="17" xfId="0" applyFont="1" applyBorder="1" applyAlignment="1">
      <alignment horizontal="center"/>
    </xf>
    <xf numFmtId="0" fontId="17" fillId="0" borderId="54" xfId="0" applyFont="1" applyBorder="1" applyAlignment="1">
      <alignment horizontal="center"/>
    </xf>
    <xf numFmtId="0" fontId="10" fillId="0" borderId="54" xfId="0" applyFont="1" applyBorder="1" applyAlignment="1">
      <alignment horizontal="left" wrapText="1" indent="2"/>
    </xf>
    <xf numFmtId="0" fontId="10" fillId="0" borderId="57" xfId="0" applyFont="1" applyBorder="1"/>
    <xf numFmtId="0" fontId="17" fillId="0" borderId="60" xfId="0" applyFont="1" applyBorder="1"/>
    <xf numFmtId="3" fontId="17" fillId="0" borderId="17" xfId="0" applyNumberFormat="1" applyFont="1" applyBorder="1"/>
    <xf numFmtId="3" fontId="17" fillId="0" borderId="18" xfId="0" applyNumberFormat="1" applyFont="1" applyBorder="1"/>
    <xf numFmtId="0" fontId="17" fillId="0" borderId="61" xfId="0" applyFont="1" applyBorder="1" applyAlignment="1">
      <alignment horizontal="left" indent="1"/>
    </xf>
    <xf numFmtId="3" fontId="17" fillId="0" borderId="19" xfId="0" applyNumberFormat="1" applyFont="1" applyBorder="1"/>
    <xf numFmtId="0" fontId="17" fillId="0" borderId="61" xfId="0" applyFont="1" applyBorder="1"/>
    <xf numFmtId="0" fontId="17" fillId="0" borderId="61" xfId="0" applyFont="1" applyBorder="1" applyAlignment="1">
      <alignment horizontal="left" indent="3"/>
    </xf>
    <xf numFmtId="0" fontId="17" fillId="0" borderId="59" xfId="0" applyFont="1" applyBorder="1" applyAlignment="1">
      <alignment horizontal="left"/>
    </xf>
    <xf numFmtId="3" fontId="17" fillId="0" borderId="39" xfId="0" applyNumberFormat="1" applyFont="1" applyBorder="1"/>
    <xf numFmtId="3" fontId="17" fillId="0" borderId="62" xfId="0" applyNumberFormat="1" applyFont="1" applyBorder="1"/>
    <xf numFmtId="0" fontId="17" fillId="0" borderId="61" xfId="0" applyFont="1" applyBorder="1" applyAlignment="1">
      <alignment horizontal="left"/>
    </xf>
    <xf numFmtId="0" fontId="17" fillId="0" borderId="60" xfId="0" applyFont="1" applyBorder="1" applyAlignment="1">
      <alignment horizontal="left" indent="1"/>
    </xf>
    <xf numFmtId="0" fontId="17" fillId="0" borderId="63" xfId="0" applyFont="1" applyBorder="1"/>
    <xf numFmtId="3" fontId="17" fillId="0" borderId="64" xfId="0" applyNumberFormat="1" applyFont="1" applyBorder="1"/>
    <xf numFmtId="3" fontId="17" fillId="0" borderId="56" xfId="0" applyNumberFormat="1" applyFont="1" applyBorder="1"/>
    <xf numFmtId="3" fontId="17" fillId="0" borderId="65" xfId="0" applyNumberFormat="1" applyFont="1" applyBorder="1"/>
    <xf numFmtId="0" fontId="17" fillId="0" borderId="3" xfId="0" applyFont="1" applyBorder="1" applyAlignment="1">
      <alignment horizontal="center" vertical="center" wrapText="1"/>
    </xf>
    <xf numFmtId="0" fontId="12" fillId="0" borderId="58" xfId="0" applyFont="1" applyBorder="1" applyAlignment="1">
      <alignment horizontal="left" indent="3"/>
    </xf>
    <xf numFmtId="0" fontId="9" fillId="0" borderId="14" xfId="0" applyFont="1" applyBorder="1" applyAlignment="1">
      <alignment horizontal="left" indent="2"/>
    </xf>
    <xf numFmtId="3" fontId="17" fillId="0" borderId="30" xfId="0" applyNumberFormat="1" applyFont="1" applyBorder="1"/>
    <xf numFmtId="3" fontId="17" fillId="0" borderId="12" xfId="0" applyNumberFormat="1" applyFont="1" applyBorder="1"/>
    <xf numFmtId="3" fontId="17" fillId="0" borderId="66" xfId="0" applyNumberFormat="1" applyFont="1" applyBorder="1"/>
    <xf numFmtId="0" fontId="17" fillId="0" borderId="23" xfId="0" applyFont="1" applyBorder="1" applyAlignment="1">
      <alignment horizontal="left"/>
    </xf>
    <xf numFmtId="0" fontId="9" fillId="0" borderId="1" xfId="0" applyFont="1" applyBorder="1" applyAlignment="1">
      <alignment horizontal="center" vertical="top" wrapText="1"/>
    </xf>
    <xf numFmtId="0" fontId="9" fillId="0" borderId="58" xfId="0" applyFont="1" applyBorder="1" applyAlignment="1">
      <alignment horizontal="left" indent="3"/>
    </xf>
    <xf numFmtId="0" fontId="9" fillId="0" borderId="17" xfId="0" applyFont="1" applyBorder="1" applyAlignment="1">
      <alignment horizontal="left" indent="3"/>
    </xf>
    <xf numFmtId="0" fontId="9" fillId="0" borderId="5" xfId="0" applyFont="1" applyBorder="1" applyAlignment="1">
      <alignment horizontal="left" indent="3"/>
    </xf>
    <xf numFmtId="0" fontId="8" fillId="0" borderId="1" xfId="0" applyFont="1" applyBorder="1" applyAlignment="1">
      <alignment horizontal="center" vertical="top" wrapText="1"/>
    </xf>
    <xf numFmtId="0" fontId="8" fillId="0" borderId="17" xfId="0" applyFont="1" applyBorder="1" applyAlignment="1">
      <alignment horizontal="left" indent="3"/>
    </xf>
    <xf numFmtId="0" fontId="8" fillId="0" borderId="5" xfId="0" applyFont="1" applyBorder="1" applyAlignment="1">
      <alignment horizontal="left" indent="3"/>
    </xf>
    <xf numFmtId="0" fontId="8" fillId="0" borderId="17" xfId="0" applyFont="1" applyBorder="1" applyAlignment="1">
      <alignment horizontal="left" indent="2"/>
    </xf>
    <xf numFmtId="0" fontId="17" fillId="0" borderId="3" xfId="0" applyFont="1" applyBorder="1" applyAlignment="1">
      <alignment horizontal="center" vertical="center" wrapText="1"/>
    </xf>
    <xf numFmtId="0" fontId="7" fillId="0" borderId="33" xfId="0" applyFont="1" applyBorder="1" applyAlignment="1">
      <alignment horizontal="left" indent="2"/>
    </xf>
    <xf numFmtId="0" fontId="8" fillId="0" borderId="67" xfId="0" applyFont="1" applyBorder="1" applyAlignment="1">
      <alignment horizontal="left" indent="1"/>
    </xf>
    <xf numFmtId="0" fontId="8" fillId="0" borderId="9" xfId="0" applyFont="1" applyBorder="1" applyAlignment="1">
      <alignment horizontal="left" indent="1"/>
    </xf>
    <xf numFmtId="0" fontId="7" fillId="0" borderId="17" xfId="0" applyFont="1" applyBorder="1" applyAlignment="1">
      <alignment horizontal="left" indent="2"/>
    </xf>
    <xf numFmtId="3" fontId="17" fillId="0" borderId="42" xfId="0" applyNumberFormat="1" applyFont="1" applyBorder="1"/>
    <xf numFmtId="3" fontId="17" fillId="0" borderId="44" xfId="0" applyNumberFormat="1" applyFont="1" applyBorder="1"/>
    <xf numFmtId="3" fontId="17" fillId="0" borderId="68" xfId="0" applyNumberFormat="1" applyFont="1" applyBorder="1"/>
    <xf numFmtId="3" fontId="17" fillId="0" borderId="40" xfId="0" applyNumberFormat="1" applyFont="1" applyBorder="1"/>
    <xf numFmtId="3" fontId="17" fillId="0" borderId="58" xfId="0" applyNumberFormat="1" applyFont="1" applyBorder="1"/>
    <xf numFmtId="3" fontId="17" fillId="0" borderId="49" xfId="0" applyNumberFormat="1" applyFont="1" applyBorder="1"/>
    <xf numFmtId="3" fontId="17" fillId="0" borderId="33" xfId="0" applyNumberFormat="1" applyFont="1" applyBorder="1"/>
    <xf numFmtId="3" fontId="17" fillId="0" borderId="69" xfId="0" applyNumberFormat="1" applyFont="1" applyBorder="1"/>
    <xf numFmtId="3" fontId="29" fillId="0" borderId="17" xfId="0" applyNumberFormat="1" applyFont="1" applyBorder="1"/>
    <xf numFmtId="3" fontId="29" fillId="0" borderId="18" xfId="0" applyNumberFormat="1" applyFont="1" applyBorder="1"/>
    <xf numFmtId="0" fontId="6" fillId="0" borderId="1" xfId="0" applyFont="1" applyBorder="1" applyAlignment="1">
      <alignment horizontal="center" vertical="top" wrapText="1"/>
    </xf>
    <xf numFmtId="3" fontId="12" fillId="0" borderId="15" xfId="0" applyNumberFormat="1" applyFont="1" applyBorder="1"/>
    <xf numFmtId="3" fontId="12" fillId="0" borderId="16" xfId="0" applyNumberFormat="1" applyFont="1" applyBorder="1"/>
    <xf numFmtId="3" fontId="12" fillId="0" borderId="19" xfId="0" applyNumberFormat="1" applyFont="1" applyBorder="1"/>
    <xf numFmtId="3" fontId="17" fillId="0" borderId="1" xfId="0" applyNumberFormat="1" applyFont="1" applyBorder="1"/>
    <xf numFmtId="3" fontId="17" fillId="0" borderId="11" xfId="0" applyNumberFormat="1" applyFont="1" applyBorder="1"/>
    <xf numFmtId="3" fontId="17" fillId="0" borderId="15" xfId="0" applyNumberFormat="1" applyFont="1" applyBorder="1"/>
    <xf numFmtId="3" fontId="9" fillId="0" borderId="15" xfId="0" applyNumberFormat="1" applyFont="1" applyBorder="1"/>
    <xf numFmtId="3" fontId="9" fillId="0" borderId="16" xfId="0" applyNumberFormat="1" applyFont="1" applyBorder="1"/>
    <xf numFmtId="3" fontId="9" fillId="0" borderId="34" xfId="0" applyNumberFormat="1" applyFont="1" applyBorder="1"/>
    <xf numFmtId="3" fontId="9" fillId="0" borderId="35" xfId="0" applyNumberFormat="1" applyFont="1" applyBorder="1"/>
    <xf numFmtId="3" fontId="12" fillId="0" borderId="44" xfId="0" applyNumberFormat="1" applyFont="1" applyBorder="1"/>
    <xf numFmtId="3" fontId="12" fillId="0" borderId="49" xfId="0" applyNumberFormat="1" applyFont="1" applyBorder="1"/>
    <xf numFmtId="3" fontId="12" fillId="0" borderId="21" xfId="0" applyNumberFormat="1" applyFont="1" applyBorder="1"/>
    <xf numFmtId="3" fontId="12" fillId="0" borderId="22" xfId="0" applyNumberFormat="1" applyFont="1" applyBorder="1"/>
    <xf numFmtId="3" fontId="12" fillId="0" borderId="6" xfId="0" applyNumberFormat="1" applyFont="1" applyBorder="1"/>
    <xf numFmtId="3" fontId="12" fillId="0" borderId="7" xfId="0" applyNumberFormat="1" applyFont="1" applyBorder="1"/>
    <xf numFmtId="3" fontId="12" fillId="0" borderId="34" xfId="0" applyNumberFormat="1" applyFont="1" applyBorder="1"/>
    <xf numFmtId="3" fontId="12" fillId="0" borderId="35" xfId="0" applyNumberFormat="1" applyFont="1" applyBorder="1"/>
    <xf numFmtId="3" fontId="11" fillId="0" borderId="15" xfId="0" applyNumberFormat="1" applyFont="1" applyBorder="1"/>
    <xf numFmtId="3" fontId="26" fillId="0" borderId="18" xfId="0" applyNumberFormat="1" applyFont="1" applyBorder="1"/>
    <xf numFmtId="3" fontId="26" fillId="0" borderId="19" xfId="0" applyNumberFormat="1" applyFont="1" applyBorder="1"/>
    <xf numFmtId="3" fontId="17" fillId="0" borderId="48" xfId="0" applyNumberFormat="1" applyFont="1" applyBorder="1"/>
    <xf numFmtId="3" fontId="17" fillId="0" borderId="50" xfId="0" applyNumberFormat="1" applyFont="1" applyBorder="1"/>
    <xf numFmtId="3" fontId="12" fillId="0" borderId="56" xfId="0" applyNumberFormat="1" applyFont="1" applyBorder="1"/>
    <xf numFmtId="3" fontId="12" fillId="0" borderId="55" xfId="0" applyNumberFormat="1" applyFont="1" applyBorder="1"/>
    <xf numFmtId="3" fontId="12" fillId="0" borderId="48" xfId="0" applyNumberFormat="1" applyFont="1" applyBorder="1"/>
    <xf numFmtId="3" fontId="12" fillId="0" borderId="50" xfId="0" applyNumberFormat="1" applyFont="1" applyBorder="1"/>
    <xf numFmtId="0" fontId="5" fillId="0" borderId="17" xfId="0" applyFont="1" applyBorder="1" applyAlignment="1">
      <alignment horizontal="left" indent="2"/>
    </xf>
    <xf numFmtId="0" fontId="5" fillId="0" borderId="0" xfId="0" applyFont="1"/>
    <xf numFmtId="0" fontId="22" fillId="0" borderId="30" xfId="0" applyFont="1" applyBorder="1" applyAlignment="1">
      <alignment vertical="top"/>
    </xf>
    <xf numFmtId="3" fontId="22" fillId="0" borderId="44" xfId="0" applyNumberFormat="1" applyFont="1" applyBorder="1"/>
    <xf numFmtId="3" fontId="22" fillId="0" borderId="49" xfId="0" applyNumberFormat="1" applyFont="1" applyBorder="1"/>
    <xf numFmtId="3" fontId="5" fillId="0" borderId="0" xfId="0" applyNumberFormat="1" applyFont="1"/>
    <xf numFmtId="164" fontId="5" fillId="0" borderId="0" xfId="1" applyNumberFormat="1" applyFont="1"/>
    <xf numFmtId="0" fontId="5" fillId="0" borderId="61" xfId="0" applyFont="1" applyBorder="1" applyAlignment="1">
      <alignment horizontal="left" indent="1"/>
    </xf>
    <xf numFmtId="3" fontId="5" fillId="0" borderId="69" xfId="0" applyNumberFormat="1" applyFont="1" applyBorder="1"/>
    <xf numFmtId="3" fontId="5" fillId="0" borderId="19" xfId="0" applyNumberFormat="1" applyFont="1" applyBorder="1"/>
    <xf numFmtId="0" fontId="5" fillId="0" borderId="61" xfId="0" applyFont="1" applyBorder="1" applyAlignment="1">
      <alignment horizontal="left" indent="6"/>
    </xf>
    <xf numFmtId="3" fontId="5" fillId="0" borderId="17" xfId="0" applyNumberFormat="1" applyFont="1" applyBorder="1"/>
    <xf numFmtId="3" fontId="5" fillId="0" borderId="18" xfId="0" applyNumberFormat="1" applyFont="1" applyBorder="1"/>
    <xf numFmtId="0" fontId="5" fillId="0" borderId="61" xfId="0" applyFont="1" applyBorder="1" applyAlignment="1">
      <alignment horizontal="left" indent="3"/>
    </xf>
    <xf numFmtId="0" fontId="5" fillId="0" borderId="61" xfId="0" applyFont="1" applyBorder="1" applyAlignment="1">
      <alignment horizontal="left" indent="4"/>
    </xf>
    <xf numFmtId="3" fontId="5" fillId="0" borderId="39" xfId="0" applyNumberFormat="1" applyFont="1" applyBorder="1"/>
    <xf numFmtId="3" fontId="5" fillId="0" borderId="62" xfId="0" applyNumberFormat="1" applyFont="1" applyBorder="1"/>
    <xf numFmtId="0" fontId="5" fillId="0" borderId="24" xfId="0" applyFont="1" applyBorder="1" applyAlignment="1">
      <alignment horizontal="left"/>
    </xf>
    <xf numFmtId="0" fontId="32" fillId="0" borderId="0" xfId="0" applyFont="1" applyAlignment="1">
      <alignment vertical="center"/>
    </xf>
    <xf numFmtId="0" fontId="3" fillId="0" borderId="0" xfId="0" applyFont="1" applyAlignment="1">
      <alignment horizontal="left"/>
    </xf>
    <xf numFmtId="0" fontId="2" fillId="0" borderId="0" xfId="0" applyFont="1" applyAlignment="1"/>
    <xf numFmtId="0" fontId="5" fillId="0" borderId="0" xfId="0" applyFont="1" applyAlignment="1"/>
    <xf numFmtId="0" fontId="5" fillId="0" borderId="60" xfId="0" applyFont="1" applyBorder="1"/>
    <xf numFmtId="3" fontId="17" fillId="0" borderId="73" xfId="0" applyNumberFormat="1" applyFont="1" applyBorder="1"/>
    <xf numFmtId="3" fontId="17" fillId="0" borderId="14" xfId="0" applyNumberFormat="1" applyFont="1" applyBorder="1"/>
    <xf numFmtId="0" fontId="12" fillId="0" borderId="0" xfId="0" applyFont="1" applyAlignment="1">
      <alignment horizontal="center" wrapText="1"/>
    </xf>
    <xf numFmtId="0" fontId="12" fillId="0" borderId="0" xfId="0" applyFont="1" applyAlignment="1">
      <alignment wrapText="1"/>
    </xf>
    <xf numFmtId="3" fontId="12" fillId="0" borderId="0" xfId="0" applyNumberFormat="1" applyFont="1" applyBorder="1"/>
    <xf numFmtId="0" fontId="19" fillId="0" borderId="0" xfId="0" applyFont="1" applyBorder="1" applyAlignment="1">
      <alignment horizontal="left" indent="3"/>
    </xf>
    <xf numFmtId="3" fontId="5" fillId="0" borderId="74" xfId="0" applyNumberFormat="1" applyFont="1" applyBorder="1"/>
    <xf numFmtId="3" fontId="5" fillId="0" borderId="75" xfId="0" applyNumberFormat="1" applyFont="1" applyBorder="1"/>
    <xf numFmtId="0" fontId="5" fillId="0" borderId="14" xfId="0" applyFont="1" applyBorder="1" applyAlignment="1">
      <alignment horizontal="left" indent="3"/>
    </xf>
    <xf numFmtId="0" fontId="17" fillId="0" borderId="0" xfId="0" applyFont="1" applyAlignment="1">
      <alignment horizontal="left"/>
    </xf>
    <xf numFmtId="0" fontId="12" fillId="0" borderId="0" xfId="0" applyFont="1" applyAlignment="1">
      <alignment horizontal="left"/>
    </xf>
    <xf numFmtId="0" fontId="5" fillId="0" borderId="0" xfId="0" applyFont="1" applyAlignment="1">
      <alignment wrapText="1"/>
    </xf>
    <xf numFmtId="0" fontId="5" fillId="0" borderId="39" xfId="0" applyFont="1" applyBorder="1"/>
    <xf numFmtId="0" fontId="5" fillId="0" borderId="14" xfId="0" applyFont="1" applyBorder="1" applyAlignment="1">
      <alignment horizontal="left" wrapText="1" indent="3"/>
    </xf>
    <xf numFmtId="3" fontId="5" fillId="0" borderId="76" xfId="0" applyNumberFormat="1" applyFont="1" applyBorder="1"/>
    <xf numFmtId="0" fontId="17" fillId="0" borderId="3" xfId="0" applyFont="1" applyBorder="1" applyAlignment="1">
      <alignment horizontal="center" vertical="center" wrapText="1"/>
    </xf>
    <xf numFmtId="0" fontId="2" fillId="0" borderId="0" xfId="0" applyFont="1" applyAlignment="1">
      <alignment horizontal="center"/>
    </xf>
    <xf numFmtId="0" fontId="36" fillId="0" borderId="0" xfId="0" applyFont="1"/>
    <xf numFmtId="3" fontId="5" fillId="0" borderId="77" xfId="0" applyNumberFormat="1" applyFont="1" applyBorder="1"/>
    <xf numFmtId="0" fontId="37" fillId="0" borderId="0" xfId="0" applyFont="1"/>
    <xf numFmtId="37" fontId="5" fillId="0" borderId="69" xfId="0" applyNumberFormat="1" applyFont="1" applyBorder="1"/>
    <xf numFmtId="37" fontId="5" fillId="0" borderId="62" xfId="0" applyNumberFormat="1" applyFont="1" applyBorder="1"/>
    <xf numFmtId="3" fontId="29" fillId="0" borderId="62" xfId="0" applyNumberFormat="1" applyFont="1" applyBorder="1"/>
    <xf numFmtId="37" fontId="5" fillId="0" borderId="78" xfId="0" applyNumberFormat="1" applyFont="1" applyBorder="1"/>
    <xf numFmtId="37" fontId="5" fillId="0" borderId="68" xfId="0" applyNumberFormat="1" applyFont="1" applyBorder="1"/>
    <xf numFmtId="0" fontId="5" fillId="0" borderId="44" xfId="0" applyFont="1" applyBorder="1"/>
    <xf numFmtId="0" fontId="5" fillId="0" borderId="58" xfId="0" applyFont="1" applyBorder="1"/>
    <xf numFmtId="37" fontId="17" fillId="0" borderId="65" xfId="0" applyNumberFormat="1" applyFont="1" applyBorder="1"/>
    <xf numFmtId="3" fontId="17" fillId="0" borderId="57" xfId="0" applyNumberFormat="1" applyFont="1" applyBorder="1"/>
    <xf numFmtId="0" fontId="37" fillId="0" borderId="0" xfId="0" applyFont="1" applyBorder="1" applyAlignment="1">
      <alignment horizontal="left" vertical="top"/>
    </xf>
    <xf numFmtId="164" fontId="17" fillId="0" borderId="79" xfId="1" applyNumberFormat="1" applyFont="1" applyBorder="1" applyAlignment="1">
      <alignment horizontal="center" vertical="top" wrapText="1"/>
    </xf>
    <xf numFmtId="3" fontId="17" fillId="0" borderId="80" xfId="0" applyNumberFormat="1" applyFont="1" applyBorder="1" applyAlignment="1">
      <alignment horizontal="center" vertical="top" wrapText="1"/>
    </xf>
    <xf numFmtId="3" fontId="17" fillId="0" borderId="81" xfId="0" applyNumberFormat="1" applyFont="1" applyBorder="1" applyAlignment="1">
      <alignment horizontal="center" vertical="top" wrapText="1"/>
    </xf>
    <xf numFmtId="0" fontId="18" fillId="0" borderId="0" xfId="0" applyFont="1" applyBorder="1"/>
    <xf numFmtId="0" fontId="38" fillId="0" borderId="0" xfId="0" applyFont="1" applyBorder="1" applyAlignment="1">
      <alignment horizontal="center"/>
    </xf>
    <xf numFmtId="3" fontId="5" fillId="0" borderId="7" xfId="0" applyNumberFormat="1" applyFont="1" applyBorder="1"/>
    <xf numFmtId="3" fontId="5" fillId="0" borderId="6" xfId="0" applyNumberFormat="1" applyFont="1" applyBorder="1"/>
    <xf numFmtId="0" fontId="5" fillId="0" borderId="5" xfId="0" applyFont="1" applyBorder="1" applyAlignment="1">
      <alignment horizontal="left" indent="3"/>
    </xf>
    <xf numFmtId="3" fontId="5" fillId="0" borderId="22" xfId="0" applyNumberFormat="1" applyFont="1" applyBorder="1"/>
    <xf numFmtId="3" fontId="5" fillId="0" borderId="21" xfId="0" applyNumberFormat="1" applyFont="1" applyBorder="1"/>
    <xf numFmtId="0" fontId="5" fillId="0" borderId="20" xfId="0" applyFont="1" applyBorder="1" applyAlignment="1">
      <alignment horizontal="left" indent="5"/>
    </xf>
    <xf numFmtId="0" fontId="5" fillId="0" borderId="17" xfId="0" applyFont="1" applyBorder="1" applyAlignment="1">
      <alignment horizontal="left" indent="5"/>
    </xf>
    <xf numFmtId="0" fontId="5" fillId="0" borderId="17" xfId="0" applyFont="1" applyBorder="1" applyAlignment="1">
      <alignment horizontal="left" indent="3"/>
    </xf>
    <xf numFmtId="3" fontId="5" fillId="0" borderId="49" xfId="0" applyNumberFormat="1" applyFont="1" applyBorder="1"/>
    <xf numFmtId="3" fontId="5" fillId="0" borderId="44" xfId="0" applyNumberFormat="1" applyFont="1" applyBorder="1"/>
    <xf numFmtId="0" fontId="5" fillId="0" borderId="58" xfId="0" applyFont="1" applyBorder="1" applyAlignment="1">
      <alignment horizontal="left" indent="3"/>
    </xf>
    <xf numFmtId="3" fontId="5" fillId="0" borderId="35" xfId="0" applyNumberFormat="1" applyFont="1" applyBorder="1"/>
    <xf numFmtId="37" fontId="5" fillId="0" borderId="34" xfId="0" applyNumberFormat="1" applyFont="1" applyBorder="1"/>
    <xf numFmtId="3" fontId="5" fillId="0" borderId="34" xfId="0" applyNumberFormat="1" applyFont="1" applyBorder="1"/>
    <xf numFmtId="0" fontId="5" fillId="0" borderId="33" xfId="0" applyFont="1" applyBorder="1" applyAlignment="1">
      <alignment horizontal="left" indent="2"/>
    </xf>
    <xf numFmtId="37" fontId="5" fillId="0" borderId="16" xfId="0" applyNumberFormat="1" applyFont="1" applyBorder="1"/>
    <xf numFmtId="37" fontId="5" fillId="0" borderId="15" xfId="0" applyNumberFormat="1" applyFont="1" applyBorder="1"/>
    <xf numFmtId="3" fontId="5" fillId="0" borderId="15" xfId="0" applyNumberFormat="1" applyFont="1" applyBorder="1"/>
    <xf numFmtId="0" fontId="5" fillId="0" borderId="14" xfId="0" applyFont="1" applyBorder="1" applyAlignment="1">
      <alignment horizontal="left" indent="2"/>
    </xf>
    <xf numFmtId="37" fontId="17" fillId="0" borderId="1" xfId="0" applyNumberFormat="1" applyFont="1" applyBorder="1"/>
    <xf numFmtId="3" fontId="17" fillId="0" borderId="84" xfId="0" applyNumberFormat="1" applyFont="1" applyBorder="1"/>
    <xf numFmtId="0" fontId="17" fillId="0" borderId="8" xfId="0" applyFont="1" applyBorder="1" applyAlignment="1">
      <alignment horizontal="right"/>
    </xf>
    <xf numFmtId="0" fontId="5" fillId="0" borderId="33" xfId="0" applyFont="1" applyBorder="1" applyAlignment="1">
      <alignment horizontal="left" indent="3"/>
    </xf>
    <xf numFmtId="37" fontId="5" fillId="0" borderId="19" xfId="0" applyNumberFormat="1" applyFont="1" applyBorder="1" applyAlignment="1">
      <alignment horizontal="right"/>
    </xf>
    <xf numFmtId="0" fontId="5" fillId="0" borderId="18" xfId="0" applyFont="1" applyBorder="1" applyAlignment="1"/>
    <xf numFmtId="3" fontId="5" fillId="0" borderId="18" xfId="0" applyNumberFormat="1" applyFont="1" applyBorder="1" applyAlignment="1"/>
    <xf numFmtId="37" fontId="5" fillId="0" borderId="19" xfId="0" applyNumberFormat="1" applyFont="1" applyBorder="1" applyAlignment="1">
      <alignment horizontal="right" wrapText="1"/>
    </xf>
    <xf numFmtId="0" fontId="5" fillId="0" borderId="18" xfId="0" applyFont="1" applyBorder="1" applyAlignment="1">
      <alignment wrapText="1"/>
    </xf>
    <xf numFmtId="3" fontId="5" fillId="0" borderId="18" xfId="0" applyNumberFormat="1" applyFont="1" applyBorder="1" applyAlignment="1">
      <alignment wrapText="1"/>
    </xf>
    <xf numFmtId="0" fontId="5" fillId="0" borderId="17" xfId="0" applyFont="1" applyBorder="1" applyAlignment="1">
      <alignment horizontal="left" wrapText="1" indent="3"/>
    </xf>
    <xf numFmtId="37" fontId="5" fillId="0" borderId="18" xfId="0" applyNumberFormat="1" applyFont="1" applyBorder="1" applyAlignment="1"/>
    <xf numFmtId="37" fontId="5" fillId="0" borderId="16" xfId="0" applyNumberFormat="1" applyFont="1" applyBorder="1" applyAlignment="1">
      <alignment horizontal="right"/>
    </xf>
    <xf numFmtId="0" fontId="5" fillId="0" borderId="15" xfId="0" applyFont="1" applyBorder="1" applyAlignment="1"/>
    <xf numFmtId="3" fontId="5" fillId="0" borderId="15" xfId="0" applyNumberFormat="1" applyFont="1" applyBorder="1" applyAlignment="1"/>
    <xf numFmtId="0" fontId="5" fillId="0" borderId="11" xfId="0" applyFont="1" applyBorder="1" applyAlignment="1">
      <alignment horizontal="center" vertical="top" wrapText="1"/>
    </xf>
    <xf numFmtId="0" fontId="5" fillId="0" borderId="1" xfId="0" applyFont="1" applyBorder="1" applyAlignment="1">
      <alignment horizontal="center" vertical="top" wrapText="1"/>
    </xf>
    <xf numFmtId="0" fontId="5" fillId="0" borderId="85" xfId="0" applyFont="1" applyBorder="1" applyAlignment="1">
      <alignment horizontal="center" vertical="top" wrapText="1"/>
    </xf>
    <xf numFmtId="3" fontId="5" fillId="0" borderId="86" xfId="0" applyNumberFormat="1" applyFont="1" applyBorder="1"/>
    <xf numFmtId="3" fontId="5" fillId="0" borderId="12" xfId="0" applyNumberFormat="1" applyFont="1" applyBorder="1"/>
    <xf numFmtId="0" fontId="5" fillId="0" borderId="87" xfId="0" applyFont="1" applyBorder="1" applyAlignment="1">
      <alignment horizontal="left" indent="2"/>
    </xf>
    <xf numFmtId="0" fontId="17" fillId="0" borderId="0" xfId="0" applyFont="1" applyAlignment="1"/>
    <xf numFmtId="0" fontId="39" fillId="0" borderId="0" xfId="0" applyFont="1" applyBorder="1"/>
    <xf numFmtId="0" fontId="5" fillId="0" borderId="0" xfId="0" applyFont="1" applyAlignment="1">
      <alignment vertical="top" wrapText="1"/>
    </xf>
    <xf numFmtId="0" fontId="40" fillId="0" borderId="0" xfId="0" applyFont="1" applyAlignment="1"/>
    <xf numFmtId="0" fontId="17" fillId="0" borderId="0" xfId="0" applyFont="1" applyBorder="1"/>
    <xf numFmtId="37" fontId="17" fillId="0" borderId="7" xfId="0" applyNumberFormat="1" applyFont="1" applyBorder="1"/>
    <xf numFmtId="37" fontId="17" fillId="0" borderId="6" xfId="0" applyNumberFormat="1" applyFont="1" applyBorder="1"/>
    <xf numFmtId="0" fontId="5" fillId="0" borderId="0" xfId="0" applyFont="1" applyBorder="1"/>
    <xf numFmtId="0" fontId="5" fillId="0" borderId="27" xfId="0" applyFont="1" applyBorder="1" applyAlignment="1">
      <alignment horizontal="center"/>
    </xf>
    <xf numFmtId="0" fontId="17" fillId="0" borderId="0" xfId="0" applyFont="1" applyBorder="1" applyAlignment="1">
      <alignment vertical="center" wrapText="1"/>
    </xf>
    <xf numFmtId="0" fontId="5" fillId="0" borderId="0" xfId="0" applyFont="1" applyBorder="1" applyAlignment="1">
      <alignment horizontal="center" vertical="top" wrapText="1"/>
    </xf>
    <xf numFmtId="3" fontId="17" fillId="0" borderId="7" xfId="0" applyNumberFormat="1" applyFont="1" applyBorder="1"/>
    <xf numFmtId="0" fontId="5" fillId="0" borderId="0" xfId="0" applyFont="1" applyAlignment="1">
      <alignment vertical="top"/>
    </xf>
    <xf numFmtId="0" fontId="41" fillId="0" borderId="0" xfId="0" applyFont="1" applyBorder="1" applyAlignment="1"/>
    <xf numFmtId="0" fontId="18" fillId="0" borderId="0" xfId="0" applyFont="1" applyBorder="1" applyAlignment="1"/>
    <xf numFmtId="0" fontId="27" fillId="0" borderId="0" xfId="0" applyFont="1" applyBorder="1" applyAlignment="1"/>
    <xf numFmtId="0" fontId="42" fillId="0" borderId="0" xfId="0" applyFont="1" applyBorder="1" applyAlignment="1">
      <alignment horizontal="center"/>
    </xf>
    <xf numFmtId="0" fontId="2" fillId="0" borderId="0" xfId="0" applyFont="1"/>
    <xf numFmtId="0" fontId="17" fillId="0" borderId="29" xfId="0" applyFont="1" applyBorder="1" applyAlignment="1">
      <alignment horizontal="center"/>
    </xf>
    <xf numFmtId="0" fontId="5" fillId="0" borderId="89" xfId="0" applyFont="1" applyBorder="1"/>
    <xf numFmtId="37" fontId="17" fillId="0" borderId="34" xfId="0" applyNumberFormat="1" applyFont="1" applyBorder="1"/>
    <xf numFmtId="0" fontId="17" fillId="0" borderId="90" xfId="0" applyFont="1" applyBorder="1" applyAlignment="1">
      <alignment horizontal="right"/>
    </xf>
    <xf numFmtId="0" fontId="5" fillId="0" borderId="40" xfId="0" applyFont="1" applyBorder="1"/>
    <xf numFmtId="0" fontId="5" fillId="0" borderId="72" xfId="0" applyFont="1" applyBorder="1" applyAlignment="1">
      <alignment vertical="top" wrapText="1"/>
    </xf>
    <xf numFmtId="0" fontId="5" fillId="0" borderId="45" xfId="0" applyFont="1" applyBorder="1" applyAlignment="1">
      <alignment vertical="top"/>
    </xf>
    <xf numFmtId="0" fontId="5" fillId="0" borderId="0" xfId="0" applyFont="1" applyBorder="1" applyAlignment="1">
      <alignment vertical="center" wrapText="1"/>
    </xf>
    <xf numFmtId="0" fontId="5" fillId="0" borderId="28" xfId="0" applyFont="1" applyBorder="1" applyAlignment="1">
      <alignment vertical="top" wrapText="1"/>
    </xf>
    <xf numFmtId="0" fontId="5" fillId="0" borderId="39" xfId="0" applyFont="1" applyBorder="1" applyAlignment="1">
      <alignment vertical="top"/>
    </xf>
    <xf numFmtId="37" fontId="5" fillId="0" borderId="18" xfId="0" applyNumberFormat="1" applyFont="1" applyBorder="1"/>
    <xf numFmtId="0" fontId="5" fillId="0" borderId="16" xfId="0" applyFont="1" applyBorder="1"/>
    <xf numFmtId="0" fontId="5" fillId="0" borderId="15" xfId="0" applyFont="1" applyBorder="1"/>
    <xf numFmtId="0" fontId="17" fillId="0" borderId="27" xfId="0" applyFont="1" applyBorder="1" applyAlignment="1">
      <alignment vertical="top" wrapText="1"/>
    </xf>
    <xf numFmtId="0" fontId="17" fillId="0" borderId="38" xfId="0" applyFont="1" applyBorder="1" applyAlignment="1">
      <alignment vertical="top"/>
    </xf>
    <xf numFmtId="0" fontId="17" fillId="0" borderId="90" xfId="0" applyFont="1" applyBorder="1" applyAlignment="1">
      <alignment horizontal="right" vertical="top"/>
    </xf>
    <xf numFmtId="0" fontId="5" fillId="0" borderId="28" xfId="0" applyFont="1" applyBorder="1" applyAlignment="1">
      <alignment vertical="top"/>
    </xf>
    <xf numFmtId="3" fontId="5" fillId="0" borderId="18" xfId="1" applyNumberFormat="1" applyFont="1" applyBorder="1"/>
    <xf numFmtId="0" fontId="2" fillId="0" borderId="0" xfId="0" applyFont="1" applyBorder="1" applyAlignment="1"/>
    <xf numFmtId="3" fontId="5" fillId="0" borderId="0" xfId="0" applyNumberFormat="1" applyFont="1" applyBorder="1"/>
    <xf numFmtId="37" fontId="17" fillId="4" borderId="1" xfId="0" applyNumberFormat="1" applyFont="1" applyFill="1" applyBorder="1"/>
    <xf numFmtId="37" fontId="5" fillId="0" borderId="19" xfId="0" applyNumberFormat="1" applyFont="1" applyBorder="1"/>
    <xf numFmtId="3" fontId="5" fillId="0" borderId="88" xfId="0" applyNumberFormat="1" applyFont="1" applyBorder="1"/>
    <xf numFmtId="37" fontId="5" fillId="0" borderId="88" xfId="0" applyNumberFormat="1" applyFont="1" applyBorder="1"/>
    <xf numFmtId="37" fontId="5" fillId="4" borderId="88" xfId="0" applyNumberFormat="1" applyFont="1" applyFill="1" applyBorder="1"/>
    <xf numFmtId="0" fontId="5" fillId="0" borderId="9" xfId="0" applyFont="1" applyBorder="1" applyAlignment="1">
      <alignment horizontal="left" indent="3"/>
    </xf>
    <xf numFmtId="0" fontId="5" fillId="0" borderId="0" xfId="0" applyFont="1" applyAlignment="1">
      <alignment horizontal="left" indent="2"/>
    </xf>
    <xf numFmtId="37" fontId="26" fillId="0" borderId="18" xfId="0" applyNumberFormat="1" applyFont="1" applyBorder="1"/>
    <xf numFmtId="3" fontId="5" fillId="0" borderId="16" xfId="0" applyNumberFormat="1" applyFont="1" applyBorder="1"/>
    <xf numFmtId="0" fontId="2" fillId="0" borderId="32" xfId="0" applyFont="1" applyBorder="1" applyAlignment="1"/>
    <xf numFmtId="0" fontId="5" fillId="0" borderId="0" xfId="0" applyFont="1" applyAlignment="1">
      <alignment horizontal="center" wrapText="1"/>
    </xf>
    <xf numFmtId="0" fontId="5" fillId="0" borderId="9" xfId="0" applyFont="1" applyBorder="1" applyAlignment="1">
      <alignment horizontal="left" indent="1"/>
    </xf>
    <xf numFmtId="0" fontId="5" fillId="0" borderId="67" xfId="0" applyFont="1" applyBorder="1" applyAlignment="1">
      <alignment horizontal="left" indent="1"/>
    </xf>
    <xf numFmtId="37" fontId="5" fillId="0" borderId="12" xfId="0" applyNumberFormat="1" applyFont="1" applyBorder="1"/>
    <xf numFmtId="0" fontId="5" fillId="0" borderId="87" xfId="0" applyFont="1" applyBorder="1" applyAlignment="1">
      <alignment horizontal="left" indent="3"/>
    </xf>
    <xf numFmtId="0" fontId="17" fillId="0" borderId="0" xfId="0" applyFont="1" applyAlignment="1">
      <alignment wrapText="1"/>
    </xf>
    <xf numFmtId="0" fontId="17" fillId="0" borderId="0" xfId="0" applyFont="1" applyBorder="1" applyAlignment="1">
      <alignment horizontal="right" indent="1"/>
    </xf>
    <xf numFmtId="0" fontId="17" fillId="0" borderId="1" xfId="0" applyFont="1" applyBorder="1" applyAlignment="1">
      <alignment horizontal="right" indent="1"/>
    </xf>
    <xf numFmtId="37" fontId="5" fillId="0" borderId="44" xfId="0" applyNumberFormat="1" applyFont="1" applyBorder="1"/>
    <xf numFmtId="0" fontId="5" fillId="0" borderId="44" xfId="0" applyFont="1" applyBorder="1" applyAlignment="1">
      <alignment horizontal="left" indent="1"/>
    </xf>
    <xf numFmtId="0" fontId="2" fillId="0" borderId="0" xfId="0" applyFont="1" applyAlignment="1">
      <alignment horizontal="left"/>
    </xf>
    <xf numFmtId="3" fontId="5" fillId="0" borderId="50" xfId="0" applyNumberFormat="1" applyFont="1" applyBorder="1"/>
    <xf numFmtId="3" fontId="5" fillId="0" borderId="48" xfId="0" applyNumberFormat="1" applyFont="1" applyBorder="1"/>
    <xf numFmtId="0" fontId="5" fillId="0" borderId="54" xfId="0" applyFont="1" applyBorder="1" applyAlignment="1">
      <alignment horizontal="left" wrapText="1" indent="2"/>
    </xf>
    <xf numFmtId="0" fontId="43" fillId="0" borderId="0" xfId="0" applyFont="1"/>
    <xf numFmtId="3" fontId="5" fillId="0" borderId="55" xfId="0" applyNumberFormat="1" applyFont="1" applyBorder="1"/>
    <xf numFmtId="3" fontId="5" fillId="0" borderId="56" xfId="0" applyNumberFormat="1" applyFont="1" applyBorder="1"/>
    <xf numFmtId="0" fontId="5" fillId="0" borderId="57" xfId="0" applyFont="1" applyBorder="1"/>
    <xf numFmtId="0" fontId="2" fillId="0" borderId="0" xfId="0" applyFont="1" applyAlignment="1">
      <alignment wrapText="1"/>
    </xf>
    <xf numFmtId="37" fontId="5" fillId="0" borderId="24" xfId="0" applyNumberFormat="1" applyFont="1" applyBorder="1"/>
    <xf numFmtId="3" fontId="5" fillId="0" borderId="95" xfId="0" applyNumberFormat="1" applyFont="1" applyBorder="1"/>
    <xf numFmtId="37" fontId="17" fillId="0" borderId="66" xfId="0" applyNumberFormat="1" applyFont="1" applyBorder="1"/>
    <xf numFmtId="37" fontId="17" fillId="0" borderId="68" xfId="0" applyNumberFormat="1" applyFont="1" applyBorder="1"/>
    <xf numFmtId="37" fontId="17" fillId="0" borderId="69" xfId="0" applyNumberFormat="1" applyFont="1" applyBorder="1"/>
    <xf numFmtId="37" fontId="29" fillId="0" borderId="62" xfId="0" applyNumberFormat="1" applyFont="1" applyBorder="1"/>
    <xf numFmtId="3" fontId="29" fillId="0" borderId="39" xfId="0" applyNumberFormat="1" applyFont="1" applyBorder="1"/>
    <xf numFmtId="37" fontId="17" fillId="0" borderId="62" xfId="0" applyNumberFormat="1" applyFont="1" applyBorder="1"/>
    <xf numFmtId="37" fontId="37" fillId="0" borderId="0" xfId="0" applyNumberFormat="1" applyFont="1"/>
    <xf numFmtId="37" fontId="17" fillId="0" borderId="49" xfId="0" applyNumberFormat="1" applyFont="1" applyBorder="1"/>
    <xf numFmtId="37" fontId="17" fillId="0" borderId="35" xfId="0" applyNumberFormat="1" applyFont="1" applyBorder="1"/>
    <xf numFmtId="37" fontId="17" fillId="0" borderId="19" xfId="0" applyNumberFormat="1" applyFont="1" applyBorder="1"/>
    <xf numFmtId="37" fontId="17" fillId="0" borderId="73" xfId="0" applyNumberFormat="1" applyFont="1" applyBorder="1"/>
    <xf numFmtId="0" fontId="37" fillId="0" borderId="0" xfId="0" applyFont="1" applyBorder="1"/>
    <xf numFmtId="3" fontId="17" fillId="0" borderId="21" xfId="0" applyNumberFormat="1" applyFont="1" applyBorder="1"/>
    <xf numFmtId="3" fontId="17" fillId="0" borderId="45" xfId="0" applyNumberFormat="1" applyFont="1" applyBorder="1"/>
    <xf numFmtId="0" fontId="36" fillId="0" borderId="0" xfId="0" applyFont="1" applyBorder="1"/>
    <xf numFmtId="37" fontId="5" fillId="0" borderId="66" xfId="0" applyNumberFormat="1" applyFont="1" applyBorder="1"/>
    <xf numFmtId="37" fontId="5" fillId="0" borderId="35" xfId="0" applyNumberFormat="1" applyFont="1" applyBorder="1"/>
    <xf numFmtId="37" fontId="5" fillId="0" borderId="0" xfId="0" applyNumberFormat="1" applyFont="1"/>
    <xf numFmtId="37" fontId="17" fillId="0" borderId="11" xfId="0" applyNumberFormat="1" applyFont="1" applyBorder="1"/>
    <xf numFmtId="0" fontId="5" fillId="0" borderId="17" xfId="0" applyFont="1" applyBorder="1" applyAlignment="1">
      <alignment horizontal="left" indent="4"/>
    </xf>
    <xf numFmtId="37" fontId="5" fillId="0" borderId="49" xfId="0" applyNumberFormat="1" applyFont="1" applyBorder="1"/>
    <xf numFmtId="0" fontId="5" fillId="0" borderId="58" xfId="0" applyFont="1" applyBorder="1" applyAlignment="1">
      <alignment horizontal="left" indent="4"/>
    </xf>
    <xf numFmtId="37" fontId="5" fillId="0" borderId="7" xfId="0" applyNumberFormat="1" applyFont="1" applyBorder="1"/>
    <xf numFmtId="37" fontId="5" fillId="0" borderId="6" xfId="0" applyNumberFormat="1" applyFont="1" applyBorder="1"/>
    <xf numFmtId="37" fontId="5" fillId="0" borderId="22" xfId="0" applyNumberFormat="1" applyFont="1" applyBorder="1"/>
    <xf numFmtId="37" fontId="5" fillId="0" borderId="21" xfId="0" applyNumberFormat="1" applyFont="1" applyBorder="1"/>
    <xf numFmtId="37" fontId="5" fillId="0" borderId="96" xfId="0" applyNumberFormat="1" applyFont="1" applyBorder="1"/>
    <xf numFmtId="0" fontId="5" fillId="0" borderId="90" xfId="0" applyFont="1" applyBorder="1" applyAlignment="1">
      <alignment horizontal="center"/>
    </xf>
    <xf numFmtId="0" fontId="5" fillId="0" borderId="28" xfId="0" applyFont="1" applyBorder="1" applyAlignment="1">
      <alignment horizontal="center"/>
    </xf>
    <xf numFmtId="0" fontId="5" fillId="0" borderId="0" xfId="0" applyFont="1" applyAlignment="1">
      <alignment vertical="center" wrapText="1"/>
    </xf>
    <xf numFmtId="37" fontId="5" fillId="0" borderId="18" xfId="1" applyNumberFormat="1" applyFont="1" applyBorder="1"/>
    <xf numFmtId="39" fontId="43" fillId="5" borderId="97" xfId="0" applyNumberFormat="1" applyFont="1" applyFill="1" applyBorder="1"/>
    <xf numFmtId="39" fontId="5" fillId="0" borderId="0" xfId="0" applyNumberFormat="1" applyFont="1" applyAlignment="1">
      <alignment horizontal="center"/>
    </xf>
    <xf numFmtId="37" fontId="17" fillId="0" borderId="85" xfId="0" applyNumberFormat="1" applyFont="1" applyBorder="1"/>
    <xf numFmtId="37" fontId="17" fillId="0" borderId="1" xfId="0" applyNumberFormat="1" applyFont="1" applyBorder="1" applyAlignment="1">
      <alignment horizontal="right"/>
    </xf>
    <xf numFmtId="0" fontId="26" fillId="0" borderId="0" xfId="0" applyFont="1"/>
    <xf numFmtId="0" fontId="26" fillId="0" borderId="0" xfId="0" applyFont="1" applyAlignment="1">
      <alignment horizontal="left" indent="2"/>
    </xf>
    <xf numFmtId="0" fontId="5" fillId="0" borderId="87" xfId="0" applyFont="1" applyBorder="1" applyAlignment="1">
      <alignment horizontal="left" indent="5"/>
    </xf>
    <xf numFmtId="0" fontId="5" fillId="0" borderId="0" xfId="0" applyFont="1" applyBorder="1" applyAlignment="1">
      <alignment horizontal="left" indent="2"/>
    </xf>
    <xf numFmtId="43" fontId="0" fillId="0" borderId="0" xfId="0" applyNumberFormat="1"/>
    <xf numFmtId="37" fontId="0" fillId="0" borderId="0" xfId="0" applyNumberFormat="1"/>
    <xf numFmtId="37" fontId="5" fillId="0" borderId="76" xfId="0" applyNumberFormat="1" applyFont="1" applyBorder="1"/>
    <xf numFmtId="37" fontId="5" fillId="0" borderId="75" xfId="0" applyNumberFormat="1" applyFont="1" applyBorder="1"/>
    <xf numFmtId="0" fontId="5" fillId="0" borderId="74" xfId="0" applyFont="1" applyBorder="1" applyAlignment="1">
      <alignment horizontal="left" indent="3"/>
    </xf>
    <xf numFmtId="0" fontId="5" fillId="0" borderId="20" xfId="0" applyFont="1" applyBorder="1" applyAlignment="1">
      <alignment horizontal="left" indent="3"/>
    </xf>
    <xf numFmtId="165" fontId="5" fillId="0" borderId="0" xfId="0" applyNumberFormat="1" applyFont="1"/>
    <xf numFmtId="0" fontId="17" fillId="0" borderId="0" xfId="0" applyFont="1" applyBorder="1" applyAlignment="1">
      <alignment wrapText="1"/>
    </xf>
    <xf numFmtId="0" fontId="5" fillId="0" borderId="0" xfId="0" applyFont="1" applyBorder="1" applyAlignment="1">
      <alignment wrapText="1"/>
    </xf>
    <xf numFmtId="0" fontId="5" fillId="0" borderId="12" xfId="0" applyFont="1" applyBorder="1" applyAlignment="1">
      <alignment horizontal="left" indent="1"/>
    </xf>
    <xf numFmtId="37" fontId="17" fillId="0" borderId="0" xfId="0" applyNumberFormat="1" applyFont="1" applyBorder="1"/>
    <xf numFmtId="37" fontId="45" fillId="0" borderId="0" xfId="0" applyNumberFormat="1" applyFont="1" applyBorder="1"/>
    <xf numFmtId="3" fontId="17" fillId="0" borderId="0" xfId="0" applyNumberFormat="1" applyFont="1" applyBorder="1"/>
    <xf numFmtId="0" fontId="2" fillId="0" borderId="0" xfId="0" applyFont="1" applyBorder="1"/>
    <xf numFmtId="0" fontId="43" fillId="0" borderId="0" xfId="0" applyFont="1" applyBorder="1"/>
    <xf numFmtId="37" fontId="17" fillId="0" borderId="50" xfId="0" applyNumberFormat="1" applyFont="1" applyBorder="1"/>
    <xf numFmtId="37" fontId="17" fillId="0" borderId="48" xfId="0" applyNumberFormat="1" applyFont="1" applyBorder="1"/>
    <xf numFmtId="37" fontId="17" fillId="0" borderId="18" xfId="0" applyNumberFormat="1" applyFont="1" applyBorder="1"/>
    <xf numFmtId="0" fontId="2" fillId="0" borderId="0" xfId="0" applyFont="1" applyBorder="1" applyAlignment="1">
      <alignment wrapText="1"/>
    </xf>
    <xf numFmtId="37" fontId="5" fillId="0" borderId="100" xfId="0" applyNumberFormat="1" applyFont="1" applyBorder="1"/>
    <xf numFmtId="3" fontId="17" fillId="0" borderId="88" xfId="0" applyNumberFormat="1" applyFont="1" applyBorder="1"/>
    <xf numFmtId="0" fontId="5" fillId="0" borderId="60" xfId="0" applyFont="1" applyBorder="1" applyAlignment="1">
      <alignment horizontal="left" indent="1"/>
    </xf>
    <xf numFmtId="37" fontId="5" fillId="4" borderId="78" xfId="0" applyNumberFormat="1" applyFont="1" applyFill="1" applyBorder="1"/>
    <xf numFmtId="0" fontId="5" fillId="0" borderId="17" xfId="0" applyFont="1" applyBorder="1" applyAlignment="1">
      <alignment horizontal="left" wrapText="1" indent="5"/>
    </xf>
    <xf numFmtId="166" fontId="5" fillId="0" borderId="18" xfId="0" applyNumberFormat="1" applyFont="1" applyBorder="1"/>
    <xf numFmtId="4" fontId="5" fillId="0" borderId="44" xfId="0" applyNumberFormat="1" applyFont="1" applyBorder="1"/>
    <xf numFmtId="3" fontId="17" fillId="4" borderId="1" xfId="0" applyNumberFormat="1" applyFont="1" applyFill="1" applyBorder="1"/>
    <xf numFmtId="3" fontId="5" fillId="4" borderId="18" xfId="0" applyNumberFormat="1" applyFont="1" applyFill="1" applyBorder="1"/>
    <xf numFmtId="3" fontId="5" fillId="0" borderId="101" xfId="0" applyNumberFormat="1" applyFont="1" applyBorder="1"/>
    <xf numFmtId="3" fontId="17" fillId="0" borderId="54" xfId="0" applyNumberFormat="1" applyFont="1" applyBorder="1"/>
    <xf numFmtId="3" fontId="5" fillId="0" borderId="78" xfId="0" applyNumberFormat="1" applyFont="1" applyBorder="1"/>
    <xf numFmtId="3" fontId="17" fillId="0" borderId="20" xfId="0" applyNumberFormat="1" applyFont="1" applyBorder="1"/>
    <xf numFmtId="0" fontId="5" fillId="0" borderId="68" xfId="0" applyFont="1" applyBorder="1"/>
    <xf numFmtId="3" fontId="5" fillId="0" borderId="100" xfId="0" applyNumberFormat="1" applyFont="1" applyBorder="1"/>
    <xf numFmtId="3" fontId="17" fillId="0" borderId="9" xfId="0" applyNumberFormat="1" applyFont="1" applyBorder="1"/>
    <xf numFmtId="0" fontId="5" fillId="0" borderId="18" xfId="0" applyFont="1" applyBorder="1" applyAlignment="1">
      <alignment horizontal="left" indent="1"/>
    </xf>
    <xf numFmtId="0" fontId="5" fillId="0" borderId="17" xfId="0" applyFont="1" applyBorder="1" applyAlignment="1">
      <alignment horizontal="left" indent="1"/>
    </xf>
    <xf numFmtId="3" fontId="5" fillId="0" borderId="66" xfId="0" applyNumberFormat="1" applyFont="1" applyBorder="1"/>
    <xf numFmtId="3" fontId="17" fillId="0" borderId="87" xfId="0" applyNumberFormat="1" applyFont="1" applyBorder="1"/>
    <xf numFmtId="37" fontId="5" fillId="0" borderId="15" xfId="0" applyNumberFormat="1" applyFont="1" applyBorder="1" applyAlignment="1">
      <alignment horizontal="right"/>
    </xf>
    <xf numFmtId="0" fontId="31" fillId="0" borderId="0" xfId="13"/>
    <xf numFmtId="0" fontId="27" fillId="0" borderId="0" xfId="13" applyFont="1"/>
    <xf numFmtId="0" fontId="30" fillId="0" borderId="0" xfId="27"/>
    <xf numFmtId="0" fontId="31" fillId="0" borderId="0" xfId="13" applyFont="1"/>
    <xf numFmtId="0" fontId="47" fillId="0" borderId="0" xfId="13" applyFont="1"/>
    <xf numFmtId="0" fontId="49" fillId="2" borderId="0" xfId="28" applyFont="1" applyFill="1" applyAlignment="1">
      <alignment horizontal="center"/>
    </xf>
    <xf numFmtId="0" fontId="31" fillId="2" borderId="0" xfId="28" applyFont="1" applyFill="1" applyAlignment="1">
      <alignment horizontal="center"/>
    </xf>
    <xf numFmtId="0" fontId="30" fillId="0" borderId="0" xfId="27" applyFont="1"/>
    <xf numFmtId="0" fontId="33" fillId="0" borderId="0" xfId="13" applyFont="1"/>
    <xf numFmtId="37" fontId="5" fillId="0" borderId="78" xfId="0" applyNumberFormat="1" applyFont="1" applyFill="1" applyBorder="1"/>
    <xf numFmtId="37" fontId="5" fillId="4" borderId="15" xfId="0" applyNumberFormat="1" applyFont="1" applyFill="1" applyBorder="1"/>
    <xf numFmtId="37" fontId="44" fillId="0" borderId="21" xfId="0" applyNumberFormat="1" applyFont="1" applyFill="1" applyBorder="1"/>
    <xf numFmtId="37" fontId="51" fillId="0" borderId="0" xfId="0" applyNumberFormat="1" applyFont="1"/>
    <xf numFmtId="37" fontId="17" fillId="0" borderId="48" xfId="0" applyNumberFormat="1" applyFont="1" applyFill="1" applyBorder="1"/>
    <xf numFmtId="3" fontId="5" fillId="0" borderId="104" xfId="0" applyNumberFormat="1" applyFont="1" applyBorder="1"/>
    <xf numFmtId="3" fontId="5" fillId="0" borderId="108" xfId="0" applyNumberFormat="1" applyFont="1" applyBorder="1"/>
    <xf numFmtId="3" fontId="5" fillId="0" borderId="107" xfId="0" applyNumberFormat="1" applyFont="1" applyBorder="1"/>
    <xf numFmtId="0" fontId="5" fillId="0" borderId="107" xfId="0" applyFont="1" applyBorder="1" applyAlignment="1">
      <alignment horizontal="center"/>
    </xf>
    <xf numFmtId="0" fontId="5" fillId="0" borderId="106" xfId="0" applyFont="1" applyBorder="1" applyAlignment="1">
      <alignment horizontal="left" indent="3"/>
    </xf>
    <xf numFmtId="3" fontId="5" fillId="0" borderId="105" xfId="0" applyNumberFormat="1" applyFont="1" applyBorder="1"/>
    <xf numFmtId="0" fontId="5" fillId="0" borderId="15" xfId="0" applyFont="1" applyBorder="1" applyAlignment="1">
      <alignment horizontal="center"/>
    </xf>
    <xf numFmtId="0" fontId="5" fillId="0" borderId="88" xfId="0" applyFont="1" applyBorder="1" applyAlignment="1">
      <alignment horizontal="center"/>
    </xf>
    <xf numFmtId="0" fontId="5" fillId="0" borderId="104" xfId="0" applyFont="1" applyBorder="1" applyAlignment="1">
      <alignment horizontal="center"/>
    </xf>
    <xf numFmtId="0" fontId="5" fillId="0" borderId="103" xfId="0" applyFont="1" applyBorder="1" applyAlignment="1">
      <alignment horizontal="left" wrapText="1" indent="3"/>
    </xf>
    <xf numFmtId="0" fontId="5" fillId="0" borderId="9" xfId="0" applyFont="1" applyBorder="1" applyAlignment="1">
      <alignment horizontal="left" indent="3"/>
    </xf>
    <xf numFmtId="0" fontId="5" fillId="0" borderId="14" xfId="0" applyFont="1" applyBorder="1" applyAlignment="1">
      <alignment horizontal="left" indent="3"/>
    </xf>
    <xf numFmtId="3" fontId="5" fillId="0" borderId="15" xfId="0" applyNumberFormat="1" applyFont="1" applyBorder="1"/>
    <xf numFmtId="3" fontId="5" fillId="0" borderId="16" xfId="0" applyNumberFormat="1" applyFont="1" applyBorder="1"/>
    <xf numFmtId="3" fontId="5" fillId="0" borderId="88" xfId="0" applyNumberFormat="1" applyFont="1" applyBorder="1"/>
    <xf numFmtId="3" fontId="5" fillId="0" borderId="96" xfId="0" applyNumberFormat="1" applyFont="1" applyBorder="1"/>
    <xf numFmtId="164" fontId="5" fillId="0" borderId="32" xfId="1" applyNumberFormat="1" applyFont="1" applyBorder="1"/>
    <xf numFmtId="0" fontId="5" fillId="0" borderId="77" xfId="0" applyFont="1" applyBorder="1"/>
    <xf numFmtId="0" fontId="5" fillId="0" borderId="66" xfId="0" applyFont="1" applyBorder="1"/>
    <xf numFmtId="0" fontId="5" fillId="0" borderId="0" xfId="0" applyFont="1" applyBorder="1" applyAlignment="1">
      <alignment horizontal="center" wrapText="1"/>
    </xf>
    <xf numFmtId="167" fontId="12" fillId="0" borderId="0" xfId="0" applyNumberFormat="1" applyFont="1"/>
    <xf numFmtId="0" fontId="17" fillId="0" borderId="94" xfId="0" applyFont="1" applyBorder="1" applyAlignment="1">
      <alignment horizontal="center" vertical="center" wrapText="1"/>
    </xf>
    <xf numFmtId="0" fontId="17" fillId="0" borderId="93" xfId="0" applyFont="1" applyBorder="1" applyAlignment="1">
      <alignment horizontal="center" vertical="center" wrapText="1"/>
    </xf>
    <xf numFmtId="37" fontId="5" fillId="4" borderId="18" xfId="0" applyNumberFormat="1" applyFont="1" applyFill="1" applyBorder="1"/>
    <xf numFmtId="0" fontId="17" fillId="0" borderId="87" xfId="0" applyFont="1" applyBorder="1" applyAlignment="1">
      <alignment horizontal="center"/>
    </xf>
    <xf numFmtId="3" fontId="17" fillId="0" borderId="86" xfId="0" applyNumberFormat="1" applyFont="1" applyBorder="1"/>
    <xf numFmtId="0" fontId="17" fillId="0" borderId="87" xfId="0" applyFont="1" applyBorder="1" applyAlignment="1">
      <alignment horizontal="left"/>
    </xf>
    <xf numFmtId="0" fontId="17" fillId="0" borderId="74" xfId="0" applyFont="1" applyBorder="1" applyAlignment="1">
      <alignment horizontal="right"/>
    </xf>
    <xf numFmtId="37" fontId="17" fillId="0" borderId="12" xfId="0" applyNumberFormat="1" applyFont="1" applyBorder="1"/>
    <xf numFmtId="37" fontId="17" fillId="0" borderId="12" xfId="0" applyNumberFormat="1" applyFont="1" applyFill="1" applyBorder="1"/>
    <xf numFmtId="37" fontId="17" fillId="0" borderId="86" xfId="0" applyNumberFormat="1" applyFont="1" applyBorder="1"/>
    <xf numFmtId="0" fontId="17" fillId="0" borderId="87" xfId="0" applyFont="1" applyBorder="1" applyAlignment="1">
      <alignment horizontal="right"/>
    </xf>
    <xf numFmtId="37" fontId="12" fillId="0" borderId="18" xfId="0" applyNumberFormat="1" applyFont="1" applyBorder="1"/>
    <xf numFmtId="37" fontId="12" fillId="0" borderId="15" xfId="0" applyNumberFormat="1" applyFont="1" applyBorder="1"/>
    <xf numFmtId="37" fontId="5" fillId="0" borderId="44" xfId="0" applyNumberFormat="1" applyFont="1" applyBorder="1" applyAlignment="1">
      <alignment horizontal="right"/>
    </xf>
    <xf numFmtId="37" fontId="5" fillId="0" borderId="49" xfId="0" applyNumberFormat="1" applyFont="1" applyBorder="1" applyAlignment="1">
      <alignment horizontal="right"/>
    </xf>
    <xf numFmtId="3" fontId="5" fillId="0" borderId="19" xfId="0" applyNumberFormat="1" applyFont="1" applyBorder="1" applyAlignment="1">
      <alignment horizontal="right"/>
    </xf>
    <xf numFmtId="3" fontId="5" fillId="0" borderId="18" xfId="0" applyNumberFormat="1" applyFont="1" applyBorder="1" applyAlignment="1">
      <alignment horizontal="right"/>
    </xf>
    <xf numFmtId="37" fontId="5" fillId="0" borderId="18" xfId="0" applyNumberFormat="1" applyFont="1" applyBorder="1" applyAlignment="1">
      <alignment horizontal="right"/>
    </xf>
    <xf numFmtId="3" fontId="5" fillId="0" borderId="44" xfId="0" applyNumberFormat="1" applyFont="1" applyBorder="1" applyAlignment="1">
      <alignment horizontal="right"/>
    </xf>
    <xf numFmtId="0" fontId="19" fillId="0" borderId="0" xfId="0" applyFont="1" applyBorder="1" applyAlignment="1"/>
    <xf numFmtId="0" fontId="17" fillId="0" borderId="0" xfId="0" applyFont="1" applyBorder="1" applyAlignment="1">
      <alignment horizontal="center" vertical="center" wrapText="1"/>
    </xf>
    <xf numFmtId="37" fontId="12" fillId="0" borderId="19" xfId="0" applyNumberFormat="1" applyFont="1" applyBorder="1"/>
    <xf numFmtId="0" fontId="5" fillId="0" borderId="87" xfId="0" applyFont="1" applyBorder="1" applyAlignment="1">
      <alignment horizontal="left"/>
    </xf>
    <xf numFmtId="37" fontId="52" fillId="0" borderId="0" xfId="0" applyNumberFormat="1" applyFont="1" applyFill="1"/>
    <xf numFmtId="37" fontId="52" fillId="0" borderId="0" xfId="0" applyNumberFormat="1" applyFont="1" applyFill="1" applyAlignment="1">
      <alignment wrapText="1"/>
    </xf>
    <xf numFmtId="37" fontId="53" fillId="0" borderId="0" xfId="0" applyNumberFormat="1" applyFont="1" applyFill="1"/>
    <xf numFmtId="37" fontId="54" fillId="4" borderId="1" xfId="0" applyNumberFormat="1" applyFont="1" applyFill="1" applyBorder="1"/>
    <xf numFmtId="37" fontId="54" fillId="0" borderId="1" xfId="0" applyNumberFormat="1" applyFont="1" applyFill="1" applyBorder="1"/>
    <xf numFmtId="37" fontId="35" fillId="0" borderId="1" xfId="0" applyNumberFormat="1" applyFont="1" applyFill="1" applyBorder="1"/>
    <xf numFmtId="37" fontId="35" fillId="0" borderId="1" xfId="0" applyNumberFormat="1" applyFont="1" applyFill="1" applyBorder="1" applyAlignment="1">
      <alignment wrapText="1"/>
    </xf>
    <xf numFmtId="37" fontId="55" fillId="0" borderId="0" xfId="0" applyNumberFormat="1" applyFont="1" applyFill="1"/>
    <xf numFmtId="37" fontId="54" fillId="0" borderId="1" xfId="0" applyNumberFormat="1" applyFont="1" applyFill="1" applyBorder="1" applyAlignment="1">
      <alignment horizontal="center"/>
    </xf>
    <xf numFmtId="37" fontId="54" fillId="0" borderId="1" xfId="0" applyNumberFormat="1" applyFont="1" applyFill="1" applyBorder="1" applyAlignment="1">
      <alignment horizontal="right"/>
    </xf>
    <xf numFmtId="37" fontId="35" fillId="0" borderId="1" xfId="0" applyNumberFormat="1" applyFont="1" applyFill="1" applyBorder="1" applyAlignment="1">
      <alignment horizontal="right"/>
    </xf>
    <xf numFmtId="37" fontId="57" fillId="0" borderId="1" xfId="0" applyNumberFormat="1" applyFont="1" applyFill="1" applyBorder="1"/>
    <xf numFmtId="37" fontId="60" fillId="0" borderId="0" xfId="0" applyNumberFormat="1" applyFont="1" applyFill="1"/>
    <xf numFmtId="37" fontId="59" fillId="0" borderId="1" xfId="0" applyNumberFormat="1" applyFont="1" applyFill="1" applyBorder="1"/>
    <xf numFmtId="37" fontId="59" fillId="0" borderId="1" xfId="0" applyNumberFormat="1" applyFont="1" applyFill="1" applyBorder="1" applyAlignment="1">
      <alignment horizontal="right"/>
    </xf>
    <xf numFmtId="37" fontId="60" fillId="3" borderId="0" xfId="0" applyNumberFormat="1" applyFont="1" applyFill="1"/>
    <xf numFmtId="37" fontId="59" fillId="0" borderId="1" xfId="0" applyNumberFormat="1" applyFont="1" applyFill="1" applyBorder="1" applyAlignment="1">
      <alignment wrapText="1"/>
    </xf>
    <xf numFmtId="37" fontId="65" fillId="0" borderId="1" xfId="0" applyNumberFormat="1" applyFont="1" applyFill="1" applyBorder="1"/>
    <xf numFmtId="37" fontId="66" fillId="0" borderId="1" xfId="0" applyNumberFormat="1" applyFont="1" applyFill="1" applyBorder="1"/>
    <xf numFmtId="37" fontId="52" fillId="4" borderId="0" xfId="0" applyNumberFormat="1" applyFont="1" applyFill="1"/>
    <xf numFmtId="37" fontId="65" fillId="4" borderId="1" xfId="0" applyNumberFormat="1" applyFont="1" applyFill="1" applyBorder="1"/>
    <xf numFmtId="37" fontId="53" fillId="4" borderId="0" xfId="0" applyNumberFormat="1" applyFont="1" applyFill="1"/>
    <xf numFmtId="37" fontId="35" fillId="4" borderId="1" xfId="0" applyNumberFormat="1" applyFont="1" applyFill="1" applyBorder="1" applyAlignment="1">
      <alignment horizontal="right"/>
    </xf>
    <xf numFmtId="37" fontId="35" fillId="4" borderId="1" xfId="0" applyNumberFormat="1" applyFont="1" applyFill="1" applyBorder="1"/>
    <xf numFmtId="37" fontId="68" fillId="4" borderId="0" xfId="0" applyNumberFormat="1" applyFont="1" applyFill="1"/>
    <xf numFmtId="37" fontId="59" fillId="4" borderId="1" xfId="0" applyNumberFormat="1" applyFont="1" applyFill="1" applyBorder="1"/>
    <xf numFmtId="37" fontId="52" fillId="3" borderId="0" xfId="0" applyNumberFormat="1" applyFont="1" applyFill="1"/>
    <xf numFmtId="37" fontId="55" fillId="4" borderId="0" xfId="0" applyNumberFormat="1" applyFont="1" applyFill="1"/>
    <xf numFmtId="37" fontId="54" fillId="4" borderId="1" xfId="0" applyNumberFormat="1" applyFont="1" applyFill="1" applyBorder="1" applyAlignment="1">
      <alignment horizontal="right"/>
    </xf>
    <xf numFmtId="37" fontId="70" fillId="4" borderId="0" xfId="0" applyNumberFormat="1" applyFont="1" applyFill="1"/>
    <xf numFmtId="0" fontId="5" fillId="0" borderId="28" xfId="0" applyFont="1" applyBorder="1" applyAlignment="1"/>
    <xf numFmtId="0" fontId="5" fillId="0" borderId="33" xfId="0" applyFont="1" applyBorder="1" applyAlignment="1">
      <alignment horizontal="left" wrapText="1" indent="5"/>
    </xf>
    <xf numFmtId="0" fontId="5" fillId="0" borderId="21" xfId="0" applyFont="1" applyBorder="1" applyAlignment="1"/>
    <xf numFmtId="0" fontId="5" fillId="0" borderId="44" xfId="0" applyFont="1" applyBorder="1" applyAlignment="1"/>
    <xf numFmtId="0" fontId="5" fillId="0" borderId="34" xfId="0" applyFont="1" applyBorder="1" applyAlignment="1">
      <alignment wrapText="1"/>
    </xf>
    <xf numFmtId="3" fontId="5" fillId="0" borderId="46" xfId="0" applyNumberFormat="1" applyFont="1" applyBorder="1" applyAlignment="1"/>
    <xf numFmtId="0" fontId="5" fillId="0" borderId="28" xfId="0" applyFont="1" applyBorder="1" applyAlignment="1">
      <alignment horizontal="right"/>
    </xf>
    <xf numFmtId="37" fontId="5" fillId="0" borderId="28" xfId="0" applyNumberFormat="1" applyFont="1" applyBorder="1" applyAlignment="1"/>
    <xf numFmtId="37" fontId="5" fillId="0" borderId="72" xfId="0" applyNumberFormat="1" applyFont="1" applyBorder="1" applyAlignment="1"/>
    <xf numFmtId="37" fontId="5" fillId="0" borderId="46" xfId="0" applyNumberFormat="1" applyFont="1" applyBorder="1" applyAlignment="1"/>
    <xf numFmtId="37" fontId="5" fillId="0" borderId="28" xfId="0" applyNumberFormat="1" applyFont="1" applyBorder="1" applyAlignment="1">
      <alignment wrapText="1"/>
    </xf>
    <xf numFmtId="37" fontId="5" fillId="0" borderId="28" xfId="0" applyNumberFormat="1" applyFont="1" applyBorder="1" applyAlignment="1">
      <alignment horizontal="right"/>
    </xf>
    <xf numFmtId="3" fontId="5" fillId="0" borderId="46" xfId="0" applyNumberFormat="1" applyFont="1" applyBorder="1" applyAlignment="1">
      <alignment horizontal="right"/>
    </xf>
    <xf numFmtId="37" fontId="5" fillId="0" borderId="72" xfId="0" applyNumberFormat="1" applyFont="1" applyBorder="1" applyAlignment="1">
      <alignment horizontal="right"/>
    </xf>
    <xf numFmtId="37" fontId="5" fillId="0" borderId="46" xfId="0" applyNumberFormat="1" applyFont="1" applyBorder="1" applyAlignment="1">
      <alignment horizontal="right"/>
    </xf>
    <xf numFmtId="37" fontId="5" fillId="0" borderId="28" xfId="0" applyNumberFormat="1" applyFont="1" applyBorder="1" applyAlignment="1">
      <alignment horizontal="right" wrapText="1"/>
    </xf>
    <xf numFmtId="37" fontId="5" fillId="0" borderId="108" xfId="0" applyNumberFormat="1" applyFont="1" applyBorder="1"/>
    <xf numFmtId="37" fontId="5" fillId="0" borderId="107" xfId="0" applyNumberFormat="1" applyFont="1" applyBorder="1"/>
    <xf numFmtId="0" fontId="17" fillId="0" borderId="14" xfId="0" applyFont="1" applyBorder="1" applyAlignment="1">
      <alignment horizontal="right" indent="1"/>
    </xf>
    <xf numFmtId="37" fontId="17" fillId="0" borderId="62" xfId="0" applyNumberFormat="1" applyFont="1" applyBorder="1" applyAlignment="1">
      <alignment horizontal="right" indent="1"/>
    </xf>
    <xf numFmtId="0" fontId="17" fillId="0" borderId="15" xfId="0" applyFont="1" applyBorder="1" applyAlignment="1">
      <alignment horizontal="right" indent="1"/>
    </xf>
    <xf numFmtId="0" fontId="5" fillId="0" borderId="27" xfId="0" applyFont="1" applyBorder="1" applyAlignment="1">
      <alignment horizontal="center" wrapText="1"/>
    </xf>
    <xf numFmtId="37" fontId="5" fillId="0" borderId="28" xfId="0" applyNumberFormat="1" applyFont="1" applyBorder="1" applyAlignment="1">
      <alignment horizontal="right" readingOrder="1"/>
    </xf>
    <xf numFmtId="0" fontId="5" fillId="0" borderId="18" xfId="0" applyFont="1" applyBorder="1" applyAlignment="1">
      <alignment horizontal="right"/>
    </xf>
    <xf numFmtId="0" fontId="5" fillId="0" borderId="1" xfId="0" applyFont="1" applyFill="1" applyBorder="1" applyAlignment="1">
      <alignment horizontal="center" vertical="top" wrapText="1"/>
    </xf>
    <xf numFmtId="3" fontId="5" fillId="0" borderId="15" xfId="0" applyNumberFormat="1" applyFont="1" applyFill="1" applyBorder="1"/>
    <xf numFmtId="37" fontId="5" fillId="0" borderId="15" xfId="0" applyNumberFormat="1" applyFont="1" applyFill="1" applyBorder="1"/>
    <xf numFmtId="3" fontId="5" fillId="0" borderId="18" xfId="0" applyNumberFormat="1" applyFont="1" applyFill="1" applyBorder="1"/>
    <xf numFmtId="37" fontId="5" fillId="0" borderId="18" xfId="0" applyNumberFormat="1" applyFont="1" applyFill="1" applyBorder="1"/>
    <xf numFmtId="37" fontId="5" fillId="0" borderId="88" xfId="0" applyNumberFormat="1" applyFont="1" applyFill="1" applyBorder="1"/>
    <xf numFmtId="3" fontId="5" fillId="0" borderId="88" xfId="0" applyNumberFormat="1" applyFont="1" applyFill="1" applyBorder="1"/>
    <xf numFmtId="37" fontId="17" fillId="0" borderId="1" xfId="0" applyNumberFormat="1" applyFont="1" applyFill="1" applyBorder="1"/>
    <xf numFmtId="3" fontId="17" fillId="0" borderId="1" xfId="0" applyNumberFormat="1" applyFont="1" applyFill="1" applyBorder="1"/>
    <xf numFmtId="3" fontId="5" fillId="0" borderId="44" xfId="0" applyNumberFormat="1" applyFont="1" applyFill="1" applyBorder="1"/>
    <xf numFmtId="0" fontId="21" fillId="0" borderId="42" xfId="0" applyFont="1" applyBorder="1" applyAlignment="1">
      <alignment vertical="top"/>
    </xf>
    <xf numFmtId="0" fontId="22" fillId="0" borderId="15" xfId="0" applyFont="1" applyBorder="1"/>
    <xf numFmtId="0" fontId="22" fillId="0" borderId="16" xfId="0" applyFont="1" applyBorder="1"/>
    <xf numFmtId="3" fontId="22" fillId="0" borderId="18" xfId="0" applyNumberFormat="1" applyFont="1" applyBorder="1"/>
    <xf numFmtId="37" fontId="26" fillId="0" borderId="0" xfId="0" applyNumberFormat="1" applyFont="1" applyBorder="1" applyAlignment="1">
      <alignment horizontal="left" indent="2"/>
    </xf>
    <xf numFmtId="37" fontId="26" fillId="0" borderId="0" xfId="0" applyNumberFormat="1" applyFont="1" applyAlignment="1">
      <alignment horizontal="left" indent="2"/>
    </xf>
    <xf numFmtId="37" fontId="5" fillId="0" borderId="0" xfId="0" applyNumberFormat="1" applyFont="1" applyAlignment="1">
      <alignment horizontal="left" indent="2"/>
    </xf>
    <xf numFmtId="37" fontId="5" fillId="0" borderId="0" xfId="0" applyNumberFormat="1" applyFont="1" applyBorder="1" applyAlignment="1">
      <alignment horizontal="center"/>
    </xf>
    <xf numFmtId="39" fontId="44" fillId="6" borderId="0" xfId="0" applyNumberFormat="1" applyFont="1" applyFill="1" applyBorder="1" applyAlignment="1">
      <alignment horizontal="left"/>
    </xf>
    <xf numFmtId="39" fontId="17" fillId="0" borderId="0" xfId="0" applyNumberFormat="1" applyFont="1" applyBorder="1" applyAlignment="1">
      <alignment horizontal="center"/>
    </xf>
    <xf numFmtId="0" fontId="17" fillId="0" borderId="3" xfId="0" applyFont="1" applyBorder="1" applyAlignment="1">
      <alignment horizontal="center" vertical="center" wrapText="1"/>
    </xf>
    <xf numFmtId="0" fontId="2" fillId="0" borderId="0" xfId="0" applyFont="1" applyAlignment="1">
      <alignment horizontal="center"/>
    </xf>
    <xf numFmtId="0" fontId="11" fillId="0" borderId="11" xfId="0" applyFont="1" applyBorder="1" applyAlignment="1">
      <alignment horizontal="center" vertical="top" wrapText="1"/>
    </xf>
    <xf numFmtId="3" fontId="11" fillId="0" borderId="16" xfId="0" applyNumberFormat="1" applyFont="1" applyBorder="1"/>
    <xf numFmtId="3" fontId="5" fillId="0" borderId="86" xfId="0" applyNumberFormat="1" applyFont="1" applyBorder="1" applyAlignment="1">
      <alignment horizontal="right"/>
    </xf>
    <xf numFmtId="0" fontId="5" fillId="0" borderId="58" xfId="0" applyFont="1" applyBorder="1" applyAlignment="1">
      <alignment horizontal="left" indent="1"/>
    </xf>
    <xf numFmtId="0" fontId="17" fillId="0" borderId="5" xfId="0" applyFont="1" applyBorder="1" applyAlignment="1">
      <alignment horizontal="right" indent="1"/>
    </xf>
    <xf numFmtId="0" fontId="5" fillId="0" borderId="60" xfId="0" applyFont="1" applyBorder="1" applyAlignment="1">
      <alignment horizontal="left" indent="3"/>
    </xf>
    <xf numFmtId="0" fontId="5" fillId="0" borderId="111" xfId="0" applyFont="1" applyBorder="1" applyAlignment="1">
      <alignment horizontal="left" indent="4"/>
    </xf>
    <xf numFmtId="3" fontId="5" fillId="0" borderId="41" xfId="0" applyNumberFormat="1" applyFont="1" applyBorder="1"/>
    <xf numFmtId="37" fontId="5" fillId="0" borderId="101" xfId="0" applyNumberFormat="1" applyFont="1" applyBorder="1"/>
    <xf numFmtId="0" fontId="5" fillId="0" borderId="54" xfId="0" applyFont="1" applyBorder="1" applyAlignment="1">
      <alignment horizontal="left" indent="3"/>
    </xf>
    <xf numFmtId="37" fontId="5" fillId="0" borderId="48" xfId="0" applyNumberFormat="1" applyFont="1" applyBorder="1"/>
    <xf numFmtId="37" fontId="5" fillId="0" borderId="50" xfId="0" applyNumberFormat="1" applyFont="1" applyBorder="1"/>
    <xf numFmtId="0" fontId="5" fillId="0" borderId="87" xfId="0" applyFont="1" applyBorder="1" applyAlignment="1">
      <alignment horizontal="left" indent="1"/>
    </xf>
    <xf numFmtId="0" fontId="2" fillId="0" borderId="102" xfId="0" applyFont="1" applyBorder="1" applyAlignment="1"/>
    <xf numFmtId="0" fontId="47" fillId="0" borderId="0" xfId="13" applyFont="1" applyAlignment="1">
      <alignment horizontal="center" vertical="top"/>
    </xf>
    <xf numFmtId="0" fontId="31" fillId="0" borderId="0" xfId="13" applyFont="1" applyAlignment="1">
      <alignment horizontal="center" vertical="top"/>
    </xf>
    <xf numFmtId="0" fontId="47" fillId="0" borderId="0" xfId="13" applyFont="1" applyFill="1" applyAlignment="1">
      <alignment horizontal="center" vertical="top"/>
    </xf>
    <xf numFmtId="0" fontId="31" fillId="0" borderId="0" xfId="13" applyFont="1" applyFill="1" applyAlignment="1">
      <alignment horizontal="center" vertical="top"/>
    </xf>
    <xf numFmtId="37" fontId="54" fillId="7" borderId="2" xfId="0" applyNumberFormat="1" applyFont="1" applyFill="1" applyBorder="1" applyAlignment="1">
      <alignment horizontal="center" vertical="center" wrapText="1"/>
    </xf>
    <xf numFmtId="37" fontId="54" fillId="7" borderId="3" xfId="0" applyNumberFormat="1" applyFont="1" applyFill="1" applyBorder="1" applyAlignment="1">
      <alignment horizontal="center" wrapText="1"/>
    </xf>
    <xf numFmtId="37" fontId="54" fillId="7" borderId="4" xfId="0" applyNumberFormat="1" applyFont="1" applyFill="1" applyBorder="1" applyAlignment="1">
      <alignment horizontal="center" wrapText="1"/>
    </xf>
    <xf numFmtId="37" fontId="54" fillId="0" borderId="13" xfId="0" applyNumberFormat="1" applyFont="1" applyFill="1" applyBorder="1" applyAlignment="1">
      <alignment wrapText="1"/>
    </xf>
    <xf numFmtId="37" fontId="35" fillId="0" borderId="11" xfId="0" applyNumberFormat="1" applyFont="1" applyFill="1" applyBorder="1"/>
    <xf numFmtId="37" fontId="35" fillId="0" borderId="13" xfId="0" applyNumberFormat="1" applyFont="1" applyFill="1" applyBorder="1" applyAlignment="1">
      <alignment horizontal="left" wrapText="1"/>
    </xf>
    <xf numFmtId="37" fontId="35" fillId="0" borderId="13" xfId="0" applyNumberFormat="1" applyFont="1" applyFill="1" applyBorder="1" applyAlignment="1">
      <alignment horizontal="left" wrapText="1" indent="2"/>
    </xf>
    <xf numFmtId="37" fontId="59" fillId="0" borderId="11" xfId="0" applyNumberFormat="1" applyFont="1" applyFill="1" applyBorder="1"/>
    <xf numFmtId="37" fontId="35" fillId="0" borderId="13" xfId="0" applyNumberFormat="1" applyFont="1" applyFill="1" applyBorder="1" applyAlignment="1">
      <alignment wrapText="1"/>
    </xf>
    <xf numFmtId="37" fontId="35" fillId="0" borderId="13" xfId="0" applyNumberFormat="1" applyFont="1" applyFill="1" applyBorder="1" applyAlignment="1">
      <alignment horizontal="left" wrapText="1" indent="1"/>
    </xf>
    <xf numFmtId="37" fontId="59" fillId="4" borderId="11" xfId="0" applyNumberFormat="1" applyFont="1" applyFill="1" applyBorder="1"/>
    <xf numFmtId="37" fontId="35" fillId="4" borderId="11" xfId="0" applyNumberFormat="1" applyFont="1" applyFill="1" applyBorder="1"/>
    <xf numFmtId="37" fontId="54" fillId="0" borderId="13" xfId="0" applyNumberFormat="1" applyFont="1" applyFill="1" applyBorder="1" applyAlignment="1">
      <alignment horizontal="right" wrapText="1"/>
    </xf>
    <xf numFmtId="37" fontId="54" fillId="0" borderId="11" xfId="0" applyNumberFormat="1" applyFont="1" applyFill="1" applyBorder="1" applyAlignment="1">
      <alignment horizontal="right"/>
    </xf>
    <xf numFmtId="37" fontId="65" fillId="4" borderId="11" xfId="0" applyNumberFormat="1" applyFont="1" applyFill="1" applyBorder="1"/>
    <xf numFmtId="37" fontId="35" fillId="0" borderId="13" xfId="0" applyNumberFormat="1" applyFont="1" applyFill="1" applyBorder="1" applyAlignment="1" applyProtection="1">
      <alignment horizontal="left" wrapText="1"/>
      <protection locked="0"/>
    </xf>
    <xf numFmtId="168" fontId="35" fillId="0" borderId="13" xfId="0" applyNumberFormat="1" applyFont="1" applyFill="1" applyBorder="1" applyAlignment="1">
      <alignment horizontal="left" wrapText="1" indent="2"/>
    </xf>
    <xf numFmtId="37" fontId="54" fillId="0" borderId="13" xfId="0" applyNumberFormat="1" applyFont="1" applyFill="1" applyBorder="1" applyAlignment="1" applyProtection="1">
      <alignment horizontal="right" wrapText="1"/>
      <protection locked="0"/>
    </xf>
    <xf numFmtId="37" fontId="54" fillId="4" borderId="11" xfId="0" applyNumberFormat="1" applyFont="1" applyFill="1" applyBorder="1" applyAlignment="1">
      <alignment horizontal="right"/>
    </xf>
    <xf numFmtId="37" fontId="54" fillId="4" borderId="11" xfId="0" applyNumberFormat="1" applyFont="1" applyFill="1" applyBorder="1"/>
    <xf numFmtId="37" fontId="67" fillId="0" borderId="13" xfId="0" applyNumberFormat="1" applyFont="1" applyFill="1" applyBorder="1" applyAlignment="1">
      <alignment wrapText="1"/>
    </xf>
    <xf numFmtId="37" fontId="35" fillId="4" borderId="11" xfId="0" applyNumberFormat="1" applyFont="1" applyFill="1" applyBorder="1" applyAlignment="1">
      <alignment horizontal="right"/>
    </xf>
    <xf numFmtId="37" fontId="56" fillId="0" borderId="13" xfId="0" applyNumberFormat="1" applyFont="1" applyFill="1" applyBorder="1" applyAlignment="1">
      <alignment wrapText="1"/>
    </xf>
    <xf numFmtId="37" fontId="54" fillId="0" borderId="11" xfId="0" applyNumberFormat="1" applyFont="1" applyFill="1" applyBorder="1"/>
    <xf numFmtId="37" fontId="65" fillId="0" borderId="11" xfId="0" applyNumberFormat="1" applyFont="1" applyFill="1" applyBorder="1"/>
    <xf numFmtId="37" fontId="59" fillId="0" borderId="13" xfId="0" applyNumberFormat="1" applyFont="1" applyFill="1" applyBorder="1" applyAlignment="1">
      <alignment wrapText="1"/>
    </xf>
    <xf numFmtId="37" fontId="59" fillId="0" borderId="13" xfId="0" applyNumberFormat="1" applyFont="1" applyFill="1" applyBorder="1" applyAlignment="1">
      <alignment horizontal="left" wrapText="1" indent="2"/>
    </xf>
    <xf numFmtId="37" fontId="35" fillId="0" borderId="13" xfId="0" applyNumberFormat="1" applyFont="1" applyFill="1" applyBorder="1" applyAlignment="1">
      <alignment horizontal="left" wrapText="1" indent="3"/>
    </xf>
    <xf numFmtId="37" fontId="59" fillId="0" borderId="13" xfId="0" applyNumberFormat="1" applyFont="1" applyFill="1" applyBorder="1" applyAlignment="1">
      <alignment horizontal="right" wrapText="1"/>
    </xf>
    <xf numFmtId="37" fontId="58" fillId="0" borderId="13" xfId="0" applyNumberFormat="1" applyFont="1" applyFill="1" applyBorder="1" applyAlignment="1">
      <alignment horizontal="right" wrapText="1"/>
    </xf>
    <xf numFmtId="37" fontId="54" fillId="0" borderId="13" xfId="0" applyNumberFormat="1" applyFont="1" applyFill="1" applyBorder="1" applyAlignment="1">
      <alignment horizontal="center"/>
    </xf>
    <xf numFmtId="37" fontId="54" fillId="0" borderId="5" xfId="0" applyNumberFormat="1" applyFont="1" applyFill="1" applyBorder="1" applyAlignment="1">
      <alignment horizontal="right" wrapText="1"/>
    </xf>
    <xf numFmtId="37" fontId="54" fillId="0" borderId="6" xfId="0" applyNumberFormat="1" applyFont="1" applyFill="1" applyBorder="1"/>
    <xf numFmtId="37" fontId="54" fillId="4" borderId="6" xfId="0" applyNumberFormat="1" applyFont="1" applyFill="1" applyBorder="1"/>
    <xf numFmtId="37" fontId="54" fillId="4" borderId="7" xfId="0" applyNumberFormat="1" applyFont="1" applyFill="1" applyBorder="1"/>
    <xf numFmtId="0" fontId="5" fillId="0" borderId="0" xfId="0" applyFont="1" applyAlignment="1">
      <alignment horizontal="left" vertical="top"/>
    </xf>
    <xf numFmtId="0" fontId="28" fillId="0" borderId="0" xfId="0" applyFont="1" applyAlignment="1">
      <alignment horizontal="left" vertical="top"/>
    </xf>
    <xf numFmtId="0" fontId="15" fillId="0" borderId="0" xfId="0" applyFont="1" applyAlignment="1">
      <alignment horizontal="center"/>
    </xf>
    <xf numFmtId="0" fontId="16"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xf>
    <xf numFmtId="0" fontId="17" fillId="0" borderId="2" xfId="0" applyFont="1" applyBorder="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xf numFmtId="0" fontId="14" fillId="0" borderId="0" xfId="0" applyFont="1" applyAlignment="1">
      <alignment horizontal="center"/>
    </xf>
    <xf numFmtId="0" fontId="17" fillId="0" borderId="10" xfId="0" applyFont="1" applyBorder="1" applyAlignment="1">
      <alignment horizontal="center" vertical="center"/>
    </xf>
    <xf numFmtId="0" fontId="17" fillId="0" borderId="9" xfId="0" applyFont="1" applyBorder="1" applyAlignment="1">
      <alignment horizontal="center" vertical="center"/>
    </xf>
    <xf numFmtId="0" fontId="12" fillId="0" borderId="0" xfId="0" applyFont="1" applyAlignment="1">
      <alignment horizont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1" fillId="0" borderId="0" xfId="0" applyFont="1" applyAlignment="1">
      <alignment horizontal="center"/>
    </xf>
    <xf numFmtId="0" fontId="21" fillId="0" borderId="47" xfId="0" applyFont="1" applyBorder="1" applyAlignment="1">
      <alignment horizontal="center" vertical="top"/>
    </xf>
    <xf numFmtId="0" fontId="21" fillId="0" borderId="29" xfId="0" applyFont="1" applyBorder="1" applyAlignment="1">
      <alignment horizontal="center" vertical="top"/>
    </xf>
    <xf numFmtId="0" fontId="25" fillId="0" borderId="36" xfId="0" applyFont="1" applyBorder="1" applyAlignment="1">
      <alignment horizontal="left" vertical="top" wrapText="1"/>
    </xf>
    <xf numFmtId="0" fontId="25" fillId="0" borderId="36" xfId="0" applyFont="1" applyBorder="1" applyAlignment="1">
      <alignment horizontal="left" vertical="top"/>
    </xf>
    <xf numFmtId="0" fontId="25" fillId="0" borderId="28" xfId="0" applyFont="1" applyBorder="1" applyAlignment="1">
      <alignment horizontal="left" vertical="top"/>
    </xf>
    <xf numFmtId="0" fontId="22" fillId="0" borderId="71" xfId="0" applyFont="1" applyBorder="1" applyAlignment="1">
      <alignment horizontal="left" vertical="top" wrapText="1"/>
    </xf>
    <xf numFmtId="0" fontId="22" fillId="0" borderId="72" xfId="0" applyFont="1" applyBorder="1" applyAlignment="1">
      <alignment horizontal="left" vertical="top" wrapText="1"/>
    </xf>
    <xf numFmtId="0" fontId="22" fillId="0" borderId="43" xfId="0" applyFont="1" applyBorder="1" applyAlignment="1">
      <alignment horizontal="left" vertical="top" wrapText="1"/>
    </xf>
    <xf numFmtId="0" fontId="22" fillId="0" borderId="46" xfId="0" applyFont="1" applyBorder="1" applyAlignment="1">
      <alignment horizontal="left" vertical="top" wrapText="1"/>
    </xf>
    <xf numFmtId="0" fontId="22" fillId="0" borderId="36" xfId="0" applyFont="1" applyBorder="1" applyAlignment="1">
      <alignment horizontal="left" vertical="top" wrapText="1"/>
    </xf>
    <xf numFmtId="0" fontId="22" fillId="0" borderId="28" xfId="0" applyFont="1" applyBorder="1" applyAlignment="1">
      <alignment horizontal="left" vertical="top" wrapText="1"/>
    </xf>
    <xf numFmtId="0" fontId="21" fillId="0" borderId="37" xfId="0" applyFont="1" applyBorder="1" applyAlignment="1">
      <alignment horizontal="right" vertical="top"/>
    </xf>
    <xf numFmtId="0" fontId="21" fillId="0" borderId="43" xfId="0" applyFont="1" applyBorder="1" applyAlignment="1">
      <alignment horizontal="left" vertical="top"/>
    </xf>
    <xf numFmtId="0" fontId="21" fillId="0" borderId="46" xfId="0" applyFont="1" applyBorder="1" applyAlignment="1">
      <alignment horizontal="left" vertical="top"/>
    </xf>
    <xf numFmtId="0" fontId="20" fillId="0" borderId="0" xfId="0" applyFont="1" applyAlignment="1">
      <alignment horizontal="center"/>
    </xf>
    <xf numFmtId="0" fontId="2"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21" fillId="0" borderId="43" xfId="0" applyFont="1" applyBorder="1" applyAlignment="1">
      <alignment horizontal="left" vertical="top" wrapText="1"/>
    </xf>
    <xf numFmtId="0" fontId="5" fillId="0" borderId="0" xfId="0" applyFont="1" applyBorder="1" applyAlignment="1">
      <alignment horizontal="center"/>
    </xf>
    <xf numFmtId="0" fontId="5" fillId="0" borderId="32" xfId="0" applyFont="1" applyBorder="1" applyAlignment="1">
      <alignment horizontal="center"/>
    </xf>
    <xf numFmtId="0" fontId="5" fillId="0" borderId="0" xfId="0" applyFont="1" applyAlignment="1">
      <alignment horizontal="left"/>
    </xf>
    <xf numFmtId="0" fontId="12" fillId="0" borderId="0" xfId="0" applyFont="1" applyAlignment="1">
      <alignment horizontal="center" wrapText="1"/>
    </xf>
    <xf numFmtId="0" fontId="5" fillId="0" borderId="0" xfId="0" applyFont="1" applyAlignment="1">
      <alignment horizontal="left" wrapText="1"/>
    </xf>
    <xf numFmtId="0" fontId="12" fillId="0" borderId="0" xfId="0" applyFont="1" applyAlignment="1">
      <alignment horizontal="left" wrapText="1"/>
    </xf>
    <xf numFmtId="0" fontId="17" fillId="0" borderId="53"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xf>
    <xf numFmtId="0" fontId="17" fillId="0" borderId="83" xfId="0" applyFont="1" applyBorder="1" applyAlignment="1">
      <alignment horizontal="center"/>
    </xf>
    <xf numFmtId="0" fontId="17" fillId="0" borderId="82" xfId="0" applyFont="1" applyBorder="1" applyAlignment="1">
      <alignment horizontal="center"/>
    </xf>
    <xf numFmtId="0" fontId="2" fillId="0" borderId="32" xfId="0" applyFont="1" applyBorder="1" applyAlignment="1">
      <alignment horizontal="center"/>
    </xf>
    <xf numFmtId="0" fontId="19" fillId="0" borderId="0" xfId="0" applyFont="1" applyAlignment="1">
      <alignment horizontal="left" vertical="top"/>
    </xf>
    <xf numFmtId="0" fontId="17" fillId="0" borderId="83" xfId="0" applyFont="1" applyBorder="1" applyAlignment="1">
      <alignment horizontal="center" vertical="center" wrapText="1"/>
    </xf>
    <xf numFmtId="0" fontId="17" fillId="0" borderId="88" xfId="0" applyFont="1" applyBorder="1" applyAlignment="1">
      <alignment horizontal="center" vertical="center" wrapText="1"/>
    </xf>
    <xf numFmtId="0" fontId="17" fillId="0" borderId="3" xfId="0" applyFont="1" applyFill="1" applyBorder="1" applyAlignment="1">
      <alignment horizontal="center" vertical="center" wrapText="1"/>
    </xf>
    <xf numFmtId="0" fontId="17" fillId="0" borderId="53" xfId="0" applyFont="1" applyFill="1" applyBorder="1" applyAlignment="1">
      <alignment horizontal="center" vertical="center" wrapText="1"/>
    </xf>
    <xf numFmtId="0" fontId="17" fillId="0" borderId="70" xfId="0" applyFont="1" applyFill="1" applyBorder="1" applyAlignment="1">
      <alignment horizontal="center" vertical="center" wrapText="1"/>
    </xf>
    <xf numFmtId="0" fontId="5" fillId="0" borderId="0" xfId="0" applyFont="1" applyAlignment="1">
      <alignment horizontal="center" wrapText="1"/>
    </xf>
    <xf numFmtId="0" fontId="17" fillId="0" borderId="91" xfId="0" applyFont="1" applyBorder="1" applyAlignment="1">
      <alignment horizontal="center" vertical="center" wrapText="1"/>
    </xf>
    <xf numFmtId="0" fontId="17" fillId="0" borderId="84" xfId="0" applyFont="1" applyBorder="1" applyAlignment="1">
      <alignment horizontal="center" vertical="center" wrapText="1"/>
    </xf>
    <xf numFmtId="0" fontId="17" fillId="0" borderId="87" xfId="0" applyFont="1" applyBorder="1" applyAlignment="1">
      <alignment horizontal="center" vertical="center"/>
    </xf>
    <xf numFmtId="0" fontId="0" fillId="0" borderId="84" xfId="0" applyBorder="1" applyAlignment="1">
      <alignment horizontal="center" vertical="center" wrapText="1"/>
    </xf>
    <xf numFmtId="0" fontId="2" fillId="0" borderId="0" xfId="0" applyFont="1" applyBorder="1" applyAlignment="1">
      <alignment horizontal="center"/>
    </xf>
    <xf numFmtId="0" fontId="0" fillId="0" borderId="110" xfId="0" applyBorder="1" applyAlignment="1">
      <alignment horizontal="center" vertical="center" wrapText="1"/>
    </xf>
    <xf numFmtId="0" fontId="0" fillId="0" borderId="99" xfId="0" applyBorder="1" applyAlignment="1">
      <alignment horizontal="center" vertical="center" wrapText="1"/>
    </xf>
    <xf numFmtId="0" fontId="0" fillId="0" borderId="66" xfId="0" applyBorder="1" applyAlignment="1">
      <alignment horizontal="center" vertical="center" wrapText="1"/>
    </xf>
    <xf numFmtId="0" fontId="0" fillId="0" borderId="98" xfId="0" applyBorder="1" applyAlignment="1">
      <alignment horizontal="center" vertical="center" wrapText="1"/>
    </xf>
    <xf numFmtId="0" fontId="0" fillId="0" borderId="100" xfId="0" applyBorder="1" applyAlignment="1">
      <alignment horizontal="center" vertical="center" wrapText="1"/>
    </xf>
    <xf numFmtId="0" fontId="0" fillId="0" borderId="53" xfId="0" applyBorder="1" applyAlignment="1">
      <alignment horizontal="center" vertical="center" wrapText="1"/>
    </xf>
    <xf numFmtId="0" fontId="0" fillId="0" borderId="70" xfId="0" applyBorder="1" applyAlignment="1">
      <alignment horizontal="center" vertical="center" wrapText="1"/>
    </xf>
    <xf numFmtId="0" fontId="0" fillId="0" borderId="0" xfId="0" applyAlignment="1">
      <alignment horizontal="center"/>
    </xf>
    <xf numFmtId="0" fontId="17" fillId="0" borderId="85" xfId="0" applyFont="1" applyBorder="1" applyAlignment="1">
      <alignment horizontal="center" vertical="center"/>
    </xf>
    <xf numFmtId="0" fontId="17" fillId="0" borderId="12" xfId="0" applyFont="1" applyBorder="1" applyAlignment="1">
      <alignment horizontal="center" vertical="center"/>
    </xf>
    <xf numFmtId="0" fontId="17" fillId="0" borderId="88" xfId="0" applyFont="1" applyBorder="1" applyAlignment="1">
      <alignment horizontal="center" vertical="center"/>
    </xf>
    <xf numFmtId="0" fontId="17" fillId="0" borderId="92" xfId="0" applyFont="1" applyBorder="1" applyAlignment="1">
      <alignment horizontal="center" vertical="center" wrapText="1"/>
    </xf>
    <xf numFmtId="0" fontId="0" fillId="0" borderId="92" xfId="0" applyBorder="1" applyAlignment="1">
      <alignment horizontal="center" vertical="center" wrapText="1"/>
    </xf>
    <xf numFmtId="0" fontId="17" fillId="0" borderId="98" xfId="0" applyFont="1" applyBorder="1" applyAlignment="1">
      <alignment horizontal="center" vertical="center" wrapText="1"/>
    </xf>
    <xf numFmtId="0" fontId="2" fillId="0" borderId="0" xfId="0" applyFont="1" applyAlignment="1">
      <alignment horizontal="center" wrapText="1"/>
    </xf>
    <xf numFmtId="0" fontId="0" fillId="0" borderId="51" xfId="0" applyBorder="1" applyAlignment="1">
      <alignment horizontal="center" vertical="center" wrapText="1"/>
    </xf>
    <xf numFmtId="0" fontId="0" fillId="0" borderId="112" xfId="0" applyBorder="1" applyAlignment="1">
      <alignment horizontal="center" vertical="center" wrapText="1"/>
    </xf>
    <xf numFmtId="0" fontId="17" fillId="0" borderId="0" xfId="0" applyFont="1" applyBorder="1" applyAlignment="1">
      <alignment horizontal="center" vertical="center" wrapText="1"/>
    </xf>
    <xf numFmtId="0" fontId="17" fillId="0" borderId="112" xfId="0" applyFont="1" applyBorder="1" applyAlignment="1">
      <alignment horizontal="center" vertical="center" wrapText="1"/>
    </xf>
    <xf numFmtId="0" fontId="25" fillId="0" borderId="71" xfId="0" applyFont="1" applyBorder="1" applyAlignment="1">
      <alignment horizontal="left" vertical="top" wrapText="1"/>
    </xf>
    <xf numFmtId="0" fontId="25" fillId="0" borderId="72" xfId="0" applyFont="1" applyBorder="1" applyAlignment="1">
      <alignment horizontal="left" vertical="top" wrapText="1"/>
    </xf>
    <xf numFmtId="0" fontId="21" fillId="0" borderId="109" xfId="0" applyFont="1" applyBorder="1" applyAlignment="1">
      <alignment horizontal="left" vertical="top" wrapText="1"/>
    </xf>
    <xf numFmtId="0" fontId="0" fillId="0" borderId="91" xfId="0" applyBorder="1" applyAlignment="1">
      <alignment horizontal="center" vertical="center" wrapText="1"/>
    </xf>
    <xf numFmtId="0" fontId="31" fillId="0" borderId="0" xfId="28" applyFont="1" applyFill="1" applyAlignment="1">
      <alignment horizontal="left" vertical="top" wrapText="1"/>
    </xf>
    <xf numFmtId="3" fontId="50" fillId="0" borderId="0" xfId="13" applyNumberFormat="1" applyFont="1" applyAlignment="1">
      <alignment horizontal="center"/>
    </xf>
    <xf numFmtId="0" fontId="31" fillId="0" borderId="0" xfId="13" applyFont="1" applyBorder="1" applyAlignment="1">
      <alignment horizontal="center"/>
    </xf>
    <xf numFmtId="3" fontId="33" fillId="2" borderId="0" xfId="28" applyNumberFormat="1" applyFont="1" applyFill="1" applyAlignment="1">
      <alignment horizontal="center"/>
    </xf>
    <xf numFmtId="0" fontId="33" fillId="2" borderId="0" xfId="28" applyFont="1" applyFill="1" applyAlignment="1">
      <alignment horizontal="center"/>
    </xf>
    <xf numFmtId="3" fontId="31" fillId="2" borderId="0" xfId="28" applyNumberFormat="1" applyFont="1" applyFill="1" applyAlignment="1">
      <alignment horizontal="center"/>
    </xf>
    <xf numFmtId="0" fontId="31" fillId="2" borderId="0" xfId="28" applyFont="1" applyFill="1" applyAlignment="1">
      <alignment horizontal="center"/>
    </xf>
    <xf numFmtId="0" fontId="49" fillId="2" borderId="0" xfId="28" applyFont="1" applyFill="1" applyAlignment="1">
      <alignment horizontal="center" wrapText="1"/>
    </xf>
    <xf numFmtId="0" fontId="31" fillId="2" borderId="0" xfId="28" applyFont="1" applyFill="1" applyAlignment="1">
      <alignment horizontal="left" vertical="top" wrapText="1"/>
    </xf>
  </cellXfs>
  <cellStyles count="30">
    <cellStyle name="Comma" xfId="1" builtinId="3"/>
    <cellStyle name="Comma 2" xfId="3"/>
    <cellStyle name="Comma 2 2" xfId="4"/>
    <cellStyle name="Comma 3" xfId="5"/>
    <cellStyle name="Comma 4" xfId="6"/>
    <cellStyle name="Comma 4 2" xfId="7"/>
    <cellStyle name="Currency 2" xfId="8"/>
    <cellStyle name="Currency 2 2" xfId="9"/>
    <cellStyle name="Currency 2 3" xfId="21"/>
    <cellStyle name="Currency 3" xfId="10"/>
    <cellStyle name="Currency 4" xfId="11"/>
    <cellStyle name="Currency 4 2" xfId="12"/>
    <cellStyle name="Normal" xfId="0" builtinId="0"/>
    <cellStyle name="Normal 2" xfId="13"/>
    <cellStyle name="Normal 2 2" xfId="26"/>
    <cellStyle name="Normal 3" xfId="2"/>
    <cellStyle name="Normal 3 2" xfId="22"/>
    <cellStyle name="Normal 3 3" xfId="23"/>
    <cellStyle name="Normal 4" xfId="14"/>
    <cellStyle name="Normal 4 2" xfId="24"/>
    <cellStyle name="Normal 5" xfId="19"/>
    <cellStyle name="Normal 5 2" xfId="25"/>
    <cellStyle name="Normal 6" xfId="20"/>
    <cellStyle name="Normal 6 2" xfId="29"/>
    <cellStyle name="Normal_Appendix Exhibits.FINAL 2" xfId="27"/>
    <cellStyle name="Normal_Sheet1 2" xfId="28"/>
    <cellStyle name="Percent 2" xfId="15"/>
    <cellStyle name="Percent 2 2" xfId="16"/>
    <cellStyle name="Percent 3" xfId="17"/>
    <cellStyle name="Percent 3 2" xfId="1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6" Type="http://schemas.openxmlformats.org/officeDocument/2006/relationships/printerSettings" Target="../printerSettings/printerSettings90.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 Id="rId6" Type="http://schemas.openxmlformats.org/officeDocument/2006/relationships/printerSettings" Target="../printerSettings/printerSettings96.bin"/><Relationship Id="rId5" Type="http://schemas.openxmlformats.org/officeDocument/2006/relationships/printerSettings" Target="../printerSettings/printerSettings95.bin"/><Relationship Id="rId4" Type="http://schemas.openxmlformats.org/officeDocument/2006/relationships/printerSettings" Target="../printerSettings/printerSettings94.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99.bin"/><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 Id="rId6" Type="http://schemas.openxmlformats.org/officeDocument/2006/relationships/printerSettings" Target="../printerSettings/printerSettings102.bin"/><Relationship Id="rId5" Type="http://schemas.openxmlformats.org/officeDocument/2006/relationships/printerSettings" Target="../printerSettings/printerSettings101.bin"/><Relationship Id="rId4" Type="http://schemas.openxmlformats.org/officeDocument/2006/relationships/printerSettings" Target="../printerSettings/printerSettings100.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05.bin"/><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 Id="rId6" Type="http://schemas.openxmlformats.org/officeDocument/2006/relationships/printerSettings" Target="../printerSettings/printerSettings108.bin"/><Relationship Id="rId5" Type="http://schemas.openxmlformats.org/officeDocument/2006/relationships/printerSettings" Target="../printerSettings/printerSettings107.bin"/><Relationship Id="rId4" Type="http://schemas.openxmlformats.org/officeDocument/2006/relationships/printerSettings" Target="../printerSettings/printerSettings106.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5" Type="http://schemas.openxmlformats.org/officeDocument/2006/relationships/printerSettings" Target="../printerSettings/printerSettings113.bin"/><Relationship Id="rId4" Type="http://schemas.openxmlformats.org/officeDocument/2006/relationships/printerSettings" Target="../printerSettings/printerSettings1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17.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 Id="rId6" Type="http://schemas.openxmlformats.org/officeDocument/2006/relationships/printerSettings" Target="../printerSettings/printerSettings120.bin"/><Relationship Id="rId5" Type="http://schemas.openxmlformats.org/officeDocument/2006/relationships/printerSettings" Target="../printerSettings/printerSettings119.bin"/><Relationship Id="rId4" Type="http://schemas.openxmlformats.org/officeDocument/2006/relationships/printerSettings" Target="../printerSettings/printerSettings118.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6" Type="http://schemas.openxmlformats.org/officeDocument/2006/relationships/printerSettings" Target="../printerSettings/printerSettings126.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29.bin"/><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 Id="rId6" Type="http://schemas.openxmlformats.org/officeDocument/2006/relationships/printerSettings" Target="../printerSettings/printerSettings132.bin"/><Relationship Id="rId5" Type="http://schemas.openxmlformats.org/officeDocument/2006/relationships/printerSettings" Target="../printerSettings/printerSettings131.bin"/><Relationship Id="rId4" Type="http://schemas.openxmlformats.org/officeDocument/2006/relationships/printerSettings" Target="../printerSettings/printerSettings130.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135.bin"/><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 Id="rId6" Type="http://schemas.openxmlformats.org/officeDocument/2006/relationships/printerSettings" Target="../printerSettings/printerSettings138.bin"/><Relationship Id="rId5" Type="http://schemas.openxmlformats.org/officeDocument/2006/relationships/printerSettings" Target="../printerSettings/printerSettings137.bin"/><Relationship Id="rId4" Type="http://schemas.openxmlformats.org/officeDocument/2006/relationships/printerSettings" Target="../printerSettings/printerSettings136.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41.bin"/><Relationship Id="rId2" Type="http://schemas.openxmlformats.org/officeDocument/2006/relationships/printerSettings" Target="../printerSettings/printerSettings140.bin"/><Relationship Id="rId1" Type="http://schemas.openxmlformats.org/officeDocument/2006/relationships/printerSettings" Target="../printerSettings/printerSettings139.bin"/><Relationship Id="rId6" Type="http://schemas.openxmlformats.org/officeDocument/2006/relationships/printerSettings" Target="../printerSettings/printerSettings144.bin"/><Relationship Id="rId5" Type="http://schemas.openxmlformats.org/officeDocument/2006/relationships/printerSettings" Target="../printerSettings/printerSettings143.bin"/><Relationship Id="rId4" Type="http://schemas.openxmlformats.org/officeDocument/2006/relationships/printerSettings" Target="../printerSettings/printerSettings142.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47.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5" Type="http://schemas.openxmlformats.org/officeDocument/2006/relationships/printerSettings" Target="../printerSettings/printerSettings149.bin"/><Relationship Id="rId4" Type="http://schemas.openxmlformats.org/officeDocument/2006/relationships/printerSettings" Target="../printerSettings/printerSettings148.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153.bin"/><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 Id="rId6" Type="http://schemas.openxmlformats.org/officeDocument/2006/relationships/printerSettings" Target="../printerSettings/printerSettings156.bin"/><Relationship Id="rId5" Type="http://schemas.openxmlformats.org/officeDocument/2006/relationships/printerSettings" Target="../printerSettings/printerSettings155.bin"/><Relationship Id="rId4" Type="http://schemas.openxmlformats.org/officeDocument/2006/relationships/printerSettings" Target="../printerSettings/printerSettings154.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59.bin"/><Relationship Id="rId2" Type="http://schemas.openxmlformats.org/officeDocument/2006/relationships/printerSettings" Target="../printerSettings/printerSettings158.bin"/><Relationship Id="rId1" Type="http://schemas.openxmlformats.org/officeDocument/2006/relationships/printerSettings" Target="../printerSettings/printerSettings157.bin"/><Relationship Id="rId6" Type="http://schemas.openxmlformats.org/officeDocument/2006/relationships/printerSettings" Target="../printerSettings/printerSettings162.bin"/><Relationship Id="rId5" Type="http://schemas.openxmlformats.org/officeDocument/2006/relationships/printerSettings" Target="../printerSettings/printerSettings161.bin"/><Relationship Id="rId4" Type="http://schemas.openxmlformats.org/officeDocument/2006/relationships/printerSettings" Target="../printerSettings/printerSettings160.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65.bin"/><Relationship Id="rId2" Type="http://schemas.openxmlformats.org/officeDocument/2006/relationships/printerSettings" Target="../printerSettings/printerSettings164.bin"/><Relationship Id="rId1" Type="http://schemas.openxmlformats.org/officeDocument/2006/relationships/printerSettings" Target="../printerSettings/printerSettings163.bin"/><Relationship Id="rId6" Type="http://schemas.openxmlformats.org/officeDocument/2006/relationships/printerSettings" Target="../printerSettings/printerSettings168.bin"/><Relationship Id="rId5" Type="http://schemas.openxmlformats.org/officeDocument/2006/relationships/printerSettings" Target="../printerSettings/printerSettings167.bin"/><Relationship Id="rId4" Type="http://schemas.openxmlformats.org/officeDocument/2006/relationships/printerSettings" Target="../printerSettings/printerSettings166.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71.bin"/><Relationship Id="rId2" Type="http://schemas.openxmlformats.org/officeDocument/2006/relationships/printerSettings" Target="../printerSettings/printerSettings170.bin"/><Relationship Id="rId1" Type="http://schemas.openxmlformats.org/officeDocument/2006/relationships/printerSettings" Target="../printerSettings/printerSettings169.bin"/><Relationship Id="rId6" Type="http://schemas.openxmlformats.org/officeDocument/2006/relationships/printerSettings" Target="../printerSettings/printerSettings174.bin"/><Relationship Id="rId5" Type="http://schemas.openxmlformats.org/officeDocument/2006/relationships/printerSettings" Target="../printerSettings/printerSettings173.bin"/><Relationship Id="rId4" Type="http://schemas.openxmlformats.org/officeDocument/2006/relationships/printerSettings" Target="../printerSettings/printerSettings17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77.bin"/><Relationship Id="rId2" Type="http://schemas.openxmlformats.org/officeDocument/2006/relationships/printerSettings" Target="../printerSettings/printerSettings176.bin"/><Relationship Id="rId1" Type="http://schemas.openxmlformats.org/officeDocument/2006/relationships/printerSettings" Target="../printerSettings/printerSettings175.bin"/><Relationship Id="rId6" Type="http://schemas.openxmlformats.org/officeDocument/2006/relationships/printerSettings" Target="../printerSettings/printerSettings180.bin"/><Relationship Id="rId5" Type="http://schemas.openxmlformats.org/officeDocument/2006/relationships/printerSettings" Target="../printerSettings/printerSettings179.bin"/><Relationship Id="rId4" Type="http://schemas.openxmlformats.org/officeDocument/2006/relationships/printerSettings" Target="../printerSettings/printerSettings178.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83.bin"/><Relationship Id="rId2" Type="http://schemas.openxmlformats.org/officeDocument/2006/relationships/printerSettings" Target="../printerSettings/printerSettings182.bin"/><Relationship Id="rId1" Type="http://schemas.openxmlformats.org/officeDocument/2006/relationships/printerSettings" Target="../printerSettings/printerSettings181.bin"/><Relationship Id="rId6" Type="http://schemas.openxmlformats.org/officeDocument/2006/relationships/printerSettings" Target="../printerSettings/printerSettings186.bin"/><Relationship Id="rId5" Type="http://schemas.openxmlformats.org/officeDocument/2006/relationships/printerSettings" Target="../printerSettings/printerSettings185.bin"/><Relationship Id="rId4" Type="http://schemas.openxmlformats.org/officeDocument/2006/relationships/printerSettings" Target="../printerSettings/printerSettings184.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89.bin"/><Relationship Id="rId2" Type="http://schemas.openxmlformats.org/officeDocument/2006/relationships/printerSettings" Target="../printerSettings/printerSettings188.bin"/><Relationship Id="rId1" Type="http://schemas.openxmlformats.org/officeDocument/2006/relationships/printerSettings" Target="../printerSettings/printerSettings187.bin"/><Relationship Id="rId6" Type="http://schemas.openxmlformats.org/officeDocument/2006/relationships/printerSettings" Target="../printerSettings/printerSettings192.bin"/><Relationship Id="rId5" Type="http://schemas.openxmlformats.org/officeDocument/2006/relationships/printerSettings" Target="../printerSettings/printerSettings191.bin"/><Relationship Id="rId4" Type="http://schemas.openxmlformats.org/officeDocument/2006/relationships/printerSettings" Target="../printerSettings/printerSettings190.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195.bin"/><Relationship Id="rId2" Type="http://schemas.openxmlformats.org/officeDocument/2006/relationships/printerSettings" Target="../printerSettings/printerSettings194.bin"/><Relationship Id="rId1" Type="http://schemas.openxmlformats.org/officeDocument/2006/relationships/printerSettings" Target="../printerSettings/printerSettings193.bin"/><Relationship Id="rId6" Type="http://schemas.openxmlformats.org/officeDocument/2006/relationships/printerSettings" Target="../printerSettings/printerSettings198.bin"/><Relationship Id="rId5" Type="http://schemas.openxmlformats.org/officeDocument/2006/relationships/printerSettings" Target="../printerSettings/printerSettings197.bin"/><Relationship Id="rId4" Type="http://schemas.openxmlformats.org/officeDocument/2006/relationships/printerSettings" Target="../printerSettings/printerSettings196.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201.bin"/><Relationship Id="rId2" Type="http://schemas.openxmlformats.org/officeDocument/2006/relationships/printerSettings" Target="../printerSettings/printerSettings200.bin"/><Relationship Id="rId1" Type="http://schemas.openxmlformats.org/officeDocument/2006/relationships/printerSettings" Target="../printerSettings/printerSettings199.bin"/><Relationship Id="rId6" Type="http://schemas.openxmlformats.org/officeDocument/2006/relationships/printerSettings" Target="../printerSettings/printerSettings204.bin"/><Relationship Id="rId5" Type="http://schemas.openxmlformats.org/officeDocument/2006/relationships/printerSettings" Target="../printerSettings/printerSettings203.bin"/><Relationship Id="rId4" Type="http://schemas.openxmlformats.org/officeDocument/2006/relationships/printerSettings" Target="../printerSettings/printerSettings202.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207.bin"/><Relationship Id="rId2" Type="http://schemas.openxmlformats.org/officeDocument/2006/relationships/printerSettings" Target="../printerSettings/printerSettings206.bin"/><Relationship Id="rId1" Type="http://schemas.openxmlformats.org/officeDocument/2006/relationships/printerSettings" Target="../printerSettings/printerSettings205.bin"/><Relationship Id="rId6" Type="http://schemas.openxmlformats.org/officeDocument/2006/relationships/printerSettings" Target="../printerSettings/printerSettings210.bin"/><Relationship Id="rId5" Type="http://schemas.openxmlformats.org/officeDocument/2006/relationships/printerSettings" Target="../printerSettings/printerSettings209.bin"/><Relationship Id="rId4" Type="http://schemas.openxmlformats.org/officeDocument/2006/relationships/printerSettings" Target="../printerSettings/printerSettings208.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213.bin"/><Relationship Id="rId2" Type="http://schemas.openxmlformats.org/officeDocument/2006/relationships/printerSettings" Target="../printerSettings/printerSettings212.bin"/><Relationship Id="rId1" Type="http://schemas.openxmlformats.org/officeDocument/2006/relationships/printerSettings" Target="../printerSettings/printerSettings211.bin"/><Relationship Id="rId6" Type="http://schemas.openxmlformats.org/officeDocument/2006/relationships/printerSettings" Target="../printerSettings/printerSettings216.bin"/><Relationship Id="rId5" Type="http://schemas.openxmlformats.org/officeDocument/2006/relationships/printerSettings" Target="../printerSettings/printerSettings215.bin"/><Relationship Id="rId4" Type="http://schemas.openxmlformats.org/officeDocument/2006/relationships/printerSettings" Target="../printerSettings/printerSettings214.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219.bin"/><Relationship Id="rId2" Type="http://schemas.openxmlformats.org/officeDocument/2006/relationships/printerSettings" Target="../printerSettings/printerSettings218.bin"/><Relationship Id="rId1" Type="http://schemas.openxmlformats.org/officeDocument/2006/relationships/printerSettings" Target="../printerSettings/printerSettings217.bin"/><Relationship Id="rId6" Type="http://schemas.openxmlformats.org/officeDocument/2006/relationships/printerSettings" Target="../printerSettings/printerSettings222.bin"/><Relationship Id="rId5" Type="http://schemas.openxmlformats.org/officeDocument/2006/relationships/printerSettings" Target="../printerSettings/printerSettings221.bin"/><Relationship Id="rId4" Type="http://schemas.openxmlformats.org/officeDocument/2006/relationships/printerSettings" Target="../printerSettings/printerSettings220.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225.bin"/><Relationship Id="rId2" Type="http://schemas.openxmlformats.org/officeDocument/2006/relationships/printerSettings" Target="../printerSettings/printerSettings224.bin"/><Relationship Id="rId1" Type="http://schemas.openxmlformats.org/officeDocument/2006/relationships/printerSettings" Target="../printerSettings/printerSettings223.bin"/><Relationship Id="rId6" Type="http://schemas.openxmlformats.org/officeDocument/2006/relationships/printerSettings" Target="../printerSettings/printerSettings228.bin"/><Relationship Id="rId5" Type="http://schemas.openxmlformats.org/officeDocument/2006/relationships/printerSettings" Target="../printerSettings/printerSettings227.bin"/><Relationship Id="rId4" Type="http://schemas.openxmlformats.org/officeDocument/2006/relationships/printerSettings" Target="../printerSettings/printerSettings226.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231.bin"/><Relationship Id="rId2" Type="http://schemas.openxmlformats.org/officeDocument/2006/relationships/printerSettings" Target="../printerSettings/printerSettings230.bin"/><Relationship Id="rId1" Type="http://schemas.openxmlformats.org/officeDocument/2006/relationships/printerSettings" Target="../printerSettings/printerSettings229.bin"/><Relationship Id="rId6" Type="http://schemas.openxmlformats.org/officeDocument/2006/relationships/printerSettings" Target="../printerSettings/printerSettings234.bin"/><Relationship Id="rId5" Type="http://schemas.openxmlformats.org/officeDocument/2006/relationships/printerSettings" Target="../printerSettings/printerSettings233.bin"/><Relationship Id="rId4" Type="http://schemas.openxmlformats.org/officeDocument/2006/relationships/printerSettings" Target="../printerSettings/printerSettings23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35.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238.bin"/><Relationship Id="rId2" Type="http://schemas.openxmlformats.org/officeDocument/2006/relationships/printerSettings" Target="../printerSettings/printerSettings237.bin"/><Relationship Id="rId1" Type="http://schemas.openxmlformats.org/officeDocument/2006/relationships/printerSettings" Target="../printerSettings/printerSettings236.bin"/><Relationship Id="rId6" Type="http://schemas.openxmlformats.org/officeDocument/2006/relationships/printerSettings" Target="../printerSettings/printerSettings241.bin"/><Relationship Id="rId5" Type="http://schemas.openxmlformats.org/officeDocument/2006/relationships/printerSettings" Target="../printerSettings/printerSettings240.bin"/><Relationship Id="rId4" Type="http://schemas.openxmlformats.org/officeDocument/2006/relationships/printerSettings" Target="../printerSettings/printerSettings239.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244.bin"/><Relationship Id="rId2" Type="http://schemas.openxmlformats.org/officeDocument/2006/relationships/printerSettings" Target="../printerSettings/printerSettings243.bin"/><Relationship Id="rId1" Type="http://schemas.openxmlformats.org/officeDocument/2006/relationships/printerSettings" Target="../printerSettings/printerSettings242.bin"/><Relationship Id="rId6" Type="http://schemas.openxmlformats.org/officeDocument/2006/relationships/printerSettings" Target="../printerSettings/printerSettings247.bin"/><Relationship Id="rId5" Type="http://schemas.openxmlformats.org/officeDocument/2006/relationships/printerSettings" Target="../printerSettings/printerSettings246.bin"/><Relationship Id="rId4" Type="http://schemas.openxmlformats.org/officeDocument/2006/relationships/printerSettings" Target="../printerSettings/printerSettings245.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250.bin"/><Relationship Id="rId2" Type="http://schemas.openxmlformats.org/officeDocument/2006/relationships/printerSettings" Target="../printerSettings/printerSettings249.bin"/><Relationship Id="rId1" Type="http://schemas.openxmlformats.org/officeDocument/2006/relationships/printerSettings" Target="../printerSettings/printerSettings248.bin"/><Relationship Id="rId6" Type="http://schemas.openxmlformats.org/officeDocument/2006/relationships/printerSettings" Target="../printerSettings/printerSettings253.bin"/><Relationship Id="rId5" Type="http://schemas.openxmlformats.org/officeDocument/2006/relationships/printerSettings" Target="../printerSettings/printerSettings252.bin"/><Relationship Id="rId4" Type="http://schemas.openxmlformats.org/officeDocument/2006/relationships/printerSettings" Target="../printerSettings/printerSettings251.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256.bin"/><Relationship Id="rId2" Type="http://schemas.openxmlformats.org/officeDocument/2006/relationships/printerSettings" Target="../printerSettings/printerSettings255.bin"/><Relationship Id="rId1" Type="http://schemas.openxmlformats.org/officeDocument/2006/relationships/printerSettings" Target="../printerSettings/printerSettings254.bin"/><Relationship Id="rId6" Type="http://schemas.openxmlformats.org/officeDocument/2006/relationships/printerSettings" Target="../printerSettings/printerSettings259.bin"/><Relationship Id="rId5" Type="http://schemas.openxmlformats.org/officeDocument/2006/relationships/printerSettings" Target="../printerSettings/printerSettings258.bin"/><Relationship Id="rId4" Type="http://schemas.openxmlformats.org/officeDocument/2006/relationships/printerSettings" Target="../printerSettings/printerSettings257.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262.bin"/><Relationship Id="rId2" Type="http://schemas.openxmlformats.org/officeDocument/2006/relationships/printerSettings" Target="../printerSettings/printerSettings261.bin"/><Relationship Id="rId1" Type="http://schemas.openxmlformats.org/officeDocument/2006/relationships/printerSettings" Target="../printerSettings/printerSettings260.bin"/><Relationship Id="rId6" Type="http://schemas.openxmlformats.org/officeDocument/2006/relationships/printerSettings" Target="../printerSettings/printerSettings265.bin"/><Relationship Id="rId5" Type="http://schemas.openxmlformats.org/officeDocument/2006/relationships/printerSettings" Target="../printerSettings/printerSettings264.bin"/><Relationship Id="rId4" Type="http://schemas.openxmlformats.org/officeDocument/2006/relationships/printerSettings" Target="../printerSettings/printerSettings263.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268.bin"/><Relationship Id="rId2" Type="http://schemas.openxmlformats.org/officeDocument/2006/relationships/printerSettings" Target="../printerSettings/printerSettings267.bin"/><Relationship Id="rId1" Type="http://schemas.openxmlformats.org/officeDocument/2006/relationships/printerSettings" Target="../printerSettings/printerSettings266.bin"/><Relationship Id="rId6" Type="http://schemas.openxmlformats.org/officeDocument/2006/relationships/printerSettings" Target="../printerSettings/printerSettings271.bin"/><Relationship Id="rId5" Type="http://schemas.openxmlformats.org/officeDocument/2006/relationships/printerSettings" Target="../printerSettings/printerSettings270.bin"/><Relationship Id="rId4" Type="http://schemas.openxmlformats.org/officeDocument/2006/relationships/printerSettings" Target="../printerSettings/printerSettings269.bin"/></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274.bin"/><Relationship Id="rId2" Type="http://schemas.openxmlformats.org/officeDocument/2006/relationships/printerSettings" Target="../printerSettings/printerSettings273.bin"/><Relationship Id="rId1" Type="http://schemas.openxmlformats.org/officeDocument/2006/relationships/printerSettings" Target="../printerSettings/printerSettings272.bin"/><Relationship Id="rId6" Type="http://schemas.openxmlformats.org/officeDocument/2006/relationships/printerSettings" Target="../printerSettings/printerSettings277.bin"/><Relationship Id="rId5" Type="http://schemas.openxmlformats.org/officeDocument/2006/relationships/printerSettings" Target="../printerSettings/printerSettings276.bin"/><Relationship Id="rId4" Type="http://schemas.openxmlformats.org/officeDocument/2006/relationships/printerSettings" Target="../printerSettings/printerSettings275.bin"/></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280.bin"/><Relationship Id="rId2" Type="http://schemas.openxmlformats.org/officeDocument/2006/relationships/printerSettings" Target="../printerSettings/printerSettings279.bin"/><Relationship Id="rId1" Type="http://schemas.openxmlformats.org/officeDocument/2006/relationships/printerSettings" Target="../printerSettings/printerSettings278.bin"/><Relationship Id="rId6" Type="http://schemas.openxmlformats.org/officeDocument/2006/relationships/printerSettings" Target="../printerSettings/printerSettings283.bin"/><Relationship Id="rId5" Type="http://schemas.openxmlformats.org/officeDocument/2006/relationships/printerSettings" Target="../printerSettings/printerSettings282.bin"/><Relationship Id="rId4" Type="http://schemas.openxmlformats.org/officeDocument/2006/relationships/printerSettings" Target="../printerSettings/printerSettings281.bin"/></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286.bin"/><Relationship Id="rId2" Type="http://schemas.openxmlformats.org/officeDocument/2006/relationships/printerSettings" Target="../printerSettings/printerSettings285.bin"/><Relationship Id="rId1" Type="http://schemas.openxmlformats.org/officeDocument/2006/relationships/printerSettings" Target="../printerSettings/printerSettings284.bin"/><Relationship Id="rId6" Type="http://schemas.openxmlformats.org/officeDocument/2006/relationships/printerSettings" Target="../printerSettings/printerSettings289.bin"/><Relationship Id="rId5" Type="http://schemas.openxmlformats.org/officeDocument/2006/relationships/printerSettings" Target="../printerSettings/printerSettings288.bin"/><Relationship Id="rId4" Type="http://schemas.openxmlformats.org/officeDocument/2006/relationships/printerSettings" Target="../printerSettings/printerSettings287.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292.bin"/><Relationship Id="rId2" Type="http://schemas.openxmlformats.org/officeDocument/2006/relationships/printerSettings" Target="../printerSettings/printerSettings291.bin"/><Relationship Id="rId1" Type="http://schemas.openxmlformats.org/officeDocument/2006/relationships/printerSettings" Target="../printerSettings/printerSettings290.bin"/><Relationship Id="rId6" Type="http://schemas.openxmlformats.org/officeDocument/2006/relationships/printerSettings" Target="../printerSettings/printerSettings295.bin"/><Relationship Id="rId5" Type="http://schemas.openxmlformats.org/officeDocument/2006/relationships/printerSettings" Target="../printerSettings/printerSettings294.bin"/><Relationship Id="rId4" Type="http://schemas.openxmlformats.org/officeDocument/2006/relationships/printerSettings" Target="../printerSettings/printerSettings293.bin"/></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298.bin"/><Relationship Id="rId2" Type="http://schemas.openxmlformats.org/officeDocument/2006/relationships/printerSettings" Target="../printerSettings/printerSettings297.bin"/><Relationship Id="rId1" Type="http://schemas.openxmlformats.org/officeDocument/2006/relationships/printerSettings" Target="../printerSettings/printerSettings296.bin"/><Relationship Id="rId6" Type="http://schemas.openxmlformats.org/officeDocument/2006/relationships/printerSettings" Target="../printerSettings/printerSettings301.bin"/><Relationship Id="rId5" Type="http://schemas.openxmlformats.org/officeDocument/2006/relationships/printerSettings" Target="../printerSettings/printerSettings300.bin"/><Relationship Id="rId4" Type="http://schemas.openxmlformats.org/officeDocument/2006/relationships/printerSettings" Target="../printerSettings/printerSettings299.bin"/></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304.bin"/><Relationship Id="rId2" Type="http://schemas.openxmlformats.org/officeDocument/2006/relationships/printerSettings" Target="../printerSettings/printerSettings303.bin"/><Relationship Id="rId1" Type="http://schemas.openxmlformats.org/officeDocument/2006/relationships/printerSettings" Target="../printerSettings/printerSettings302.bin"/><Relationship Id="rId6" Type="http://schemas.openxmlformats.org/officeDocument/2006/relationships/printerSettings" Target="../printerSettings/printerSettings307.bin"/><Relationship Id="rId5" Type="http://schemas.openxmlformats.org/officeDocument/2006/relationships/printerSettings" Target="../printerSettings/printerSettings306.bin"/><Relationship Id="rId4" Type="http://schemas.openxmlformats.org/officeDocument/2006/relationships/printerSettings" Target="../printerSettings/printerSettings305.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0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abSelected="1" view="pageBreakPreview" zoomScaleNormal="100" zoomScaleSheetLayoutView="100" workbookViewId="0">
      <selection activeCell="A35" sqref="A35"/>
    </sheetView>
  </sheetViews>
  <sheetFormatPr defaultRowHeight="14.25" x14ac:dyDescent="0.2"/>
  <cols>
    <col min="1" max="1" width="113.5703125" style="143" customWidth="1"/>
    <col min="2" max="2" width="17.5703125" style="147" customWidth="1"/>
    <col min="3" max="3" width="11.42578125" style="147" customWidth="1"/>
    <col min="4" max="4" width="14.5703125" style="148" customWidth="1"/>
    <col min="5" max="5" width="11.5703125" style="4" bestFit="1" customWidth="1"/>
    <col min="6" max="6" width="4.85546875" style="143" customWidth="1"/>
    <col min="7" max="16384" width="9.140625" style="143"/>
  </cols>
  <sheetData>
    <row r="1" spans="1:5" ht="18" x14ac:dyDescent="0.25">
      <c r="A1" s="577" t="s">
        <v>0</v>
      </c>
      <c r="B1" s="577"/>
      <c r="C1" s="577"/>
      <c r="D1" s="577"/>
      <c r="E1" s="4" t="s">
        <v>10</v>
      </c>
    </row>
    <row r="2" spans="1:5" ht="15" x14ac:dyDescent="0.2">
      <c r="A2" s="578" t="s">
        <v>152</v>
      </c>
      <c r="B2" s="578"/>
      <c r="C2" s="578"/>
      <c r="D2" s="578"/>
      <c r="E2" s="4" t="s">
        <v>10</v>
      </c>
    </row>
    <row r="3" spans="1:5" x14ac:dyDescent="0.2">
      <c r="A3" s="579" t="s">
        <v>153</v>
      </c>
      <c r="B3" s="579"/>
      <c r="C3" s="579"/>
      <c r="D3" s="579"/>
      <c r="E3" s="4" t="s">
        <v>10</v>
      </c>
    </row>
    <row r="4" spans="1:5" x14ac:dyDescent="0.2">
      <c r="A4" s="580" t="s">
        <v>1</v>
      </c>
      <c r="B4" s="580"/>
      <c r="C4" s="580"/>
      <c r="D4" s="580"/>
      <c r="E4" s="4" t="s">
        <v>10</v>
      </c>
    </row>
    <row r="5" spans="1:5" ht="15" thickBot="1" x14ac:dyDescent="0.25">
      <c r="E5" s="4" t="s">
        <v>10</v>
      </c>
    </row>
    <row r="6" spans="1:5" ht="15" x14ac:dyDescent="0.25">
      <c r="B6" s="581" t="s">
        <v>121</v>
      </c>
      <c r="C6" s="582"/>
      <c r="D6" s="583"/>
      <c r="E6" s="4" t="s">
        <v>10</v>
      </c>
    </row>
    <row r="7" spans="1:5" ht="15.75" thickBot="1" x14ac:dyDescent="0.25">
      <c r="B7" s="1" t="s">
        <v>143</v>
      </c>
      <c r="C7" s="2" t="s">
        <v>144</v>
      </c>
      <c r="D7" s="3" t="s">
        <v>3</v>
      </c>
      <c r="E7" s="4" t="s">
        <v>10</v>
      </c>
    </row>
    <row r="8" spans="1:5" ht="15" x14ac:dyDescent="0.25">
      <c r="A8" s="80" t="s">
        <v>119</v>
      </c>
      <c r="B8" s="193">
        <v>702</v>
      </c>
      <c r="C8" s="82">
        <v>609</v>
      </c>
      <c r="D8" s="83">
        <v>182260</v>
      </c>
      <c r="E8" s="4" t="s">
        <v>10</v>
      </c>
    </row>
    <row r="9" spans="1:5" ht="15" x14ac:dyDescent="0.25">
      <c r="A9" s="164" t="s">
        <v>120</v>
      </c>
      <c r="B9" s="191" t="s">
        <v>24</v>
      </c>
      <c r="C9" s="190"/>
      <c r="D9" s="310">
        <v>-3689</v>
      </c>
      <c r="E9" s="4" t="s">
        <v>10</v>
      </c>
    </row>
    <row r="10" spans="1:5" ht="15" x14ac:dyDescent="0.25">
      <c r="A10" s="164" t="s">
        <v>141</v>
      </c>
      <c r="B10" s="191"/>
      <c r="C10" s="190"/>
      <c r="D10" s="310">
        <v>-8456</v>
      </c>
      <c r="E10" s="4" t="s">
        <v>10</v>
      </c>
    </row>
    <row r="11" spans="1:5" ht="15" x14ac:dyDescent="0.25">
      <c r="A11" s="79" t="s">
        <v>122</v>
      </c>
      <c r="B11" s="108">
        <f>SUM(B8:B10)</f>
        <v>702</v>
      </c>
      <c r="C11" s="105">
        <v>609</v>
      </c>
      <c r="D11" s="106">
        <f>SUM(D8:D10)</f>
        <v>170115</v>
      </c>
      <c r="E11" s="4" t="s">
        <v>10</v>
      </c>
    </row>
    <row r="12" spans="1:5" ht="15" x14ac:dyDescent="0.25">
      <c r="A12" s="79"/>
      <c r="B12" s="108"/>
      <c r="C12" s="105"/>
      <c r="D12" s="106"/>
      <c r="E12" s="4" t="s">
        <v>10</v>
      </c>
    </row>
    <row r="13" spans="1:5" ht="15" x14ac:dyDescent="0.25">
      <c r="A13" s="68" t="s">
        <v>148</v>
      </c>
      <c r="B13" s="382">
        <v>702</v>
      </c>
      <c r="C13" s="368">
        <v>609</v>
      </c>
      <c r="D13" s="106">
        <f>182469+4863</f>
        <v>187332</v>
      </c>
      <c r="E13" s="4" t="s">
        <v>10</v>
      </c>
    </row>
    <row r="14" spans="1:5" ht="15" x14ac:dyDescent="0.25">
      <c r="A14" s="71" t="s">
        <v>149</v>
      </c>
      <c r="B14" s="166">
        <f>SUM(B13:B13)</f>
        <v>702</v>
      </c>
      <c r="C14" s="120">
        <f>SUM(C13:C13)</f>
        <v>609</v>
      </c>
      <c r="D14" s="165">
        <f>SUM(D13:D13)</f>
        <v>187332</v>
      </c>
      <c r="E14" s="4" t="s">
        <v>10</v>
      </c>
    </row>
    <row r="15" spans="1:5" ht="15" x14ac:dyDescent="0.25">
      <c r="A15" s="71"/>
      <c r="B15" s="69"/>
      <c r="C15" s="70"/>
      <c r="D15" s="72"/>
      <c r="E15" s="4" t="s">
        <v>10</v>
      </c>
    </row>
    <row r="16" spans="1:5" ht="15" x14ac:dyDescent="0.25">
      <c r="A16" s="73" t="s">
        <v>91</v>
      </c>
      <c r="B16" s="69"/>
      <c r="C16" s="70"/>
      <c r="D16" s="72"/>
      <c r="E16" s="4" t="s">
        <v>10</v>
      </c>
    </row>
    <row r="17" spans="1:5" x14ac:dyDescent="0.2">
      <c r="A17" s="155" t="s">
        <v>5</v>
      </c>
      <c r="B17" s="153">
        <v>0</v>
      </c>
      <c r="C17" s="154">
        <v>51</v>
      </c>
      <c r="D17" s="151">
        <v>1200</v>
      </c>
      <c r="E17" s="4" t="s">
        <v>10</v>
      </c>
    </row>
    <row r="18" spans="1:5" x14ac:dyDescent="0.2">
      <c r="A18" s="155" t="s">
        <v>6</v>
      </c>
      <c r="B18" s="153">
        <v>0</v>
      </c>
      <c r="C18" s="154">
        <v>0</v>
      </c>
      <c r="D18" s="151">
        <v>2100</v>
      </c>
      <c r="E18" s="4" t="s">
        <v>10</v>
      </c>
    </row>
    <row r="19" spans="1:5" ht="15" x14ac:dyDescent="0.25">
      <c r="A19" s="74" t="s">
        <v>92</v>
      </c>
      <c r="B19" s="69">
        <f>SUM(B17:B18)</f>
        <v>0</v>
      </c>
      <c r="C19" s="70">
        <f>SUM(C17:C18)</f>
        <v>51</v>
      </c>
      <c r="D19" s="72">
        <f>SUM(D17:D18)</f>
        <v>3300</v>
      </c>
      <c r="E19" s="4" t="s">
        <v>10</v>
      </c>
    </row>
    <row r="20" spans="1:5" ht="15" x14ac:dyDescent="0.25">
      <c r="A20" s="71" t="s">
        <v>93</v>
      </c>
      <c r="B20" s="110">
        <f>B19</f>
        <v>0</v>
      </c>
      <c r="C20" s="25">
        <v>51</v>
      </c>
      <c r="D20" s="26">
        <f>D19</f>
        <v>3300</v>
      </c>
      <c r="E20" s="4" t="s">
        <v>10</v>
      </c>
    </row>
    <row r="21" spans="1:5" ht="15" x14ac:dyDescent="0.25">
      <c r="A21" s="75" t="s">
        <v>123</v>
      </c>
      <c r="B21" s="108">
        <f>B14+B20</f>
        <v>702</v>
      </c>
      <c r="C21" s="105">
        <f>C14+C20</f>
        <v>660</v>
      </c>
      <c r="D21" s="109">
        <f>D14+D20</f>
        <v>190632</v>
      </c>
      <c r="E21" s="4" t="s">
        <v>10</v>
      </c>
    </row>
    <row r="22" spans="1:5" ht="15" x14ac:dyDescent="0.25">
      <c r="A22" s="75" t="s">
        <v>7</v>
      </c>
      <c r="B22" s="108"/>
      <c r="C22" s="105"/>
      <c r="D22" s="109"/>
      <c r="E22" s="4" t="s">
        <v>10</v>
      </c>
    </row>
    <row r="23" spans="1:5" ht="15" x14ac:dyDescent="0.25">
      <c r="A23" s="155" t="s">
        <v>154</v>
      </c>
      <c r="B23" s="76"/>
      <c r="C23" s="70"/>
      <c r="D23" s="77"/>
      <c r="E23" s="4" t="s">
        <v>10</v>
      </c>
    </row>
    <row r="24" spans="1:5" x14ac:dyDescent="0.2">
      <c r="A24" s="156" t="s">
        <v>162</v>
      </c>
      <c r="B24" s="157">
        <v>15</v>
      </c>
      <c r="C24" s="154">
        <v>8</v>
      </c>
      <c r="D24" s="158">
        <v>1275</v>
      </c>
      <c r="E24" s="4" t="s">
        <v>10</v>
      </c>
    </row>
    <row r="25" spans="1:5" x14ac:dyDescent="0.2">
      <c r="A25" s="156" t="s">
        <v>8</v>
      </c>
      <c r="B25" s="157">
        <f>SUM(B24:B24)</f>
        <v>15</v>
      </c>
      <c r="C25" s="154">
        <f>SUM(C24:C24)</f>
        <v>8</v>
      </c>
      <c r="D25" s="158">
        <f>SUM(D24:D24)</f>
        <v>1275</v>
      </c>
      <c r="E25" s="4" t="s">
        <v>10</v>
      </c>
    </row>
    <row r="26" spans="1:5" ht="15" x14ac:dyDescent="0.25">
      <c r="A26" s="71" t="s">
        <v>9</v>
      </c>
      <c r="B26" s="107">
        <f>B25</f>
        <v>15</v>
      </c>
      <c r="C26" s="25">
        <f>C25</f>
        <v>8</v>
      </c>
      <c r="D26" s="111">
        <f>D25</f>
        <v>1275</v>
      </c>
      <c r="E26" s="4" t="s">
        <v>10</v>
      </c>
    </row>
    <row r="27" spans="1:5" ht="15" x14ac:dyDescent="0.25">
      <c r="A27" s="78" t="s">
        <v>124</v>
      </c>
      <c r="B27" s="104">
        <f>B21+B26</f>
        <v>717</v>
      </c>
      <c r="C27" s="105">
        <f>C21+C26</f>
        <v>668</v>
      </c>
      <c r="D27" s="106">
        <f>D21+D26</f>
        <v>191907</v>
      </c>
      <c r="E27" s="4" t="s">
        <v>10</v>
      </c>
    </row>
    <row r="28" spans="1:5" ht="15" x14ac:dyDescent="0.25">
      <c r="A28" s="149" t="s">
        <v>142</v>
      </c>
      <c r="B28" s="107"/>
      <c r="C28" s="25"/>
      <c r="D28" s="150">
        <v>0</v>
      </c>
      <c r="E28" s="4" t="s">
        <v>10</v>
      </c>
    </row>
    <row r="29" spans="1:5" s="5" customFormat="1" ht="15" x14ac:dyDescent="0.25">
      <c r="A29" s="149" t="s">
        <v>125</v>
      </c>
      <c r="B29" s="494">
        <f>SUM(B27:B28)</f>
        <v>717</v>
      </c>
      <c r="C29" s="496">
        <f t="shared" ref="C29" si="0">SUM(C27:C28)</f>
        <v>668</v>
      </c>
      <c r="D29" s="495">
        <f>SUM(D27:D28)</f>
        <v>191907</v>
      </c>
      <c r="E29" s="4" t="s">
        <v>10</v>
      </c>
    </row>
    <row r="30" spans="1:5" ht="15" thickBot="1" x14ac:dyDescent="0.25">
      <c r="A30" s="159" t="s">
        <v>151</v>
      </c>
      <c r="B30" s="171">
        <f>B27-B13</f>
        <v>15</v>
      </c>
      <c r="C30" s="172">
        <f>C27-C13</f>
        <v>59</v>
      </c>
      <c r="D30" s="179">
        <f>D27-D13</f>
        <v>4575</v>
      </c>
      <c r="E30" s="4" t="s">
        <v>10</v>
      </c>
    </row>
    <row r="31" spans="1:5" x14ac:dyDescent="0.2">
      <c r="A31" s="4"/>
      <c r="E31" s="4" t="s">
        <v>10</v>
      </c>
    </row>
    <row r="32" spans="1:5" ht="17.25" x14ac:dyDescent="0.2">
      <c r="A32" s="575" t="s">
        <v>145</v>
      </c>
      <c r="B32" s="576"/>
      <c r="C32" s="576"/>
      <c r="D32" s="576"/>
      <c r="E32" s="4" t="s">
        <v>11</v>
      </c>
    </row>
  </sheetData>
  <customSheetViews>
    <customSheetView guid="{EE916FE7-61FB-4021-ADDD-E082241FC03C}" showPageBreaks="1" printArea="1" view="pageBreakPreview">
      <selection activeCell="A19" sqref="A19"/>
      <pageMargins left="0.7" right="0.7" top="0.63" bottom="0.63" header="0.3" footer="0.3"/>
      <printOptions horizontalCentered="1"/>
      <pageSetup scale="66" orientation="landscape" r:id="rId1"/>
      <headerFooter>
        <oddHeader>&amp;L&amp;"Arial,Bold"&amp;12B. Summary of Requirements</oddHeader>
        <oddFooter>&amp;C&amp;"Arial,Regular"Exhibit B - Summary of Requirements&amp;R&amp;"Arial,Regular"Management and Administration</oddFooter>
      </headerFooter>
    </customSheetView>
    <customSheetView guid="{0BB5DC4B-BC2A-4489-BE17-5E267FA1EF63}" showPageBreaks="1" printArea="1" view="pageBreakPreview">
      <selection activeCell="A19" sqref="A19"/>
      <pageMargins left="0.7" right="0.7" top="0.63" bottom="0.63" header="0.3" footer="0.3"/>
      <printOptions horizontalCentered="1"/>
      <pageSetup scale="66" orientation="landscape" r:id="rId2"/>
      <headerFooter>
        <oddHeader>&amp;L&amp;"Arial,Bold"&amp;12B. Summary of Requirements</oddHeader>
        <oddFooter>&amp;C&amp;"Arial,Regular"Exhibit B - Summary of Requirements&amp;R&amp;"Arial,Regular"Management and Administration</oddFooter>
      </headerFooter>
    </customSheetView>
    <customSheetView guid="{6C58FFE1-D756-42C4-A1BC-AA7F1DC1E56F}" showPageBreaks="1" printArea="1" view="pageBreakPreview">
      <selection activeCell="A20" sqref="A20"/>
      <pageMargins left="0.7" right="0.7" top="0.63" bottom="0.63" header="0.3" footer="0.3"/>
      <printOptions horizontalCentered="1"/>
      <pageSetup scale="66" orientation="landscape" r:id="rId3"/>
      <headerFooter>
        <oddHeader>&amp;L&amp;"Arial,Bold"&amp;12B. Summary of Requirements</oddHeader>
        <oddFooter>&amp;C&amp;"Arial,Regular"Exhibit B - Summary of Requirements&amp;R&amp;"Arial,Regular"Management and Administration</oddFooter>
      </headerFooter>
    </customSheetView>
    <customSheetView guid="{CFA5D1C9-F4C9-4B8D-923D-4C71CB6E7D3B}" showPageBreaks="1" printArea="1" view="pageBreakPreview">
      <selection activeCell="A19" sqref="A19"/>
      <pageMargins left="0.7" right="0.7" top="0.63" bottom="0.63" header="0.3" footer="0.3"/>
      <printOptions horizontalCentered="1"/>
      <pageSetup scale="66" orientation="landscape" r:id="rId4"/>
      <headerFooter>
        <oddHeader>&amp;L&amp;"Arial,Bold"&amp;12B. Summary of Requirements</oddHeader>
        <oddFooter>&amp;C&amp;"Arial,Regular"Exhibit B - Summary of Requirements&amp;R&amp;"Arial,Regular"Management and Administration</oddFooter>
      </headerFooter>
    </customSheetView>
    <customSheetView guid="{A788DF77-74F1-49E4-8B34-BFBDB7664F30}" showPageBreaks="1" printArea="1" view="pageBreakPreview">
      <selection activeCell="D21" sqref="D21"/>
      <pageMargins left="0.7" right="0.7" top="0.63" bottom="0.63" header="0.3" footer="0.3"/>
      <printOptions horizontalCentered="1"/>
      <pageSetup scale="66" orientation="landscape" r:id="rId5"/>
      <headerFooter>
        <oddHeader>&amp;L&amp;"Arial,Bold"&amp;12B. Summary of Requirements</oddHeader>
        <oddFooter>&amp;C&amp;"Arial,Regular"Exhibit B - Summary of Requirements&amp;R&amp;"Arial,Regular"Management and Administration</oddFooter>
      </headerFooter>
    </customSheetView>
  </customSheetViews>
  <mergeCells count="6">
    <mergeCell ref="A32:D32"/>
    <mergeCell ref="A1:D1"/>
    <mergeCell ref="A2:D2"/>
    <mergeCell ref="A3:D3"/>
    <mergeCell ref="A4:D4"/>
    <mergeCell ref="B6:D6"/>
  </mergeCells>
  <printOptions horizontalCentered="1"/>
  <pageMargins left="0.7" right="0.7" top="0.63" bottom="0.63" header="0.3" footer="0.3"/>
  <pageSetup scale="75" orientation="landscape" r:id="rId6"/>
  <headerFooter>
    <oddHeader>&amp;L&amp;"Arial,Bold"&amp;12B. Summary of Requirements</oddHeader>
    <oddFooter>&amp;C&amp;"Arial,Regular"Exhibit B - Summary of Requirements&amp;R&amp;"Arial,Regular"Management and Administration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view="pageBreakPreview" zoomScale="90" zoomScaleNormal="100" zoomScaleSheetLayoutView="90" workbookViewId="0">
      <selection activeCell="G41" sqref="G41"/>
    </sheetView>
  </sheetViews>
  <sheetFormatPr defaultRowHeight="14.25" x14ac:dyDescent="0.2"/>
  <cols>
    <col min="1" max="1" width="113.5703125" style="143" customWidth="1"/>
    <col min="2" max="2" width="17.5703125" style="147" customWidth="1"/>
    <col min="3" max="3" width="11.42578125" style="147" customWidth="1"/>
    <col min="4" max="4" width="14.5703125" style="148" customWidth="1"/>
    <col min="5" max="5" width="11.5703125" style="4" bestFit="1" customWidth="1"/>
    <col min="6" max="6" width="4.85546875" style="143" customWidth="1"/>
    <col min="7" max="7" width="140.28515625" style="143" customWidth="1"/>
    <col min="8" max="16384" width="9.140625" style="143"/>
  </cols>
  <sheetData>
    <row r="1" spans="1:7" ht="18" x14ac:dyDescent="0.25">
      <c r="A1" s="577" t="s">
        <v>0</v>
      </c>
      <c r="B1" s="577"/>
      <c r="C1" s="577"/>
      <c r="D1" s="577"/>
      <c r="E1" s="4" t="s">
        <v>10</v>
      </c>
      <c r="G1" s="199"/>
    </row>
    <row r="2" spans="1:7" ht="15" x14ac:dyDescent="0.2">
      <c r="A2" s="578" t="s">
        <v>152</v>
      </c>
      <c r="B2" s="578"/>
      <c r="C2" s="578"/>
      <c r="D2" s="578"/>
      <c r="E2" s="4" t="s">
        <v>10</v>
      </c>
      <c r="G2" s="198"/>
    </row>
    <row r="3" spans="1:7" x14ac:dyDescent="0.2">
      <c r="A3" s="579" t="s">
        <v>178</v>
      </c>
      <c r="B3" s="579"/>
      <c r="C3" s="579"/>
      <c r="D3" s="579"/>
      <c r="E3" s="4" t="s">
        <v>10</v>
      </c>
      <c r="G3" s="198"/>
    </row>
    <row r="4" spans="1:7" x14ac:dyDescent="0.2">
      <c r="A4" s="608" t="s">
        <v>1</v>
      </c>
      <c r="B4" s="608"/>
      <c r="C4" s="608"/>
      <c r="D4" s="608"/>
      <c r="E4" s="4" t="s">
        <v>10</v>
      </c>
      <c r="G4" s="198"/>
    </row>
    <row r="5" spans="1:7" ht="15" thickBot="1" x14ac:dyDescent="0.25">
      <c r="E5" s="4" t="s">
        <v>10</v>
      </c>
      <c r="G5" s="198"/>
    </row>
    <row r="6" spans="1:7" ht="15.75" thickBot="1" x14ac:dyDescent="0.3">
      <c r="B6" s="625" t="s">
        <v>121</v>
      </c>
      <c r="C6" s="626"/>
      <c r="D6" s="627"/>
      <c r="E6" s="4" t="s">
        <v>10</v>
      </c>
    </row>
    <row r="7" spans="1:7" ht="15.75" thickBot="1" x14ac:dyDescent="0.25">
      <c r="B7" s="197" t="s">
        <v>143</v>
      </c>
      <c r="C7" s="196" t="s">
        <v>144</v>
      </c>
      <c r="D7" s="195" t="s">
        <v>3</v>
      </c>
      <c r="E7" s="4" t="s">
        <v>10</v>
      </c>
      <c r="G7" s="194"/>
    </row>
    <row r="8" spans="1:7" ht="15" x14ac:dyDescent="0.25">
      <c r="A8" s="80" t="s">
        <v>119</v>
      </c>
      <c r="B8" s="193">
        <v>0</v>
      </c>
      <c r="C8" s="82">
        <v>0</v>
      </c>
      <c r="D8" s="192">
        <v>127000</v>
      </c>
      <c r="E8" s="4" t="s">
        <v>10</v>
      </c>
      <c r="G8" s="184"/>
    </row>
    <row r="9" spans="1:7" x14ac:dyDescent="0.2">
      <c r="A9" s="164" t="s">
        <v>120</v>
      </c>
      <c r="B9" s="191" t="s">
        <v>24</v>
      </c>
      <c r="C9" s="190"/>
      <c r="D9" s="189">
        <v>-2633</v>
      </c>
      <c r="E9" s="4" t="s">
        <v>10</v>
      </c>
      <c r="G9" s="184"/>
    </row>
    <row r="10" spans="1:7" x14ac:dyDescent="0.2">
      <c r="A10" s="164" t="s">
        <v>177</v>
      </c>
      <c r="B10" s="191"/>
      <c r="C10" s="190"/>
      <c r="D10" s="189">
        <v>-5235</v>
      </c>
      <c r="E10" s="4" t="s">
        <v>10</v>
      </c>
      <c r="G10" s="184"/>
    </row>
    <row r="11" spans="1:7" x14ac:dyDescent="0.2">
      <c r="A11" s="164" t="s">
        <v>176</v>
      </c>
      <c r="B11" s="191"/>
      <c r="C11" s="190"/>
      <c r="D11" s="189">
        <v>-4896</v>
      </c>
      <c r="E11" s="4" t="s">
        <v>10</v>
      </c>
      <c r="G11" s="184"/>
    </row>
    <row r="12" spans="1:7" x14ac:dyDescent="0.2">
      <c r="A12" s="164" t="s">
        <v>175</v>
      </c>
      <c r="B12" s="191"/>
      <c r="C12" s="190"/>
      <c r="D12" s="189">
        <v>-1300</v>
      </c>
      <c r="E12" s="4" t="s">
        <v>10</v>
      </c>
      <c r="G12" s="184"/>
    </row>
    <row r="13" spans="1:7" x14ac:dyDescent="0.2">
      <c r="A13" s="164" t="s">
        <v>174</v>
      </c>
      <c r="B13" s="191"/>
      <c r="C13" s="190"/>
      <c r="D13" s="189">
        <v>26428</v>
      </c>
      <c r="E13" s="4" t="s">
        <v>10</v>
      </c>
      <c r="G13" s="184"/>
    </row>
    <row r="14" spans="1:7" x14ac:dyDescent="0.2">
      <c r="A14" s="149" t="s">
        <v>173</v>
      </c>
      <c r="B14" s="191"/>
      <c r="C14" s="190"/>
      <c r="D14" s="189">
        <v>-2965</v>
      </c>
      <c r="E14" s="4" t="s">
        <v>10</v>
      </c>
      <c r="G14" s="184"/>
    </row>
    <row r="15" spans="1:7" ht="15" x14ac:dyDescent="0.25">
      <c r="A15" s="79" t="s">
        <v>122</v>
      </c>
      <c r="B15" s="108">
        <f>SUM(B8:B14)</f>
        <v>0</v>
      </c>
      <c r="C15" s="105">
        <f>SUM(C8:C14)</f>
        <v>0</v>
      </c>
      <c r="D15" s="106">
        <f>SUM(D8:D14)</f>
        <v>136399</v>
      </c>
      <c r="E15" s="4" t="s">
        <v>10</v>
      </c>
      <c r="G15" s="182"/>
    </row>
    <row r="16" spans="1:7" ht="15" x14ac:dyDescent="0.25">
      <c r="A16" s="79"/>
      <c r="B16" s="108"/>
      <c r="C16" s="105"/>
      <c r="D16" s="106"/>
      <c r="E16" s="4" t="s">
        <v>10</v>
      </c>
      <c r="G16" s="182"/>
    </row>
    <row r="17" spans="1:7" ht="15" x14ac:dyDescent="0.25">
      <c r="A17" s="68" t="s">
        <v>148</v>
      </c>
      <c r="B17" s="108">
        <v>0</v>
      </c>
      <c r="C17" s="105">
        <v>0</v>
      </c>
      <c r="D17" s="106">
        <v>120000</v>
      </c>
      <c r="E17" s="4" t="s">
        <v>10</v>
      </c>
      <c r="G17" s="184"/>
    </row>
    <row r="18" spans="1:7" ht="15" x14ac:dyDescent="0.25">
      <c r="A18" s="149" t="s">
        <v>172</v>
      </c>
      <c r="B18" s="110">
        <v>0</v>
      </c>
      <c r="C18" s="25">
        <v>0</v>
      </c>
      <c r="D18" s="188">
        <v>-4000</v>
      </c>
      <c r="E18" s="4" t="s">
        <v>10</v>
      </c>
      <c r="G18" s="184"/>
    </row>
    <row r="19" spans="1:7" ht="15" x14ac:dyDescent="0.25">
      <c r="A19" s="71" t="s">
        <v>149</v>
      </c>
      <c r="B19" s="166">
        <f>SUM(B17:B18)+B15</f>
        <v>0</v>
      </c>
      <c r="C19" s="120">
        <f>SUM(C17:C18)+C15</f>
        <v>0</v>
      </c>
      <c r="D19" s="165">
        <f>SUM(D17:D18)</f>
        <v>116000</v>
      </c>
      <c r="E19" s="4" t="s">
        <v>10</v>
      </c>
      <c r="G19" s="182"/>
    </row>
    <row r="20" spans="1:7" ht="15" x14ac:dyDescent="0.25">
      <c r="A20" s="71"/>
      <c r="B20" s="69"/>
      <c r="C20" s="70"/>
      <c r="D20" s="77"/>
      <c r="E20" s="4" t="s">
        <v>10</v>
      </c>
      <c r="G20" s="184"/>
    </row>
    <row r="21" spans="1:7" ht="15" x14ac:dyDescent="0.25">
      <c r="A21" s="73" t="s">
        <v>4</v>
      </c>
      <c r="B21" s="69"/>
      <c r="C21" s="70"/>
      <c r="D21" s="77"/>
      <c r="E21" s="4" t="s">
        <v>10</v>
      </c>
      <c r="G21" s="184"/>
    </row>
    <row r="22" spans="1:7" x14ac:dyDescent="0.2">
      <c r="A22" s="152" t="s">
        <v>171</v>
      </c>
      <c r="B22" s="112">
        <v>0</v>
      </c>
      <c r="C22" s="113">
        <v>0</v>
      </c>
      <c r="D22" s="187">
        <v>4000</v>
      </c>
      <c r="E22" s="4" t="s">
        <v>10</v>
      </c>
      <c r="G22" s="184"/>
    </row>
    <row r="23" spans="1:7" ht="15" x14ac:dyDescent="0.25">
      <c r="A23" s="74" t="s">
        <v>115</v>
      </c>
      <c r="B23" s="69">
        <f>SUM(B22:B22)</f>
        <v>0</v>
      </c>
      <c r="C23" s="70">
        <f>SUM(C22:C22)</f>
        <v>0</v>
      </c>
      <c r="D23" s="77">
        <f>SUM(D22:D22)</f>
        <v>4000</v>
      </c>
      <c r="E23" s="4" t="s">
        <v>10</v>
      </c>
      <c r="G23" s="184"/>
    </row>
    <row r="24" spans="1:7" ht="15" x14ac:dyDescent="0.25">
      <c r="A24" s="71" t="s">
        <v>93</v>
      </c>
      <c r="B24" s="110">
        <f>+B23</f>
        <v>0</v>
      </c>
      <c r="C24" s="25">
        <f>+C23</f>
        <v>0</v>
      </c>
      <c r="D24" s="111">
        <f>+D23</f>
        <v>4000</v>
      </c>
      <c r="E24" s="4" t="s">
        <v>10</v>
      </c>
      <c r="G24" s="182"/>
    </row>
    <row r="25" spans="1:7" ht="15" x14ac:dyDescent="0.25">
      <c r="A25" s="75" t="s">
        <v>123</v>
      </c>
      <c r="B25" s="108">
        <f>B19+B24</f>
        <v>0</v>
      </c>
      <c r="C25" s="105">
        <f>C19+C24</f>
        <v>0</v>
      </c>
      <c r="D25" s="106">
        <f>D19+D24</f>
        <v>120000</v>
      </c>
      <c r="E25" s="4" t="s">
        <v>10</v>
      </c>
      <c r="G25" s="182"/>
    </row>
    <row r="26" spans="1:7" ht="15" x14ac:dyDescent="0.25">
      <c r="A26" s="75" t="s">
        <v>7</v>
      </c>
      <c r="B26" s="108"/>
      <c r="C26" s="105"/>
      <c r="D26" s="106"/>
      <c r="E26" s="4" t="s">
        <v>10</v>
      </c>
      <c r="G26" s="184"/>
    </row>
    <row r="27" spans="1:7" ht="15" x14ac:dyDescent="0.25">
      <c r="A27" s="155" t="s">
        <v>170</v>
      </c>
      <c r="B27" s="69"/>
      <c r="C27" s="70"/>
      <c r="D27" s="77"/>
      <c r="E27" s="4" t="s">
        <v>10</v>
      </c>
      <c r="G27" s="184"/>
    </row>
    <row r="28" spans="1:7" x14ac:dyDescent="0.2">
      <c r="A28" s="156" t="s">
        <v>169</v>
      </c>
      <c r="B28" s="153">
        <v>0</v>
      </c>
      <c r="C28" s="154">
        <v>0</v>
      </c>
      <c r="D28" s="158">
        <v>10400</v>
      </c>
      <c r="E28" s="4" t="s">
        <v>10</v>
      </c>
      <c r="G28" s="184"/>
    </row>
    <row r="29" spans="1:7" x14ac:dyDescent="0.2">
      <c r="A29" s="156" t="s">
        <v>239</v>
      </c>
      <c r="B29" s="153">
        <v>0</v>
      </c>
      <c r="C29" s="154">
        <v>0</v>
      </c>
      <c r="D29" s="158">
        <v>2000</v>
      </c>
      <c r="E29" s="4" t="s">
        <v>10</v>
      </c>
      <c r="G29" s="184"/>
    </row>
    <row r="30" spans="1:7" x14ac:dyDescent="0.2">
      <c r="A30" s="156" t="s">
        <v>168</v>
      </c>
      <c r="B30" s="153"/>
      <c r="C30" s="154"/>
      <c r="D30" s="158">
        <v>2000</v>
      </c>
      <c r="E30" s="4" t="s">
        <v>10</v>
      </c>
      <c r="G30" s="184"/>
    </row>
    <row r="31" spans="1:7" x14ac:dyDescent="0.2">
      <c r="A31" s="156" t="s">
        <v>167</v>
      </c>
      <c r="B31" s="112">
        <v>0</v>
      </c>
      <c r="C31" s="113">
        <v>0</v>
      </c>
      <c r="D31" s="187">
        <v>7500</v>
      </c>
      <c r="E31" s="4" t="s">
        <v>10</v>
      </c>
      <c r="G31" s="184"/>
    </row>
    <row r="32" spans="1:7" x14ac:dyDescent="0.2">
      <c r="A32" s="156" t="s">
        <v>8</v>
      </c>
      <c r="B32" s="153">
        <f>SUM(B28:B31)</f>
        <v>0</v>
      </c>
      <c r="C32" s="154">
        <f>SUM(C28:C31)</f>
        <v>0</v>
      </c>
      <c r="D32" s="158">
        <f>SUM(D28:D31)</f>
        <v>21900</v>
      </c>
      <c r="E32" s="4" t="s">
        <v>10</v>
      </c>
      <c r="G32" s="184"/>
    </row>
    <row r="33" spans="1:7" ht="15" x14ac:dyDescent="0.25">
      <c r="A33" s="155" t="s">
        <v>166</v>
      </c>
      <c r="B33" s="69"/>
      <c r="C33" s="70"/>
      <c r="D33" s="77"/>
      <c r="E33" s="4" t="s">
        <v>10</v>
      </c>
      <c r="G33" s="184"/>
    </row>
    <row r="34" spans="1:7" x14ac:dyDescent="0.2">
      <c r="A34" s="156" t="s">
        <v>165</v>
      </c>
      <c r="B34" s="153">
        <v>0</v>
      </c>
      <c r="C34" s="154">
        <v>0</v>
      </c>
      <c r="D34" s="186">
        <v>-5000</v>
      </c>
      <c r="E34" s="4" t="s">
        <v>10</v>
      </c>
      <c r="G34" s="184"/>
    </row>
    <row r="35" spans="1:7" x14ac:dyDescent="0.2">
      <c r="A35" s="156" t="s">
        <v>164</v>
      </c>
      <c r="B35" s="153">
        <f>SUM(B34:B34)</f>
        <v>0</v>
      </c>
      <c r="C35" s="154">
        <f>SUM(C34:C34)</f>
        <v>0</v>
      </c>
      <c r="D35" s="186">
        <f>SUM(D34:D34)</f>
        <v>-5000</v>
      </c>
      <c r="E35" s="4" t="s">
        <v>10</v>
      </c>
      <c r="G35" s="184"/>
    </row>
    <row r="36" spans="1:7" ht="15" x14ac:dyDescent="0.25">
      <c r="A36" s="71" t="s">
        <v>9</v>
      </c>
      <c r="B36" s="110">
        <f>B32+B35</f>
        <v>0</v>
      </c>
      <c r="C36" s="25">
        <f>C32+C35</f>
        <v>0</v>
      </c>
      <c r="D36" s="111">
        <f>D32+D35</f>
        <v>16900</v>
      </c>
      <c r="E36" s="4" t="s">
        <v>10</v>
      </c>
      <c r="G36" s="182"/>
    </row>
    <row r="37" spans="1:7" ht="15" x14ac:dyDescent="0.25">
      <c r="A37" s="78" t="s">
        <v>124</v>
      </c>
      <c r="B37" s="108">
        <f>B25+B36</f>
        <v>0</v>
      </c>
      <c r="C37" s="105">
        <f>C25+C36</f>
        <v>0</v>
      </c>
      <c r="D37" s="106">
        <f>D25+D36</f>
        <v>136900</v>
      </c>
      <c r="E37" s="4" t="s">
        <v>10</v>
      </c>
      <c r="G37" s="182"/>
    </row>
    <row r="38" spans="1:7" ht="15" x14ac:dyDescent="0.25">
      <c r="A38" s="149" t="s">
        <v>142</v>
      </c>
      <c r="B38" s="110"/>
      <c r="C38" s="25"/>
      <c r="D38" s="185">
        <v>-4000</v>
      </c>
      <c r="E38" s="4" t="s">
        <v>10</v>
      </c>
      <c r="G38" s="184"/>
    </row>
    <row r="39" spans="1:7" s="5" customFormat="1" ht="15" x14ac:dyDescent="0.25">
      <c r="A39" s="149" t="s">
        <v>125</v>
      </c>
      <c r="B39" s="108">
        <f>SUM(B37:B38)</f>
        <v>0</v>
      </c>
      <c r="C39" s="105">
        <f>SUM(C37:C38)</f>
        <v>0</v>
      </c>
      <c r="D39" s="106">
        <f>SUM(D37:D38)</f>
        <v>132900</v>
      </c>
      <c r="E39" s="4" t="s">
        <v>10</v>
      </c>
      <c r="G39" s="182"/>
    </row>
    <row r="40" spans="1:7" ht="15.75" thickBot="1" x14ac:dyDescent="0.3">
      <c r="A40" s="159" t="s">
        <v>151</v>
      </c>
      <c r="B40" s="171">
        <f>B37-B17</f>
        <v>0</v>
      </c>
      <c r="C40" s="172">
        <f>C37-C17</f>
        <v>0</v>
      </c>
      <c r="D40" s="183">
        <f>D37-D17</f>
        <v>16900</v>
      </c>
      <c r="E40" s="4" t="s">
        <v>10</v>
      </c>
      <c r="G40" s="182"/>
    </row>
    <row r="41" spans="1:7" x14ac:dyDescent="0.2">
      <c r="A41" s="4"/>
      <c r="E41" s="4" t="s">
        <v>10</v>
      </c>
    </row>
    <row r="42" spans="1:7" ht="17.25" x14ac:dyDescent="0.2">
      <c r="A42" s="575" t="s">
        <v>145</v>
      </c>
      <c r="B42" s="576"/>
      <c r="C42" s="576"/>
      <c r="D42" s="576"/>
      <c r="E42" s="4" t="s">
        <v>11</v>
      </c>
    </row>
  </sheetData>
  <customSheetViews>
    <customSheetView guid="{EE916FE7-61FB-4021-ADDD-E082241FC03C}" scale="90" showPageBreaks="1" printArea="1" view="pageBreakPreview">
      <selection activeCell="A45" sqref="A45"/>
      <pageMargins left="0.7" right="0.7" top="0.63" bottom="0.63" header="0.3" footer="0.3"/>
      <printOptions horizontalCentered="1"/>
      <pageSetup scale="65" orientation="landscape" r:id="rId1"/>
      <headerFooter>
        <oddHeader>&amp;L&amp;"Arial,Bold"&amp;12B. Summary of Requirements</oddHeader>
        <oddFooter>&amp;C&amp;"Arial,Regular"Exhibit B - Summary of Requirements&amp;RResearch, Evaluation and Statistics</oddFooter>
      </headerFooter>
    </customSheetView>
    <customSheetView guid="{0BB5DC4B-BC2A-4489-BE17-5E267FA1EF63}" scale="90" showPageBreaks="1" printArea="1" view="pageBreakPreview">
      <selection activeCell="A45" sqref="A45"/>
      <pageMargins left="0.7" right="0.7" top="0.63" bottom="0.63" header="0.3" footer="0.3"/>
      <printOptions horizontalCentered="1"/>
      <pageSetup scale="65" orientation="landscape" r:id="rId2"/>
      <headerFooter>
        <oddHeader>&amp;L&amp;"Arial,Bold"&amp;12B. Summary of Requirements</oddHeader>
        <oddFooter>&amp;C&amp;"Arial,Regular"Exhibit B - Summary of Requirements&amp;RResearch, Evaluation and Statistics</oddFooter>
      </headerFooter>
    </customSheetView>
    <customSheetView guid="{6C58FFE1-D756-42C4-A1BC-AA7F1DC1E56F}" scale="90" showPageBreaks="1" printArea="1" view="pageBreakPreview">
      <selection activeCell="A45" sqref="A45"/>
      <pageMargins left="0.7" right="0.7" top="0.63" bottom="0.63" header="0.3" footer="0.3"/>
      <printOptions horizontalCentered="1"/>
      <pageSetup scale="65" orientation="landscape" r:id="rId3"/>
      <headerFooter>
        <oddHeader>&amp;L&amp;"Arial,Bold"&amp;12B. Summary of Requirements</oddHeader>
        <oddFooter>&amp;C&amp;"Arial,Regular"Exhibit B - Summary of Requirements&amp;RResearch, Evaluation and Statistics</oddFooter>
      </headerFooter>
    </customSheetView>
    <customSheetView guid="{CFA5D1C9-F4C9-4B8D-923D-4C71CB6E7D3B}" scale="90" showPageBreaks="1" printArea="1" view="pageBreakPreview">
      <selection activeCell="A45" sqref="A45"/>
      <pageMargins left="0.7" right="0.7" top="0.63" bottom="0.63" header="0.3" footer="0.3"/>
      <printOptions horizontalCentered="1"/>
      <pageSetup scale="65" orientation="landscape" r:id="rId4"/>
      <headerFooter>
        <oddHeader>&amp;L&amp;"Arial,Bold"&amp;12B. Summary of Requirements</oddHeader>
        <oddFooter>&amp;C&amp;"Arial,Regular"Exhibit B - Summary of Requirements&amp;RResearch, Evaluation and Statistics</oddFooter>
      </headerFooter>
    </customSheetView>
    <customSheetView guid="{A788DF77-74F1-49E4-8B34-BFBDB7664F30}" scale="90" showPageBreaks="1" printArea="1" view="pageBreakPreview">
      <selection activeCell="A38" sqref="A38"/>
      <pageMargins left="0.7" right="0.7" top="0.63" bottom="0.63" header="0.3" footer="0.3"/>
      <printOptions horizontalCentered="1"/>
      <pageSetup scale="65" orientation="landscape" r:id="rId5"/>
      <headerFooter>
        <oddHeader>&amp;L&amp;"Arial,Bold"&amp;12B. Summary of Requirements</oddHeader>
        <oddFooter>&amp;C&amp;"Arial,Regular"Exhibit B - Summary of Requirements&amp;R&amp;"Arial,Regular"Research, Evaluation and Statistics</oddFooter>
      </headerFooter>
    </customSheetView>
  </customSheetViews>
  <mergeCells count="6">
    <mergeCell ref="A42:D42"/>
    <mergeCell ref="A1:D1"/>
    <mergeCell ref="A2:D2"/>
    <mergeCell ref="A3:D3"/>
    <mergeCell ref="A4:D4"/>
    <mergeCell ref="B6:D6"/>
  </mergeCells>
  <printOptions horizontalCentered="1"/>
  <pageMargins left="0.7" right="0.7" top="0.63" bottom="0.63" header="0.3" footer="0.3"/>
  <pageSetup scale="73" orientation="landscape" r:id="rId6"/>
  <headerFooter>
    <oddHeader>&amp;L&amp;"Arial,Bold"&amp;12B. Summary of Requirements</oddHeader>
    <oddFooter>&amp;C&amp;"Arial,Regular"Exhibit B - Summary of Requirements&amp;R&amp;"Arial,Regular"Research, Evaluation and Statistics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1"/>
  <sheetViews>
    <sheetView view="pageBreakPreview" zoomScale="80" zoomScaleNormal="100" zoomScaleSheetLayoutView="80" workbookViewId="0">
      <selection activeCell="L43" sqref="L43"/>
    </sheetView>
  </sheetViews>
  <sheetFormatPr defaultRowHeight="14.25" x14ac:dyDescent="0.2"/>
  <cols>
    <col min="1" max="1" width="53" style="143" customWidth="1"/>
    <col min="2" max="3" width="8.28515625" style="143" customWidth="1"/>
    <col min="4" max="4" width="12.7109375" style="143" customWidth="1"/>
    <col min="5" max="6" width="8.28515625" style="143" customWidth="1"/>
    <col min="7" max="7" width="12.7109375" style="143" customWidth="1"/>
    <col min="8" max="9" width="8.28515625" style="143" customWidth="1"/>
    <col min="10" max="10" width="12.7109375" style="143" customWidth="1"/>
    <col min="11" max="12" width="8.28515625" style="143" customWidth="1"/>
    <col min="13" max="13" width="12.7109375" style="143" customWidth="1"/>
    <col min="14" max="14" width="14" style="4" bestFit="1" customWidth="1"/>
    <col min="15" max="15" width="4.5703125" style="143" customWidth="1"/>
    <col min="16" max="16" width="116.7109375" style="143" customWidth="1"/>
    <col min="17" max="18" width="8.28515625" style="143" customWidth="1"/>
    <col min="19" max="19" width="12.7109375" style="143" customWidth="1"/>
    <col min="20" max="21" width="8.28515625" style="143" customWidth="1"/>
    <col min="22" max="22" width="12.7109375" style="143" customWidth="1"/>
    <col min="23" max="16384" width="9.140625" style="143"/>
  </cols>
  <sheetData>
    <row r="1" spans="1:22" ht="18" x14ac:dyDescent="0.25">
      <c r="A1" s="577" t="s">
        <v>0</v>
      </c>
      <c r="B1" s="577"/>
      <c r="C1" s="577"/>
      <c r="D1" s="577"/>
      <c r="E1" s="577"/>
      <c r="F1" s="577"/>
      <c r="G1" s="577"/>
      <c r="H1" s="577"/>
      <c r="I1" s="577"/>
      <c r="J1" s="577"/>
      <c r="K1" s="577"/>
      <c r="L1" s="577"/>
      <c r="M1" s="577"/>
      <c r="N1" s="51" t="s">
        <v>10</v>
      </c>
      <c r="O1" s="6"/>
      <c r="P1" s="199"/>
      <c r="Q1" s="6"/>
      <c r="R1" s="6"/>
      <c r="S1" s="6"/>
      <c r="T1" s="6"/>
      <c r="U1" s="6"/>
      <c r="V1" s="6"/>
    </row>
    <row r="2" spans="1:22" ht="15" x14ac:dyDescent="0.2">
      <c r="A2" s="578" t="s">
        <v>152</v>
      </c>
      <c r="B2" s="578"/>
      <c r="C2" s="578"/>
      <c r="D2" s="578"/>
      <c r="E2" s="578"/>
      <c r="F2" s="578"/>
      <c r="G2" s="578"/>
      <c r="H2" s="578"/>
      <c r="I2" s="578"/>
      <c r="J2" s="578"/>
      <c r="K2" s="578"/>
      <c r="L2" s="578"/>
      <c r="M2" s="578"/>
      <c r="N2" s="51" t="s">
        <v>10</v>
      </c>
      <c r="O2" s="7"/>
      <c r="P2" s="198"/>
      <c r="Q2" s="7"/>
      <c r="R2" s="7"/>
      <c r="S2" s="7"/>
      <c r="T2" s="7"/>
      <c r="U2" s="7"/>
      <c r="V2" s="7"/>
    </row>
    <row r="3" spans="1:22" x14ac:dyDescent="0.2">
      <c r="A3" s="579" t="s">
        <v>178</v>
      </c>
      <c r="B3" s="579"/>
      <c r="C3" s="579"/>
      <c r="D3" s="579"/>
      <c r="E3" s="579"/>
      <c r="F3" s="579"/>
      <c r="G3" s="579"/>
      <c r="H3" s="579"/>
      <c r="I3" s="579"/>
      <c r="J3" s="579"/>
      <c r="K3" s="579"/>
      <c r="L3" s="579"/>
      <c r="M3" s="579"/>
      <c r="N3" s="51" t="s">
        <v>10</v>
      </c>
      <c r="O3" s="163"/>
      <c r="P3" s="198"/>
      <c r="Q3" s="163"/>
      <c r="R3" s="163"/>
      <c r="S3" s="163"/>
      <c r="T3" s="163"/>
      <c r="U3" s="163"/>
      <c r="V3" s="163"/>
    </row>
    <row r="4" spans="1:22" x14ac:dyDescent="0.2">
      <c r="A4" s="608" t="s">
        <v>1</v>
      </c>
      <c r="B4" s="608"/>
      <c r="C4" s="608"/>
      <c r="D4" s="608"/>
      <c r="E4" s="608"/>
      <c r="F4" s="608"/>
      <c r="G4" s="608"/>
      <c r="H4" s="608"/>
      <c r="I4" s="608"/>
      <c r="J4" s="608"/>
      <c r="K4" s="608"/>
      <c r="L4" s="608"/>
      <c r="M4" s="608"/>
      <c r="N4" s="51" t="s">
        <v>10</v>
      </c>
      <c r="O4" s="162"/>
      <c r="P4" s="198"/>
      <c r="Q4" s="162"/>
      <c r="R4" s="162"/>
      <c r="S4" s="162"/>
      <c r="T4" s="162"/>
      <c r="U4" s="162"/>
      <c r="V4" s="162"/>
    </row>
    <row r="5" spans="1:22" ht="15" x14ac:dyDescent="0.25">
      <c r="A5" s="608"/>
      <c r="B5" s="608"/>
      <c r="C5" s="608"/>
      <c r="D5" s="608"/>
      <c r="E5" s="608"/>
      <c r="F5" s="608"/>
      <c r="G5" s="608"/>
      <c r="H5" s="608"/>
      <c r="I5" s="608"/>
      <c r="J5" s="608"/>
      <c r="K5" s="608"/>
      <c r="L5" s="608"/>
      <c r="M5" s="608"/>
      <c r="N5" s="51" t="s">
        <v>10</v>
      </c>
      <c r="O5" s="162"/>
      <c r="P5" s="241"/>
      <c r="Q5" s="162"/>
      <c r="R5" s="162"/>
      <c r="S5" s="162"/>
      <c r="T5" s="162"/>
      <c r="U5" s="162"/>
      <c r="V5" s="162"/>
    </row>
    <row r="6" spans="1:22" ht="15" thickBot="1" x14ac:dyDescent="0.25">
      <c r="A6" s="608"/>
      <c r="B6" s="608"/>
      <c r="C6" s="608"/>
      <c r="D6" s="608"/>
      <c r="E6" s="608"/>
      <c r="F6" s="608"/>
      <c r="G6" s="608"/>
      <c r="H6" s="608"/>
      <c r="I6" s="608"/>
      <c r="J6" s="608"/>
      <c r="K6" s="608"/>
      <c r="L6" s="608"/>
      <c r="M6" s="608"/>
      <c r="N6" s="51" t="s">
        <v>10</v>
      </c>
      <c r="O6" s="162"/>
      <c r="P6" s="162"/>
      <c r="Q6" s="162"/>
      <c r="R6" s="162"/>
      <c r="S6" s="162"/>
      <c r="T6" s="162"/>
      <c r="U6" s="162"/>
      <c r="V6" s="162"/>
    </row>
    <row r="7" spans="1:22" ht="45.75" customHeight="1" x14ac:dyDescent="0.2">
      <c r="A7" s="585" t="s">
        <v>101</v>
      </c>
      <c r="B7" s="588" t="s">
        <v>126</v>
      </c>
      <c r="C7" s="588"/>
      <c r="D7" s="588"/>
      <c r="E7" s="588" t="s">
        <v>148</v>
      </c>
      <c r="F7" s="588"/>
      <c r="G7" s="588"/>
      <c r="H7" s="588" t="s">
        <v>127</v>
      </c>
      <c r="I7" s="588"/>
      <c r="J7" s="588"/>
      <c r="K7" s="588" t="s">
        <v>123</v>
      </c>
      <c r="L7" s="588"/>
      <c r="M7" s="589"/>
      <c r="N7" s="51" t="s">
        <v>10</v>
      </c>
    </row>
    <row r="8" spans="1:22" ht="28.5" x14ac:dyDescent="0.25">
      <c r="A8" s="586"/>
      <c r="B8" s="235" t="s">
        <v>2</v>
      </c>
      <c r="C8" s="235" t="s">
        <v>95</v>
      </c>
      <c r="D8" s="235" t="s">
        <v>3</v>
      </c>
      <c r="E8" s="235" t="s">
        <v>2</v>
      </c>
      <c r="F8" s="235" t="s">
        <v>110</v>
      </c>
      <c r="G8" s="235" t="s">
        <v>3</v>
      </c>
      <c r="H8" s="235" t="s">
        <v>2</v>
      </c>
      <c r="I8" s="235" t="s">
        <v>110</v>
      </c>
      <c r="J8" s="235" t="s">
        <v>3</v>
      </c>
      <c r="K8" s="235" t="s">
        <v>2</v>
      </c>
      <c r="L8" s="235" t="s">
        <v>110</v>
      </c>
      <c r="M8" s="234" t="s">
        <v>3</v>
      </c>
      <c r="N8" s="51" t="s">
        <v>10</v>
      </c>
      <c r="P8" s="240"/>
    </row>
    <row r="9" spans="1:22" x14ac:dyDescent="0.2">
      <c r="A9" s="173" t="s">
        <v>184</v>
      </c>
      <c r="B9" s="217">
        <v>0</v>
      </c>
      <c r="C9" s="217">
        <v>0</v>
      </c>
      <c r="D9" s="217">
        <v>45026</v>
      </c>
      <c r="E9" s="217">
        <v>0</v>
      </c>
      <c r="F9" s="217">
        <v>0</v>
      </c>
      <c r="G9" s="217">
        <v>45000</v>
      </c>
      <c r="H9" s="217">
        <v>0</v>
      </c>
      <c r="I9" s="217">
        <v>0</v>
      </c>
      <c r="J9" s="217">
        <v>0</v>
      </c>
      <c r="K9" s="217">
        <f t="shared" ref="K9:M9" si="0">E9+H9</f>
        <v>0</v>
      </c>
      <c r="L9" s="217">
        <f t="shared" si="0"/>
        <v>0</v>
      </c>
      <c r="M9" s="217">
        <f t="shared" si="0"/>
        <v>45000</v>
      </c>
      <c r="N9" s="51" t="s">
        <v>10</v>
      </c>
    </row>
    <row r="10" spans="1:22" x14ac:dyDescent="0.2">
      <c r="A10" s="207" t="s">
        <v>165</v>
      </c>
      <c r="B10" s="154">
        <v>0</v>
      </c>
      <c r="C10" s="154">
        <v>0</v>
      </c>
      <c r="D10" s="154">
        <v>32832</v>
      </c>
      <c r="E10" s="154">
        <v>0</v>
      </c>
      <c r="F10" s="154">
        <v>0</v>
      </c>
      <c r="G10" s="154">
        <v>30000</v>
      </c>
      <c r="H10" s="154">
        <v>0</v>
      </c>
      <c r="I10" s="154">
        <v>0</v>
      </c>
      <c r="J10" s="154">
        <v>0</v>
      </c>
      <c r="K10" s="154">
        <v>0</v>
      </c>
      <c r="L10" s="154">
        <v>0</v>
      </c>
      <c r="M10" s="154">
        <f t="shared" ref="M10:M14" si="1">G10+J10</f>
        <v>30000</v>
      </c>
      <c r="N10" s="51" t="s">
        <v>10</v>
      </c>
    </row>
    <row r="11" spans="1:22" x14ac:dyDescent="0.2">
      <c r="A11" s="207" t="s">
        <v>178</v>
      </c>
      <c r="B11" s="154">
        <v>0</v>
      </c>
      <c r="C11" s="154">
        <v>0</v>
      </c>
      <c r="D11" s="154">
        <v>40336</v>
      </c>
      <c r="E11" s="154">
        <v>0</v>
      </c>
      <c r="F11" s="154">
        <v>0</v>
      </c>
      <c r="G11" s="154">
        <v>40000</v>
      </c>
      <c r="H11" s="154">
        <v>0</v>
      </c>
      <c r="I11" s="154">
        <v>0</v>
      </c>
      <c r="J11" s="154">
        <v>0</v>
      </c>
      <c r="K11" s="154">
        <v>0</v>
      </c>
      <c r="L11" s="154">
        <v>0</v>
      </c>
      <c r="M11" s="154">
        <f t="shared" si="1"/>
        <v>40000</v>
      </c>
      <c r="N11" s="51" t="s">
        <v>10</v>
      </c>
    </row>
    <row r="12" spans="1:22" x14ac:dyDescent="0.2">
      <c r="A12" s="207" t="s">
        <v>181</v>
      </c>
      <c r="B12" s="154">
        <v>0</v>
      </c>
      <c r="C12" s="154">
        <v>0</v>
      </c>
      <c r="D12" s="439" t="s">
        <v>488</v>
      </c>
      <c r="E12" s="154">
        <v>0</v>
      </c>
      <c r="F12" s="154">
        <v>0</v>
      </c>
      <c r="G12" s="439" t="s">
        <v>611</v>
      </c>
      <c r="H12" s="154">
        <v>0</v>
      </c>
      <c r="I12" s="154">
        <v>0</v>
      </c>
      <c r="J12" s="154">
        <v>0</v>
      </c>
      <c r="K12" s="154">
        <v>0</v>
      </c>
      <c r="L12" s="154">
        <v>0</v>
      </c>
      <c r="M12" s="439" t="s">
        <v>611</v>
      </c>
      <c r="N12" s="51" t="s">
        <v>10</v>
      </c>
    </row>
    <row r="13" spans="1:22" ht="28.5" x14ac:dyDescent="0.2">
      <c r="A13" s="229" t="s">
        <v>239</v>
      </c>
      <c r="B13" s="154">
        <v>0</v>
      </c>
      <c r="C13" s="154">
        <v>0</v>
      </c>
      <c r="D13" s="154">
        <v>938</v>
      </c>
      <c r="E13" s="154">
        <v>0</v>
      </c>
      <c r="F13" s="154">
        <v>0</v>
      </c>
      <c r="G13" s="154">
        <v>1000</v>
      </c>
      <c r="H13" s="154">
        <v>0</v>
      </c>
      <c r="I13" s="154">
        <v>0</v>
      </c>
      <c r="J13" s="154">
        <v>0</v>
      </c>
      <c r="K13" s="154">
        <v>0</v>
      </c>
      <c r="L13" s="154">
        <v>0</v>
      </c>
      <c r="M13" s="154">
        <f t="shared" si="1"/>
        <v>1000</v>
      </c>
      <c r="N13" s="51" t="s">
        <v>10</v>
      </c>
    </row>
    <row r="14" spans="1:22" x14ac:dyDescent="0.2">
      <c r="A14" s="207" t="s">
        <v>168</v>
      </c>
      <c r="B14" s="154">
        <v>0</v>
      </c>
      <c r="C14" s="154">
        <v>0</v>
      </c>
      <c r="D14" s="154">
        <v>0</v>
      </c>
      <c r="E14" s="154">
        <v>0</v>
      </c>
      <c r="F14" s="154">
        <v>0</v>
      </c>
      <c r="G14" s="154">
        <v>4000</v>
      </c>
      <c r="H14" s="154">
        <v>0</v>
      </c>
      <c r="I14" s="154">
        <v>0</v>
      </c>
      <c r="J14" s="154">
        <v>0</v>
      </c>
      <c r="K14" s="154">
        <v>0</v>
      </c>
      <c r="L14" s="154">
        <v>0</v>
      </c>
      <c r="M14" s="154">
        <f t="shared" si="1"/>
        <v>4000</v>
      </c>
      <c r="N14" s="51" t="s">
        <v>10</v>
      </c>
    </row>
    <row r="15" spans="1:22" x14ac:dyDescent="0.2">
      <c r="A15" s="207" t="s">
        <v>180</v>
      </c>
      <c r="B15" s="154">
        <v>0</v>
      </c>
      <c r="C15" s="154">
        <v>0</v>
      </c>
      <c r="D15" s="439" t="s">
        <v>480</v>
      </c>
      <c r="E15" s="154">
        <v>0</v>
      </c>
      <c r="F15" s="154">
        <v>0</v>
      </c>
      <c r="G15" s="439" t="s">
        <v>490</v>
      </c>
      <c r="H15" s="154">
        <v>0</v>
      </c>
      <c r="I15" s="154">
        <v>0</v>
      </c>
      <c r="J15" s="154">
        <v>0</v>
      </c>
      <c r="K15" s="154">
        <v>0</v>
      </c>
      <c r="L15" s="154">
        <v>0</v>
      </c>
      <c r="M15" s="439" t="s">
        <v>490</v>
      </c>
      <c r="N15" s="51" t="s">
        <v>10</v>
      </c>
    </row>
    <row r="16" spans="1:22" x14ac:dyDescent="0.2">
      <c r="A16" s="207" t="s">
        <v>179</v>
      </c>
      <c r="B16" s="154">
        <v>0</v>
      </c>
      <c r="C16" s="154">
        <v>0</v>
      </c>
      <c r="D16" s="439" t="s">
        <v>480</v>
      </c>
      <c r="E16" s="154">
        <v>0</v>
      </c>
      <c r="F16" s="154">
        <v>0</v>
      </c>
      <c r="G16" s="439" t="s">
        <v>521</v>
      </c>
      <c r="H16" s="154">
        <v>0</v>
      </c>
      <c r="I16" s="154">
        <v>0</v>
      </c>
      <c r="J16" s="154">
        <v>0</v>
      </c>
      <c r="K16" s="154">
        <v>0</v>
      </c>
      <c r="L16" s="154">
        <v>0</v>
      </c>
      <c r="M16" s="439" t="s">
        <v>521</v>
      </c>
      <c r="N16" s="51" t="s">
        <v>10</v>
      </c>
    </row>
    <row r="17" spans="1:16" ht="15" x14ac:dyDescent="0.25">
      <c r="A17" s="13" t="s">
        <v>98</v>
      </c>
      <c r="B17" s="118">
        <f>SUM(B9:B16)</f>
        <v>0</v>
      </c>
      <c r="C17" s="118">
        <f>SUM(C9:C16)</f>
        <v>0</v>
      </c>
      <c r="D17" s="118">
        <f>D9+D10+D11+D13</f>
        <v>119132</v>
      </c>
      <c r="E17" s="118">
        <f>SUM(E9:E16)</f>
        <v>0</v>
      </c>
      <c r="F17" s="118">
        <f>SUM(F9:F16)</f>
        <v>0</v>
      </c>
      <c r="G17" s="118">
        <f>G9+G10+G11+G13+G14</f>
        <v>120000</v>
      </c>
      <c r="H17" s="118">
        <f>SUM(H9:H16)</f>
        <v>0</v>
      </c>
      <c r="I17" s="118">
        <f>SUM(I9:I16)</f>
        <v>0</v>
      </c>
      <c r="J17" s="118">
        <f>SUM(J9:J16)</f>
        <v>0</v>
      </c>
      <c r="K17" s="118">
        <f>SUM(K9:K16)</f>
        <v>0</v>
      </c>
      <c r="L17" s="118">
        <f>SUM(L9:L16)</f>
        <v>0</v>
      </c>
      <c r="M17" s="119">
        <f>M9+M10+M11+M13+M14</f>
        <v>120000</v>
      </c>
      <c r="N17" s="51" t="s">
        <v>10</v>
      </c>
      <c r="P17" s="5"/>
    </row>
    <row r="18" spans="1:16" ht="15" x14ac:dyDescent="0.25">
      <c r="A18" s="218" t="s">
        <v>97</v>
      </c>
      <c r="B18" s="120"/>
      <c r="C18" s="120"/>
      <c r="D18" s="216">
        <v>-2965</v>
      </c>
      <c r="E18" s="120"/>
      <c r="F18" s="120"/>
      <c r="G18" s="216">
        <v>-4000</v>
      </c>
      <c r="H18" s="120"/>
      <c r="I18" s="120"/>
      <c r="J18" s="217">
        <v>0</v>
      </c>
      <c r="K18" s="120"/>
      <c r="L18" s="120"/>
      <c r="M18" s="215">
        <f>G18+J18</f>
        <v>-4000</v>
      </c>
      <c r="N18" s="51" t="s">
        <v>10</v>
      </c>
      <c r="P18" s="5"/>
    </row>
    <row r="19" spans="1:16" ht="15" x14ac:dyDescent="0.25">
      <c r="A19" s="239" t="s">
        <v>512</v>
      </c>
      <c r="B19" s="88"/>
      <c r="C19" s="88"/>
      <c r="D19" s="238">
        <v>20232</v>
      </c>
      <c r="E19" s="88"/>
      <c r="F19" s="88"/>
      <c r="G19" s="238">
        <v>0</v>
      </c>
      <c r="H19" s="88"/>
      <c r="I19" s="88"/>
      <c r="J19" s="238"/>
      <c r="K19" s="88"/>
      <c r="L19" s="88"/>
      <c r="M19" s="237">
        <v>0</v>
      </c>
      <c r="N19" s="51" t="s">
        <v>10</v>
      </c>
      <c r="P19" s="5"/>
    </row>
    <row r="20" spans="1:16" ht="15" x14ac:dyDescent="0.25">
      <c r="A20" s="214" t="s">
        <v>111</v>
      </c>
      <c r="B20" s="25"/>
      <c r="C20" s="25"/>
      <c r="D20" s="213">
        <f>SUM(D17:D19)</f>
        <v>136399</v>
      </c>
      <c r="E20" s="25"/>
      <c r="F20" s="25"/>
      <c r="G20" s="213">
        <f>SUM(G17:G19)</f>
        <v>116000</v>
      </c>
      <c r="H20" s="25"/>
      <c r="I20" s="25"/>
      <c r="J20" s="213">
        <f>SUM(J17:J18)</f>
        <v>0</v>
      </c>
      <c r="K20" s="25"/>
      <c r="L20" s="25"/>
      <c r="M20" s="211">
        <f>G20+J20</f>
        <v>116000</v>
      </c>
      <c r="N20" s="51" t="s">
        <v>10</v>
      </c>
      <c r="P20" s="5"/>
    </row>
    <row r="21" spans="1:16" x14ac:dyDescent="0.2">
      <c r="A21" s="210" t="s">
        <v>13</v>
      </c>
      <c r="B21" s="209"/>
      <c r="C21" s="209">
        <v>0</v>
      </c>
      <c r="D21" s="209"/>
      <c r="E21" s="209"/>
      <c r="F21" s="209">
        <v>0</v>
      </c>
      <c r="G21" s="209"/>
      <c r="H21" s="209"/>
      <c r="I21" s="209">
        <v>0</v>
      </c>
      <c r="J21" s="209"/>
      <c r="K21" s="209"/>
      <c r="L21" s="209">
        <f>F21+I21</f>
        <v>0</v>
      </c>
      <c r="M21" s="208"/>
      <c r="N21" s="51" t="s">
        <v>10</v>
      </c>
    </row>
    <row r="22" spans="1:16" x14ac:dyDescent="0.2">
      <c r="A22" s="207" t="s">
        <v>99</v>
      </c>
      <c r="B22" s="154"/>
      <c r="C22" s="154">
        <f>C17+C21</f>
        <v>0</v>
      </c>
      <c r="D22" s="154"/>
      <c r="E22" s="154"/>
      <c r="F22" s="154">
        <f>F17+F21</f>
        <v>0</v>
      </c>
      <c r="G22" s="154"/>
      <c r="H22" s="154"/>
      <c r="I22" s="154">
        <f>I17+I21</f>
        <v>0</v>
      </c>
      <c r="J22" s="154"/>
      <c r="K22" s="154"/>
      <c r="L22" s="154">
        <f>F22+I22</f>
        <v>0</v>
      </c>
      <c r="M22" s="151"/>
      <c r="N22" s="51" t="s">
        <v>10</v>
      </c>
    </row>
    <row r="23" spans="1:16" x14ac:dyDescent="0.2">
      <c r="A23" s="207"/>
      <c r="B23" s="154"/>
      <c r="C23" s="154"/>
      <c r="D23" s="154"/>
      <c r="E23" s="154"/>
      <c r="F23" s="154"/>
      <c r="G23" s="154"/>
      <c r="H23" s="154"/>
      <c r="I23" s="154"/>
      <c r="J23" s="154"/>
      <c r="K23" s="154"/>
      <c r="L23" s="154"/>
      <c r="M23" s="151"/>
      <c r="N23" s="51" t="s">
        <v>10</v>
      </c>
    </row>
    <row r="24" spans="1:16" x14ac:dyDescent="0.2">
      <c r="A24" s="207" t="s">
        <v>14</v>
      </c>
      <c r="B24" s="154"/>
      <c r="C24" s="154"/>
      <c r="D24" s="154"/>
      <c r="E24" s="154"/>
      <c r="F24" s="154"/>
      <c r="G24" s="154"/>
      <c r="H24" s="154"/>
      <c r="I24" s="154"/>
      <c r="J24" s="154"/>
      <c r="K24" s="154"/>
      <c r="L24" s="154"/>
      <c r="M24" s="151"/>
      <c r="N24" s="51" t="s">
        <v>10</v>
      </c>
    </row>
    <row r="25" spans="1:16" x14ac:dyDescent="0.2">
      <c r="A25" s="206" t="s">
        <v>15</v>
      </c>
      <c r="B25" s="154"/>
      <c r="C25" s="154">
        <v>0</v>
      </c>
      <c r="D25" s="154"/>
      <c r="E25" s="154"/>
      <c r="F25" s="154">
        <v>0</v>
      </c>
      <c r="G25" s="154"/>
      <c r="H25" s="154"/>
      <c r="I25" s="154">
        <v>0</v>
      </c>
      <c r="J25" s="154"/>
      <c r="K25" s="154"/>
      <c r="L25" s="154">
        <f>F25+I25</f>
        <v>0</v>
      </c>
      <c r="M25" s="151"/>
      <c r="N25" s="51" t="s">
        <v>10</v>
      </c>
    </row>
    <row r="26" spans="1:16" x14ac:dyDescent="0.2">
      <c r="A26" s="205" t="s">
        <v>16</v>
      </c>
      <c r="B26" s="204"/>
      <c r="C26" s="204">
        <v>0</v>
      </c>
      <c r="D26" s="204"/>
      <c r="E26" s="204"/>
      <c r="F26" s="204">
        <v>0</v>
      </c>
      <c r="G26" s="204"/>
      <c r="H26" s="204"/>
      <c r="I26" s="204">
        <v>0</v>
      </c>
      <c r="J26" s="204"/>
      <c r="K26" s="204"/>
      <c r="L26" s="204">
        <f>F26+I26</f>
        <v>0</v>
      </c>
      <c r="M26" s="203"/>
      <c r="N26" s="51" t="s">
        <v>10</v>
      </c>
    </row>
    <row r="27" spans="1:16" ht="15" thickBot="1" x14ac:dyDescent="0.25">
      <c r="A27" s="202" t="s">
        <v>100</v>
      </c>
      <c r="B27" s="201"/>
      <c r="C27" s="201">
        <f>C22+C25+C26</f>
        <v>0</v>
      </c>
      <c r="D27" s="201"/>
      <c r="E27" s="201"/>
      <c r="F27" s="201">
        <f>F22+F25+F26</f>
        <v>0</v>
      </c>
      <c r="G27" s="201"/>
      <c r="H27" s="201"/>
      <c r="I27" s="201">
        <f>I22+I25+I26</f>
        <v>0</v>
      </c>
      <c r="J27" s="201"/>
      <c r="K27" s="201"/>
      <c r="L27" s="201">
        <f>F27+I27</f>
        <v>0</v>
      </c>
      <c r="M27" s="200"/>
      <c r="N27" s="51" t="s">
        <v>10</v>
      </c>
    </row>
    <row r="28" spans="1:16" ht="15" thickBot="1" x14ac:dyDescent="0.25">
      <c r="N28" s="51" t="s">
        <v>10</v>
      </c>
    </row>
    <row r="29" spans="1:16" ht="15" x14ac:dyDescent="0.2">
      <c r="A29" s="585" t="s">
        <v>101</v>
      </c>
      <c r="B29" s="588" t="s">
        <v>128</v>
      </c>
      <c r="C29" s="588"/>
      <c r="D29" s="588"/>
      <c r="E29" s="588" t="s">
        <v>129</v>
      </c>
      <c r="F29" s="588"/>
      <c r="G29" s="588"/>
      <c r="H29" s="588" t="s">
        <v>130</v>
      </c>
      <c r="I29" s="588"/>
      <c r="J29" s="589"/>
      <c r="N29" s="51" t="s">
        <v>10</v>
      </c>
    </row>
    <row r="30" spans="1:16" ht="28.5" x14ac:dyDescent="0.2">
      <c r="A30" s="586"/>
      <c r="B30" s="236" t="s">
        <v>2</v>
      </c>
      <c r="C30" s="235" t="s">
        <v>110</v>
      </c>
      <c r="D30" s="235" t="s">
        <v>3</v>
      </c>
      <c r="E30" s="235" t="s">
        <v>2</v>
      </c>
      <c r="F30" s="235" t="s">
        <v>110</v>
      </c>
      <c r="G30" s="235" t="s">
        <v>3</v>
      </c>
      <c r="H30" s="235" t="s">
        <v>2</v>
      </c>
      <c r="I30" s="235" t="s">
        <v>110</v>
      </c>
      <c r="J30" s="234" t="s">
        <v>3</v>
      </c>
      <c r="N30" s="51" t="s">
        <v>10</v>
      </c>
    </row>
    <row r="31" spans="1:16" x14ac:dyDescent="0.2">
      <c r="A31" s="173" t="s">
        <v>184</v>
      </c>
      <c r="B31" s="232">
        <v>0</v>
      </c>
      <c r="C31" s="232">
        <v>0</v>
      </c>
      <c r="D31" s="233">
        <v>10400</v>
      </c>
      <c r="E31" s="232">
        <v>0</v>
      </c>
      <c r="F31" s="232">
        <v>0</v>
      </c>
      <c r="G31" s="232">
        <v>0</v>
      </c>
      <c r="H31" s="232">
        <v>0</v>
      </c>
      <c r="I31" s="232">
        <v>0</v>
      </c>
      <c r="J31" s="231">
        <f t="shared" ref="J31:J36" si="2">M9+D31+G31</f>
        <v>55400</v>
      </c>
      <c r="N31" s="51" t="s">
        <v>10</v>
      </c>
    </row>
    <row r="32" spans="1:16" x14ac:dyDescent="0.2">
      <c r="A32" s="207" t="s">
        <v>165</v>
      </c>
      <c r="B32" s="224">
        <v>0</v>
      </c>
      <c r="C32" s="224">
        <v>0</v>
      </c>
      <c r="D32" s="225">
        <v>0</v>
      </c>
      <c r="E32" s="224">
        <v>0</v>
      </c>
      <c r="F32" s="224">
        <v>0</v>
      </c>
      <c r="G32" s="230">
        <v>-5000</v>
      </c>
      <c r="H32" s="224">
        <v>0</v>
      </c>
      <c r="I32" s="224">
        <v>0</v>
      </c>
      <c r="J32" s="223">
        <f t="shared" si="2"/>
        <v>25000</v>
      </c>
      <c r="N32" s="51" t="s">
        <v>10</v>
      </c>
    </row>
    <row r="33" spans="1:14" x14ac:dyDescent="0.2">
      <c r="A33" s="207" t="s">
        <v>178</v>
      </c>
      <c r="B33" s="224">
        <v>0</v>
      </c>
      <c r="C33" s="224">
        <v>0</v>
      </c>
      <c r="D33" s="225">
        <v>7500</v>
      </c>
      <c r="E33" s="224">
        <v>0</v>
      </c>
      <c r="F33" s="224">
        <v>0</v>
      </c>
      <c r="G33" s="224">
        <v>0</v>
      </c>
      <c r="H33" s="224">
        <v>0</v>
      </c>
      <c r="I33" s="224">
        <v>0</v>
      </c>
      <c r="J33" s="223">
        <f t="shared" si="2"/>
        <v>47500</v>
      </c>
      <c r="N33" s="51" t="s">
        <v>10</v>
      </c>
    </row>
    <row r="34" spans="1:14" x14ac:dyDescent="0.2">
      <c r="A34" s="207" t="s">
        <v>181</v>
      </c>
      <c r="B34" s="224">
        <v>0</v>
      </c>
      <c r="C34" s="224">
        <v>0</v>
      </c>
      <c r="D34" s="439" t="s">
        <v>480</v>
      </c>
      <c r="E34" s="224">
        <v>0</v>
      </c>
      <c r="F34" s="224">
        <v>0</v>
      </c>
      <c r="G34" s="499" t="s">
        <v>480</v>
      </c>
      <c r="H34" s="224">
        <v>0</v>
      </c>
      <c r="I34" s="224">
        <v>0</v>
      </c>
      <c r="J34" s="223" t="s">
        <v>611</v>
      </c>
      <c r="N34" s="51" t="s">
        <v>10</v>
      </c>
    </row>
    <row r="35" spans="1:14" ht="28.5" x14ac:dyDescent="0.2">
      <c r="A35" s="229" t="s">
        <v>239</v>
      </c>
      <c r="B35" s="227">
        <v>0</v>
      </c>
      <c r="C35" s="227">
        <v>0</v>
      </c>
      <c r="D35" s="228">
        <v>2000</v>
      </c>
      <c r="E35" s="227">
        <v>0</v>
      </c>
      <c r="F35" s="227">
        <v>0</v>
      </c>
      <c r="G35" s="227">
        <v>0</v>
      </c>
      <c r="H35" s="227">
        <v>0</v>
      </c>
      <c r="I35" s="227">
        <v>0</v>
      </c>
      <c r="J35" s="226">
        <f t="shared" si="2"/>
        <v>3000</v>
      </c>
      <c r="N35" s="51" t="s">
        <v>10</v>
      </c>
    </row>
    <row r="36" spans="1:14" x14ac:dyDescent="0.2">
      <c r="A36" s="207" t="s">
        <v>168</v>
      </c>
      <c r="B36" s="224">
        <v>0</v>
      </c>
      <c r="C36" s="224">
        <v>0</v>
      </c>
      <c r="D36" s="225">
        <v>2000</v>
      </c>
      <c r="E36" s="224">
        <v>0</v>
      </c>
      <c r="F36" s="224">
        <v>0</v>
      </c>
      <c r="G36" s="224">
        <v>0</v>
      </c>
      <c r="H36" s="224">
        <f>K9+B36+E36</f>
        <v>0</v>
      </c>
      <c r="I36" s="224">
        <f>L9+C36+F36</f>
        <v>0</v>
      </c>
      <c r="J36" s="223">
        <f t="shared" si="2"/>
        <v>6000</v>
      </c>
      <c r="N36" s="51" t="s">
        <v>10</v>
      </c>
    </row>
    <row r="37" spans="1:14" x14ac:dyDescent="0.2">
      <c r="A37" s="207" t="s">
        <v>180</v>
      </c>
      <c r="B37" s="224">
        <v>0</v>
      </c>
      <c r="C37" s="224">
        <v>0</v>
      </c>
      <c r="D37" s="439" t="s">
        <v>480</v>
      </c>
      <c r="E37" s="224">
        <v>0</v>
      </c>
      <c r="F37" s="224">
        <v>0</v>
      </c>
      <c r="G37" s="499" t="s">
        <v>480</v>
      </c>
      <c r="H37" s="224">
        <f>B37+E37</f>
        <v>0</v>
      </c>
      <c r="I37" s="224">
        <f>C37+F37</f>
        <v>0</v>
      </c>
      <c r="J37" s="223" t="s">
        <v>490</v>
      </c>
      <c r="N37" s="51" t="s">
        <v>10</v>
      </c>
    </row>
    <row r="38" spans="1:14" x14ac:dyDescent="0.2">
      <c r="A38" s="207" t="s">
        <v>179</v>
      </c>
      <c r="B38" s="224">
        <v>0</v>
      </c>
      <c r="C38" s="224">
        <v>0</v>
      </c>
      <c r="D38" s="439" t="s">
        <v>480</v>
      </c>
      <c r="E38" s="224">
        <v>0</v>
      </c>
      <c r="F38" s="224">
        <v>0</v>
      </c>
      <c r="G38" s="499" t="s">
        <v>480</v>
      </c>
      <c r="H38" s="224">
        <f>B38+E38</f>
        <v>0</v>
      </c>
      <c r="I38" s="224">
        <f>C38+F38</f>
        <v>0</v>
      </c>
      <c r="J38" s="223" t="s">
        <v>521</v>
      </c>
      <c r="N38" s="51" t="s">
        <v>10</v>
      </c>
    </row>
    <row r="39" spans="1:14" ht="15" x14ac:dyDescent="0.25">
      <c r="A39" s="221" t="s">
        <v>98</v>
      </c>
      <c r="B39" s="118">
        <f>SUM(B36:B38)</f>
        <v>0</v>
      </c>
      <c r="C39" s="220">
        <f>SUM(C36:C38)</f>
        <v>0</v>
      </c>
      <c r="D39" s="118">
        <f>SUM(D31:D38)</f>
        <v>21900</v>
      </c>
      <c r="E39" s="118">
        <f>SUM(E36:E38)</f>
        <v>0</v>
      </c>
      <c r="F39" s="118">
        <f>SUM(F36:F38)</f>
        <v>0</v>
      </c>
      <c r="G39" s="219">
        <f>SUM(G31:G38)</f>
        <v>-5000</v>
      </c>
      <c r="H39" s="118">
        <f>SUM(H36:H38)</f>
        <v>0</v>
      </c>
      <c r="I39" s="118">
        <f>SUM(I36:I38)</f>
        <v>0</v>
      </c>
      <c r="J39" s="119">
        <f>J31+J32+J33+J35+J36</f>
        <v>136900</v>
      </c>
      <c r="N39" s="51" t="s">
        <v>10</v>
      </c>
    </row>
    <row r="40" spans="1:14" ht="15" x14ac:dyDescent="0.25">
      <c r="A40" s="218" t="s">
        <v>97</v>
      </c>
      <c r="B40" s="120"/>
      <c r="C40" s="120"/>
      <c r="D40" s="217">
        <v>0</v>
      </c>
      <c r="E40" s="120"/>
      <c r="F40" s="120"/>
      <c r="G40" s="216">
        <v>0</v>
      </c>
      <c r="H40" s="120"/>
      <c r="I40" s="120"/>
      <c r="J40" s="215">
        <f>M18+D40+G40</f>
        <v>-4000</v>
      </c>
      <c r="N40" s="51" t="s">
        <v>10</v>
      </c>
    </row>
    <row r="41" spans="1:14" ht="15" x14ac:dyDescent="0.25">
      <c r="A41" s="214" t="s">
        <v>111</v>
      </c>
      <c r="B41" s="25"/>
      <c r="C41" s="25"/>
      <c r="D41" s="213">
        <f>SUM(D39:D40)</f>
        <v>21900</v>
      </c>
      <c r="E41" s="25"/>
      <c r="F41" s="25"/>
      <c r="G41" s="212">
        <f>SUM(G39:G40)</f>
        <v>-5000</v>
      </c>
      <c r="H41" s="25"/>
      <c r="I41" s="25"/>
      <c r="J41" s="211">
        <f>M20+D41+G41</f>
        <v>132900</v>
      </c>
      <c r="N41" s="51" t="s">
        <v>10</v>
      </c>
    </row>
    <row r="42" spans="1:14" x14ac:dyDescent="0.2">
      <c r="A42" s="210" t="s">
        <v>13</v>
      </c>
      <c r="B42" s="209"/>
      <c r="C42" s="209">
        <v>0</v>
      </c>
      <c r="D42" s="209"/>
      <c r="E42" s="209"/>
      <c r="F42" s="209">
        <v>0</v>
      </c>
      <c r="G42" s="209"/>
      <c r="H42" s="209"/>
      <c r="I42" s="209">
        <f t="shared" ref="I42:I48" si="3">L21+C42+F42</f>
        <v>0</v>
      </c>
      <c r="J42" s="208"/>
      <c r="N42" s="51" t="s">
        <v>10</v>
      </c>
    </row>
    <row r="43" spans="1:14" x14ac:dyDescent="0.2">
      <c r="A43" s="207" t="s">
        <v>99</v>
      </c>
      <c r="B43" s="154"/>
      <c r="C43" s="154">
        <f>C39+C42</f>
        <v>0</v>
      </c>
      <c r="D43" s="154"/>
      <c r="E43" s="154"/>
      <c r="F43" s="154">
        <f>F39+F42</f>
        <v>0</v>
      </c>
      <c r="G43" s="154"/>
      <c r="H43" s="154"/>
      <c r="I43" s="154">
        <f t="shared" si="3"/>
        <v>0</v>
      </c>
      <c r="J43" s="151"/>
      <c r="N43" s="51" t="s">
        <v>10</v>
      </c>
    </row>
    <row r="44" spans="1:14" x14ac:dyDescent="0.2">
      <c r="A44" s="207"/>
      <c r="B44" s="154"/>
      <c r="C44" s="154"/>
      <c r="D44" s="154"/>
      <c r="E44" s="154"/>
      <c r="F44" s="154"/>
      <c r="G44" s="154"/>
      <c r="H44" s="154"/>
      <c r="I44" s="154">
        <f t="shared" si="3"/>
        <v>0</v>
      </c>
      <c r="J44" s="151"/>
      <c r="N44" s="51" t="s">
        <v>10</v>
      </c>
    </row>
    <row r="45" spans="1:14" x14ac:dyDescent="0.2">
      <c r="A45" s="207" t="s">
        <v>14</v>
      </c>
      <c r="B45" s="154"/>
      <c r="C45" s="154"/>
      <c r="D45" s="154"/>
      <c r="E45" s="154"/>
      <c r="F45" s="154"/>
      <c r="G45" s="154"/>
      <c r="H45" s="154"/>
      <c r="I45" s="154">
        <f t="shared" si="3"/>
        <v>0</v>
      </c>
      <c r="J45" s="151"/>
      <c r="N45" s="51" t="s">
        <v>10</v>
      </c>
    </row>
    <row r="46" spans="1:14" x14ac:dyDescent="0.2">
      <c r="A46" s="206" t="s">
        <v>15</v>
      </c>
      <c r="B46" s="154"/>
      <c r="C46" s="154">
        <v>0</v>
      </c>
      <c r="D46" s="154"/>
      <c r="E46" s="154"/>
      <c r="F46" s="154">
        <v>0</v>
      </c>
      <c r="G46" s="154"/>
      <c r="H46" s="154"/>
      <c r="I46" s="154">
        <f t="shared" si="3"/>
        <v>0</v>
      </c>
      <c r="J46" s="151"/>
      <c r="N46" s="51" t="s">
        <v>10</v>
      </c>
    </row>
    <row r="47" spans="1:14" x14ac:dyDescent="0.2">
      <c r="A47" s="205" t="s">
        <v>16</v>
      </c>
      <c r="B47" s="204"/>
      <c r="C47" s="204">
        <v>0</v>
      </c>
      <c r="D47" s="204"/>
      <c r="E47" s="204"/>
      <c r="F47" s="204">
        <v>0</v>
      </c>
      <c r="G47" s="204"/>
      <c r="H47" s="204"/>
      <c r="I47" s="204">
        <f t="shared" si="3"/>
        <v>0</v>
      </c>
      <c r="J47" s="203"/>
      <c r="N47" s="51" t="s">
        <v>10</v>
      </c>
    </row>
    <row r="48" spans="1:14" ht="15" thickBot="1" x14ac:dyDescent="0.25">
      <c r="A48" s="202" t="s">
        <v>100</v>
      </c>
      <c r="B48" s="201"/>
      <c r="C48" s="201">
        <f>C43+C46+C47</f>
        <v>0</v>
      </c>
      <c r="D48" s="201"/>
      <c r="E48" s="201"/>
      <c r="F48" s="201">
        <f>F43+F46+F47</f>
        <v>0</v>
      </c>
      <c r="G48" s="201"/>
      <c r="H48" s="201"/>
      <c r="I48" s="201">
        <f t="shared" si="3"/>
        <v>0</v>
      </c>
      <c r="J48" s="200"/>
      <c r="N48" s="51" t="s">
        <v>10</v>
      </c>
    </row>
    <row r="49" spans="1:14" x14ac:dyDescent="0.2">
      <c r="N49" s="4" t="s">
        <v>11</v>
      </c>
    </row>
    <row r="50" spans="1:14" x14ac:dyDescent="0.2">
      <c r="A50" s="30"/>
    </row>
    <row r="51" spans="1:14" x14ac:dyDescent="0.2">
      <c r="A51" s="160"/>
    </row>
  </sheetData>
  <customSheetViews>
    <customSheetView guid="{EE916FE7-61FB-4021-ADDD-E082241FC03C}" scale="80" showPageBreaks="1" printArea="1" view="pageBreakPreview" topLeftCell="A16">
      <selection activeCell="D8" sqref="D8:D9"/>
      <pageMargins left="0.7" right="0.7" top="0.75" bottom="0.75" header="0.3" footer="0.3"/>
      <printOptions horizontalCentered="1"/>
      <pageSetup scale="52" orientation="landscape" r:id="rId1"/>
      <headerFooter>
        <oddHeader>&amp;L&amp;"Arial,Bold"&amp;12B. Summary of Requirements</oddHeader>
        <oddFooter>&amp;C&amp;"Arial,Regular"Exhibit B - Summary of Requirements</oddFooter>
      </headerFooter>
    </customSheetView>
    <customSheetView guid="{0BB5DC4B-BC2A-4489-BE17-5E267FA1EF63}" scale="80" showPageBreaks="1" printArea="1" view="pageBreakPreview" topLeftCell="A16">
      <selection activeCell="D8" sqref="D8:D9"/>
      <pageMargins left="0.7" right="0.7" top="0.75" bottom="0.75" header="0.3" footer="0.3"/>
      <printOptions horizontalCentered="1"/>
      <pageSetup scale="52" orientation="landscape" r:id="rId2"/>
      <headerFooter>
        <oddHeader>&amp;L&amp;"Arial,Bold"&amp;12B. Summary of Requirements</oddHeader>
        <oddFooter>&amp;C&amp;"Arial,Regular"Exhibit B - Summary of Requirements</oddFooter>
      </headerFooter>
    </customSheetView>
    <customSheetView guid="{6C58FFE1-D756-42C4-A1BC-AA7F1DC1E56F}" scale="80" showPageBreaks="1" printArea="1" view="pageBreakPreview" topLeftCell="B1">
      <selection activeCell="J22" sqref="J22"/>
      <pageMargins left="0.7" right="0.7" top="0.75" bottom="0.75" header="0.3" footer="0.3"/>
      <printOptions horizontalCentered="1"/>
      <pageSetup scale="52" orientation="landscape" r:id="rId3"/>
      <headerFooter>
        <oddHeader>&amp;L&amp;"Arial,Bold"&amp;12B. Summary of Requirements</oddHeader>
        <oddFooter>&amp;C&amp;"Arial,Regular"Exhibit B - Summary of Requirements&amp;RResearch, Evaluation, and Statistics</oddFooter>
      </headerFooter>
    </customSheetView>
    <customSheetView guid="{CFA5D1C9-F4C9-4B8D-923D-4C71CB6E7D3B}" scale="80" showPageBreaks="1" printArea="1" view="pageBreakPreview" topLeftCell="A16">
      <selection activeCell="D8" sqref="D8:D9"/>
      <pageMargins left="0.7" right="0.7" top="0.75" bottom="0.75" header="0.3" footer="0.3"/>
      <printOptions horizontalCentered="1"/>
      <pageSetup scale="52" orientation="landscape" r:id="rId4"/>
      <headerFooter>
        <oddHeader>&amp;L&amp;"Arial,Bold"&amp;12B. Summary of Requirements</oddHeader>
        <oddFooter>&amp;C&amp;"Arial,Regular"Exhibit B - Summary of Requirements</oddFooter>
      </headerFooter>
    </customSheetView>
    <customSheetView guid="{A788DF77-74F1-49E4-8B34-BFBDB7664F30}" scale="80" showPageBreaks="1" printArea="1" view="pageBreakPreview" topLeftCell="A4">
      <selection activeCell="A41" sqref="A41"/>
      <pageMargins left="0.7" right="0.7" top="0.75" bottom="0.75" header="0.3" footer="0.3"/>
      <printOptions horizontalCentered="1"/>
      <pageSetup scale="52" orientation="landscape" r:id="rId5"/>
      <headerFooter>
        <oddHeader>&amp;L&amp;"Arial,Bold"&amp;12B. Summary of Requirements</oddHeader>
        <oddFooter>&amp;C&amp;"Arial,Regular"Exhibit B - Summary of Requirements&amp;R&amp;"Arial,Regular"Research, Evaluation, and Statistics</oddFooter>
      </headerFooter>
    </customSheetView>
  </customSheetViews>
  <mergeCells count="15">
    <mergeCell ref="A5:M5"/>
    <mergeCell ref="A6:M6"/>
    <mergeCell ref="A29:A30"/>
    <mergeCell ref="A1:M1"/>
    <mergeCell ref="A2:M2"/>
    <mergeCell ref="A3:M3"/>
    <mergeCell ref="A4:M4"/>
    <mergeCell ref="A7:A8"/>
    <mergeCell ref="B7:D7"/>
    <mergeCell ref="E7:G7"/>
    <mergeCell ref="H7:J7"/>
    <mergeCell ref="K7:M7"/>
    <mergeCell ref="B29:D29"/>
    <mergeCell ref="E29:G29"/>
    <mergeCell ref="H29:J29"/>
  </mergeCells>
  <printOptions horizontalCentered="1"/>
  <pageMargins left="0.7" right="0.7" top="0.75" bottom="0.75" header="0.3" footer="0.3"/>
  <pageSetup scale="64" orientation="landscape" r:id="rId6"/>
  <headerFooter>
    <oddHeader>&amp;L&amp;"Arial,Bold"&amp;12B. Summary of Requirements</oddHeader>
    <oddFooter>&amp;C&amp;"Arial,Regular"Exhibit B - Summary of Requirements&amp;R&amp;"Arial,Regular"Research, Evaluation, and Statistics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view="pageBreakPreview" zoomScale="80" zoomScaleNormal="100" zoomScaleSheetLayoutView="80" workbookViewId="0">
      <selection activeCell="A4" sqref="A4:J4"/>
    </sheetView>
  </sheetViews>
  <sheetFormatPr defaultRowHeight="14.25" x14ac:dyDescent="0.2"/>
  <cols>
    <col min="1" max="1" width="43.7109375" style="143" customWidth="1"/>
    <col min="2" max="2" width="39" style="143" customWidth="1"/>
    <col min="3" max="5" width="8.7109375" style="143" customWidth="1"/>
    <col min="6" max="6" width="12.7109375" style="143" customWidth="1"/>
    <col min="7" max="9" width="8.7109375" style="143" customWidth="1"/>
    <col min="10" max="10" width="12.7109375" style="143" customWidth="1"/>
    <col min="11" max="11" width="14" style="4" bestFit="1" customWidth="1"/>
    <col min="12" max="12" width="4.5703125" style="143" customWidth="1"/>
    <col min="13" max="13" width="122.85546875" style="143" customWidth="1"/>
    <col min="14" max="15" width="8.28515625" style="143" customWidth="1"/>
    <col min="16" max="16" width="12.7109375" style="143" customWidth="1"/>
    <col min="17" max="18" width="8.28515625" style="143" customWidth="1"/>
    <col min="19" max="19" width="12.7109375" style="143" customWidth="1"/>
    <col min="20" max="16384" width="9.140625" style="143"/>
  </cols>
  <sheetData>
    <row r="1" spans="1:19" ht="18" x14ac:dyDescent="0.25">
      <c r="A1" s="577" t="s">
        <v>131</v>
      </c>
      <c r="B1" s="577"/>
      <c r="C1" s="577"/>
      <c r="D1" s="577"/>
      <c r="E1" s="577"/>
      <c r="F1" s="577"/>
      <c r="G1" s="577"/>
      <c r="H1" s="577"/>
      <c r="I1" s="577"/>
      <c r="J1" s="577"/>
      <c r="K1" s="243" t="s">
        <v>10</v>
      </c>
      <c r="L1" s="6"/>
      <c r="M1" s="256"/>
      <c r="N1" s="6"/>
      <c r="O1" s="6"/>
      <c r="P1" s="6"/>
      <c r="Q1" s="6"/>
      <c r="R1" s="6"/>
      <c r="S1" s="6"/>
    </row>
    <row r="2" spans="1:19" ht="18" x14ac:dyDescent="0.25">
      <c r="A2" s="578" t="s">
        <v>152</v>
      </c>
      <c r="B2" s="578"/>
      <c r="C2" s="578"/>
      <c r="D2" s="578"/>
      <c r="E2" s="578"/>
      <c r="F2" s="578"/>
      <c r="G2" s="578"/>
      <c r="H2" s="578"/>
      <c r="I2" s="578"/>
      <c r="J2" s="578"/>
      <c r="K2" s="243" t="s">
        <v>10</v>
      </c>
      <c r="L2" s="7"/>
      <c r="M2" s="255"/>
      <c r="N2" s="7"/>
      <c r="O2" s="7"/>
      <c r="P2" s="7"/>
      <c r="Q2" s="7"/>
      <c r="R2" s="7"/>
      <c r="S2" s="7"/>
    </row>
    <row r="3" spans="1:19" ht="18" x14ac:dyDescent="0.25">
      <c r="A3" s="579" t="s">
        <v>188</v>
      </c>
      <c r="B3" s="579"/>
      <c r="C3" s="579"/>
      <c r="D3" s="579"/>
      <c r="E3" s="579"/>
      <c r="F3" s="579"/>
      <c r="G3" s="579"/>
      <c r="H3" s="579"/>
      <c r="I3" s="579"/>
      <c r="J3" s="579"/>
      <c r="K3" s="243" t="s">
        <v>10</v>
      </c>
      <c r="L3" s="163"/>
      <c r="M3" s="254"/>
      <c r="N3" s="163"/>
      <c r="O3" s="163"/>
      <c r="P3" s="163"/>
      <c r="Q3" s="163"/>
      <c r="R3" s="163"/>
      <c r="S3" s="163"/>
    </row>
    <row r="4" spans="1:19" ht="18" x14ac:dyDescent="0.25">
      <c r="A4" s="608" t="s">
        <v>1</v>
      </c>
      <c r="B4" s="608"/>
      <c r="C4" s="608"/>
      <c r="D4" s="608"/>
      <c r="E4" s="608"/>
      <c r="F4" s="608"/>
      <c r="G4" s="608"/>
      <c r="H4" s="608"/>
      <c r="I4" s="608"/>
      <c r="J4" s="608"/>
      <c r="K4" s="243" t="s">
        <v>10</v>
      </c>
      <c r="L4" s="162"/>
      <c r="M4" s="254"/>
      <c r="N4" s="162"/>
      <c r="O4" s="162"/>
      <c r="P4" s="162"/>
      <c r="Q4" s="162"/>
      <c r="R4" s="162"/>
      <c r="S4" s="162"/>
    </row>
    <row r="5" spans="1:19" ht="18.75" thickBot="1" x14ac:dyDescent="0.3">
      <c r="A5" s="628"/>
      <c r="B5" s="628"/>
      <c r="C5" s="628"/>
      <c r="D5" s="628"/>
      <c r="E5" s="628"/>
      <c r="F5" s="628"/>
      <c r="G5" s="628"/>
      <c r="H5" s="628"/>
      <c r="I5" s="628"/>
      <c r="J5" s="628"/>
      <c r="K5" s="243" t="s">
        <v>10</v>
      </c>
      <c r="L5" s="162"/>
      <c r="M5" s="253"/>
      <c r="N5" s="162"/>
      <c r="O5" s="162"/>
      <c r="P5" s="162"/>
      <c r="Q5" s="162"/>
      <c r="R5" s="162"/>
      <c r="S5" s="162"/>
    </row>
    <row r="6" spans="1:19" ht="33.75" customHeight="1" x14ac:dyDescent="0.25">
      <c r="A6" s="585" t="s">
        <v>18</v>
      </c>
      <c r="B6" s="590" t="s">
        <v>146</v>
      </c>
      <c r="C6" s="588" t="s">
        <v>188</v>
      </c>
      <c r="D6" s="588"/>
      <c r="E6" s="588"/>
      <c r="F6" s="588"/>
      <c r="G6" s="588" t="s">
        <v>19</v>
      </c>
      <c r="H6" s="588"/>
      <c r="I6" s="588"/>
      <c r="J6" s="589"/>
      <c r="K6" s="243" t="s">
        <v>10</v>
      </c>
    </row>
    <row r="7" spans="1:19" ht="28.5" x14ac:dyDescent="0.25">
      <c r="A7" s="586"/>
      <c r="B7" s="591"/>
      <c r="C7" s="235" t="s">
        <v>2</v>
      </c>
      <c r="D7" s="235" t="s">
        <v>22</v>
      </c>
      <c r="E7" s="235" t="s">
        <v>110</v>
      </c>
      <c r="F7" s="235" t="s">
        <v>3</v>
      </c>
      <c r="G7" s="235" t="s">
        <v>2</v>
      </c>
      <c r="H7" s="235" t="s">
        <v>22</v>
      </c>
      <c r="I7" s="235" t="s">
        <v>110</v>
      </c>
      <c r="J7" s="234" t="s">
        <v>3</v>
      </c>
      <c r="K7" s="243" t="s">
        <v>10</v>
      </c>
    </row>
    <row r="8" spans="1:19" ht="18" x14ac:dyDescent="0.25">
      <c r="A8" s="413" t="s">
        <v>169</v>
      </c>
      <c r="B8" s="408">
        <v>149</v>
      </c>
      <c r="C8" s="414">
        <v>0</v>
      </c>
      <c r="D8" s="414">
        <v>0</v>
      </c>
      <c r="E8" s="414">
        <v>0</v>
      </c>
      <c r="F8" s="414">
        <v>10400</v>
      </c>
      <c r="G8" s="414">
        <v>0</v>
      </c>
      <c r="H8" s="414">
        <v>0</v>
      </c>
      <c r="I8" s="414">
        <v>0</v>
      </c>
      <c r="J8" s="415">
        <f>F8</f>
        <v>10400</v>
      </c>
      <c r="K8" s="243" t="s">
        <v>10</v>
      </c>
      <c r="M8" s="252"/>
    </row>
    <row r="9" spans="1:19" ht="29.25" x14ac:dyDescent="0.25">
      <c r="A9" s="411" t="s">
        <v>239</v>
      </c>
      <c r="B9" s="410">
        <v>197</v>
      </c>
      <c r="C9" s="402">
        <v>0</v>
      </c>
      <c r="D9" s="402">
        <v>0</v>
      </c>
      <c r="E9" s="402">
        <v>0</v>
      </c>
      <c r="F9" s="402">
        <v>2000</v>
      </c>
      <c r="G9" s="402">
        <v>0</v>
      </c>
      <c r="H9" s="402">
        <v>0</v>
      </c>
      <c r="I9" s="402">
        <v>0</v>
      </c>
      <c r="J9" s="407">
        <f>F9</f>
        <v>2000</v>
      </c>
      <c r="K9" s="243" t="s">
        <v>10</v>
      </c>
    </row>
    <row r="10" spans="1:19" ht="18" x14ac:dyDescent="0.25">
      <c r="A10" s="406" t="s">
        <v>168</v>
      </c>
      <c r="B10" s="405">
        <v>197</v>
      </c>
      <c r="C10" s="404">
        <v>0</v>
      </c>
      <c r="D10" s="404">
        <v>0</v>
      </c>
      <c r="E10" s="404">
        <v>0</v>
      </c>
      <c r="F10" s="404">
        <v>2000</v>
      </c>
      <c r="G10" s="404">
        <v>0</v>
      </c>
      <c r="H10" s="404">
        <v>0</v>
      </c>
      <c r="I10" s="404">
        <v>0</v>
      </c>
      <c r="J10" s="403">
        <f>F10</f>
        <v>2000</v>
      </c>
      <c r="K10" s="243" t="s">
        <v>10</v>
      </c>
    </row>
    <row r="11" spans="1:19" ht="18" x14ac:dyDescent="0.25">
      <c r="A11" s="412" t="s">
        <v>188</v>
      </c>
      <c r="B11" s="409">
        <v>156</v>
      </c>
      <c r="C11" s="416">
        <v>0</v>
      </c>
      <c r="D11" s="416">
        <v>0</v>
      </c>
      <c r="E11" s="416">
        <v>0</v>
      </c>
      <c r="F11" s="416">
        <v>7500</v>
      </c>
      <c r="G11" s="416">
        <v>0</v>
      </c>
      <c r="H11" s="416">
        <v>0</v>
      </c>
      <c r="I11" s="416">
        <v>0</v>
      </c>
      <c r="J11" s="417">
        <f>F11</f>
        <v>7500</v>
      </c>
      <c r="K11" s="243" t="s">
        <v>10</v>
      </c>
    </row>
    <row r="12" spans="1:19" ht="18.75" thickBot="1" x14ac:dyDescent="0.3">
      <c r="A12" s="21" t="s">
        <v>21</v>
      </c>
      <c r="B12" s="22"/>
      <c r="C12" s="27">
        <f t="shared" ref="C12:J12" si="0">SUM(C8:C11)</f>
        <v>0</v>
      </c>
      <c r="D12" s="27">
        <f t="shared" si="0"/>
        <v>0</v>
      </c>
      <c r="E12" s="27">
        <f t="shared" si="0"/>
        <v>0</v>
      </c>
      <c r="F12" s="27">
        <f t="shared" si="0"/>
        <v>21900</v>
      </c>
      <c r="G12" s="27">
        <f t="shared" si="0"/>
        <v>0</v>
      </c>
      <c r="H12" s="27">
        <f t="shared" si="0"/>
        <v>0</v>
      </c>
      <c r="I12" s="27">
        <f t="shared" si="0"/>
        <v>0</v>
      </c>
      <c r="J12" s="251">
        <f t="shared" si="0"/>
        <v>21900</v>
      </c>
      <c r="K12" s="243" t="s">
        <v>10</v>
      </c>
      <c r="M12" s="5"/>
    </row>
    <row r="13" spans="1:19" ht="18" x14ac:dyDescent="0.25">
      <c r="K13" s="243" t="s">
        <v>10</v>
      </c>
    </row>
    <row r="14" spans="1:19" ht="18.75" thickBot="1" x14ac:dyDescent="0.3">
      <c r="K14" s="243" t="s">
        <v>10</v>
      </c>
    </row>
    <row r="15" spans="1:19" ht="33.75" customHeight="1" x14ac:dyDescent="0.25">
      <c r="A15" s="585" t="s">
        <v>20</v>
      </c>
      <c r="B15" s="590" t="s">
        <v>146</v>
      </c>
      <c r="C15" s="588" t="s">
        <v>188</v>
      </c>
      <c r="D15" s="588"/>
      <c r="E15" s="588"/>
      <c r="F15" s="588"/>
      <c r="G15" s="588" t="s">
        <v>189</v>
      </c>
      <c r="H15" s="588"/>
      <c r="I15" s="588"/>
      <c r="J15" s="589"/>
      <c r="K15" s="243" t="s">
        <v>10</v>
      </c>
    </row>
    <row r="16" spans="1:19" ht="28.5" x14ac:dyDescent="0.25">
      <c r="A16" s="586"/>
      <c r="B16" s="591"/>
      <c r="C16" s="235" t="s">
        <v>2</v>
      </c>
      <c r="D16" s="235" t="s">
        <v>22</v>
      </c>
      <c r="E16" s="235" t="s">
        <v>110</v>
      </c>
      <c r="F16" s="235" t="s">
        <v>3</v>
      </c>
      <c r="G16" s="235" t="s">
        <v>2</v>
      </c>
      <c r="H16" s="235" t="s">
        <v>22</v>
      </c>
      <c r="I16" s="235" t="s">
        <v>110</v>
      </c>
      <c r="J16" s="234" t="s">
        <v>3</v>
      </c>
      <c r="K16" s="243" t="s">
        <v>10</v>
      </c>
    </row>
    <row r="17" spans="1:13" ht="18" x14ac:dyDescent="0.25">
      <c r="A17" s="406" t="s">
        <v>165</v>
      </c>
      <c r="B17" s="248">
        <v>203</v>
      </c>
      <c r="C17" s="404">
        <v>0</v>
      </c>
      <c r="D17" s="404">
        <v>0</v>
      </c>
      <c r="E17" s="404">
        <v>0</v>
      </c>
      <c r="F17" s="493">
        <v>-5000</v>
      </c>
      <c r="G17" s="404">
        <v>0</v>
      </c>
      <c r="H17" s="404">
        <v>0</v>
      </c>
      <c r="I17" s="404">
        <v>0</v>
      </c>
      <c r="J17" s="492">
        <f>F17</f>
        <v>-5000</v>
      </c>
      <c r="K17" s="243" t="s">
        <v>10</v>
      </c>
    </row>
    <row r="18" spans="1:13" ht="18.75" thickBot="1" x14ac:dyDescent="0.3">
      <c r="A18" s="21" t="s">
        <v>187</v>
      </c>
      <c r="B18" s="22"/>
      <c r="C18" s="27">
        <f t="shared" ref="C18:J18" si="1">SUM(C17:C17)</f>
        <v>0</v>
      </c>
      <c r="D18" s="27">
        <f t="shared" si="1"/>
        <v>0</v>
      </c>
      <c r="E18" s="27">
        <f t="shared" si="1"/>
        <v>0</v>
      </c>
      <c r="F18" s="246">
        <f t="shared" si="1"/>
        <v>-5000</v>
      </c>
      <c r="G18" s="27">
        <f t="shared" si="1"/>
        <v>0</v>
      </c>
      <c r="H18" s="27">
        <f t="shared" si="1"/>
        <v>0</v>
      </c>
      <c r="I18" s="27">
        <f t="shared" si="1"/>
        <v>0</v>
      </c>
      <c r="J18" s="245">
        <f t="shared" si="1"/>
        <v>-5000</v>
      </c>
      <c r="K18" s="243" t="s">
        <v>10</v>
      </c>
      <c r="M18" s="5"/>
    </row>
    <row r="19" spans="1:13" ht="18" x14ac:dyDescent="0.25">
      <c r="K19" s="243" t="s">
        <v>11</v>
      </c>
    </row>
    <row r="21" spans="1:13" x14ac:dyDescent="0.2">
      <c r="B21" s="242"/>
    </row>
    <row r="26" spans="1:13" x14ac:dyDescent="0.2">
      <c r="G26" s="143" t="s">
        <v>186</v>
      </c>
    </row>
  </sheetData>
  <customSheetViews>
    <customSheetView guid="{EE916FE7-61FB-4021-ADDD-E082241FC03C}" scale="80" showPageBreaks="1" printArea="1" view="pageBreakPreview">
      <selection activeCell="D8" sqref="D8:D9"/>
      <pageMargins left="0.7" right="0.7" top="0.66" bottom="0.65" header="0.3" footer="0.3"/>
      <printOptions horizontalCentered="1"/>
      <pageSetup scale="61" orientation="landscape" r:id="rId1"/>
      <headerFooter>
        <oddHeader xml:space="preserve">&amp;L&amp;"Arial,Bold"&amp;12C. Program Changes by Decision Unit
</oddHeader>
        <oddFooter>&amp;C&amp;"Arial,Regular"Exhibit C - Program Changes by Decision Unit</oddFooter>
      </headerFooter>
    </customSheetView>
    <customSheetView guid="{0BB5DC4B-BC2A-4489-BE17-5E267FA1EF63}" scale="80" showPageBreaks="1" printArea="1" view="pageBreakPreview">
      <selection activeCell="D8" sqref="D8:D9"/>
      <pageMargins left="0.7" right="0.7" top="0.66" bottom="0.65" header="0.3" footer="0.3"/>
      <printOptions horizontalCentered="1"/>
      <pageSetup scale="61" orientation="landscape" r:id="rId2"/>
      <headerFooter>
        <oddHeader xml:space="preserve">&amp;L&amp;"Arial,Bold"&amp;12C. Program Changes by Decision Unit
</oddHeader>
        <oddFooter>&amp;C&amp;"Arial,Regular"Exhibit C - Program Changes by Decision Unit</oddFooter>
      </headerFooter>
    </customSheetView>
    <customSheetView guid="{6C58FFE1-D756-42C4-A1BC-AA7F1DC1E56F}" scale="80" showPageBreaks="1" printArea="1" view="pageBreakPreview" topLeftCell="B34">
      <selection activeCell="D47" sqref="D47"/>
      <pageMargins left="0.7" right="0.7" top="0.66" bottom="0.65" header="0.3" footer="0.3"/>
      <printOptions horizontalCentered="1"/>
      <pageSetup scale="61" orientation="landscape" r:id="rId3"/>
      <headerFooter>
        <oddHeader xml:space="preserve">&amp;L&amp;"Arial,Bold"&amp;12C. Program Changes by Decision Unit
</oddHeader>
        <oddFooter>&amp;C&amp;"Arial,Regular"Exhibit C - Program Changes by Decision Unit&amp;RResearch, Evaluation, and Statistics</oddFooter>
      </headerFooter>
    </customSheetView>
    <customSheetView guid="{CFA5D1C9-F4C9-4B8D-923D-4C71CB6E7D3B}" scale="80" showPageBreaks="1" printArea="1" view="pageBreakPreview">
      <selection activeCell="D8" sqref="D8:D9"/>
      <pageMargins left="0.7" right="0.7" top="0.66" bottom="0.65" header="0.3" footer="0.3"/>
      <printOptions horizontalCentered="1"/>
      <pageSetup scale="61" orientation="landscape" r:id="rId4"/>
      <headerFooter>
        <oddHeader xml:space="preserve">&amp;L&amp;"Arial,Bold"&amp;12C. Program Changes by Decision Unit
</oddHeader>
        <oddFooter>&amp;C&amp;"Arial,Regular"Exhibit C - Program Changes by Decision Unit</oddFooter>
      </headerFooter>
    </customSheetView>
    <customSheetView guid="{A788DF77-74F1-49E4-8B34-BFBDB7664F30}" scale="80" showPageBreaks="1" printArea="1" view="pageBreakPreview">
      <selection activeCell="C28" sqref="C28"/>
      <pageMargins left="0.7" right="0.7" top="0.66" bottom="0.65" header="0.3" footer="0.3"/>
      <printOptions horizontalCentered="1"/>
      <pageSetup scale="61" orientation="landscape" r:id="rId5"/>
      <headerFooter>
        <oddHeader xml:space="preserve">&amp;L&amp;"Arial,Bold"&amp;12C. Program Changes by Decision Unit
</oddHeader>
        <oddFooter>&amp;C&amp;"Arial,Regular"Exhibit C - Program Changes by Decision Unit&amp;R&amp;"Arial,Regular"Research, Evaluation, and Statistics</oddFooter>
      </headerFooter>
    </customSheetView>
  </customSheetViews>
  <mergeCells count="13">
    <mergeCell ref="A1:J1"/>
    <mergeCell ref="A2:J2"/>
    <mergeCell ref="A3:J3"/>
    <mergeCell ref="A4:J4"/>
    <mergeCell ref="B15:B16"/>
    <mergeCell ref="G15:J15"/>
    <mergeCell ref="A15:A16"/>
    <mergeCell ref="A5:J5"/>
    <mergeCell ref="C15:F15"/>
    <mergeCell ref="B6:B7"/>
    <mergeCell ref="G6:J6"/>
    <mergeCell ref="A6:A7"/>
    <mergeCell ref="C6:F6"/>
  </mergeCells>
  <printOptions horizontalCentered="1"/>
  <pageMargins left="0.7" right="0.7" top="0.66" bottom="0.65" header="0.3" footer="0.3"/>
  <pageSetup scale="75" orientation="landscape" r:id="rId6"/>
  <headerFooter>
    <oddHeader xml:space="preserve">&amp;L&amp;"Arial,Bold"&amp;12C. Program Changes by Decision Unit
</oddHeader>
    <oddFooter>&amp;C&amp;"Arial,Regular"Exhibit C - Program Changes by Decision Unit&amp;R&amp;"Arial,Regular"Research, Evaluation, and Statistics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view="pageBreakPreview" topLeftCell="A7" zoomScale="80" zoomScaleNormal="100" zoomScaleSheetLayoutView="80" workbookViewId="0">
      <selection activeCell="N53" sqref="N53"/>
    </sheetView>
  </sheetViews>
  <sheetFormatPr defaultRowHeight="14.25" x14ac:dyDescent="0.2"/>
  <cols>
    <col min="1" max="1" width="7.42578125" style="143" bestFit="1" customWidth="1"/>
    <col min="2" max="2" width="58.140625" style="143" customWidth="1"/>
    <col min="3" max="3" width="8.7109375" style="143" customWidth="1"/>
    <col min="4" max="4" width="12.7109375" style="143" customWidth="1"/>
    <col min="5" max="5" width="8.7109375" style="143" customWidth="1"/>
    <col min="6" max="6" width="12.7109375" style="143" customWidth="1"/>
    <col min="7" max="7" width="8.7109375" style="143" customWidth="1"/>
    <col min="8" max="8" width="12.7109375" style="143" customWidth="1"/>
    <col min="9" max="9" width="8.7109375" style="143" customWidth="1"/>
    <col min="10" max="10" width="12.7109375" style="143" customWidth="1"/>
    <col min="11" max="11" width="8.7109375" style="143" customWidth="1"/>
    <col min="12" max="12" width="12.7109375" style="143" customWidth="1"/>
    <col min="13" max="13" width="8.7109375" style="143" customWidth="1"/>
    <col min="14" max="14" width="12.7109375" style="143" customWidth="1"/>
    <col min="15" max="15" width="14" style="4" bestFit="1" customWidth="1"/>
    <col min="16" max="16" width="4.5703125" style="143" customWidth="1"/>
    <col min="17" max="17" width="122.85546875" style="143" customWidth="1"/>
    <col min="18" max="19" width="8.28515625" style="143" customWidth="1"/>
    <col min="20" max="20" width="12.7109375" style="143" customWidth="1"/>
    <col min="21" max="22" width="8.28515625" style="143" customWidth="1"/>
    <col min="23" max="23" width="12.7109375" style="143" customWidth="1"/>
    <col min="24" max="16384" width="9.140625" style="143"/>
  </cols>
  <sheetData>
    <row r="1" spans="1:23" ht="18" x14ac:dyDescent="0.25">
      <c r="A1" s="577" t="s">
        <v>222</v>
      </c>
      <c r="B1" s="577"/>
      <c r="C1" s="577"/>
      <c r="D1" s="577"/>
      <c r="E1" s="577"/>
      <c r="F1" s="577"/>
      <c r="G1" s="577"/>
      <c r="H1" s="577"/>
      <c r="I1" s="577"/>
      <c r="J1" s="577"/>
      <c r="K1" s="577"/>
      <c r="L1" s="577"/>
      <c r="M1" s="577"/>
      <c r="N1" s="577"/>
      <c r="O1" s="51" t="s">
        <v>10</v>
      </c>
      <c r="P1" s="6"/>
      <c r="Q1" s="199"/>
      <c r="R1" s="6"/>
      <c r="S1" s="6"/>
      <c r="T1" s="6"/>
      <c r="U1" s="6"/>
      <c r="V1" s="6"/>
      <c r="W1" s="6"/>
    </row>
    <row r="2" spans="1:23" ht="15" x14ac:dyDescent="0.2">
      <c r="A2" s="578" t="s">
        <v>152</v>
      </c>
      <c r="B2" s="578"/>
      <c r="C2" s="578"/>
      <c r="D2" s="578"/>
      <c r="E2" s="578"/>
      <c r="F2" s="578"/>
      <c r="G2" s="578"/>
      <c r="H2" s="578"/>
      <c r="I2" s="578"/>
      <c r="J2" s="578"/>
      <c r="K2" s="578"/>
      <c r="L2" s="578"/>
      <c r="M2" s="578"/>
      <c r="N2" s="578"/>
      <c r="O2" s="51" t="s">
        <v>10</v>
      </c>
      <c r="P2" s="7"/>
      <c r="Q2" s="198"/>
      <c r="R2" s="7"/>
      <c r="S2" s="7"/>
      <c r="T2" s="7"/>
      <c r="U2" s="7"/>
      <c r="V2" s="7"/>
      <c r="W2" s="7"/>
    </row>
    <row r="3" spans="1:23" x14ac:dyDescent="0.2">
      <c r="A3" s="579" t="s">
        <v>188</v>
      </c>
      <c r="B3" s="579"/>
      <c r="C3" s="579"/>
      <c r="D3" s="579"/>
      <c r="E3" s="579"/>
      <c r="F3" s="579"/>
      <c r="G3" s="579"/>
      <c r="H3" s="579"/>
      <c r="I3" s="579"/>
      <c r="J3" s="579"/>
      <c r="K3" s="579"/>
      <c r="L3" s="579"/>
      <c r="M3" s="579"/>
      <c r="N3" s="579"/>
      <c r="O3" s="51" t="s">
        <v>10</v>
      </c>
      <c r="P3" s="163"/>
      <c r="Q3" s="198"/>
      <c r="R3" s="163"/>
      <c r="S3" s="163"/>
      <c r="T3" s="163"/>
      <c r="U3" s="163"/>
      <c r="V3" s="163"/>
      <c r="W3" s="163"/>
    </row>
    <row r="4" spans="1:23" x14ac:dyDescent="0.2">
      <c r="A4" s="608" t="s">
        <v>1</v>
      </c>
      <c r="B4" s="608"/>
      <c r="C4" s="608"/>
      <c r="D4" s="608"/>
      <c r="E4" s="608"/>
      <c r="F4" s="608"/>
      <c r="G4" s="608"/>
      <c r="H4" s="608"/>
      <c r="I4" s="608"/>
      <c r="J4" s="608"/>
      <c r="K4" s="608"/>
      <c r="L4" s="608"/>
      <c r="M4" s="608"/>
      <c r="N4" s="608"/>
      <c r="O4" s="51" t="s">
        <v>10</v>
      </c>
      <c r="P4" s="162"/>
      <c r="Q4" s="198"/>
      <c r="R4" s="162"/>
      <c r="S4" s="162"/>
      <c r="T4" s="162"/>
      <c r="U4" s="162"/>
      <c r="V4" s="162"/>
      <c r="W4" s="162"/>
    </row>
    <row r="5" spans="1:23" ht="15" x14ac:dyDescent="0.25">
      <c r="A5" s="579"/>
      <c r="B5" s="579"/>
      <c r="C5" s="579"/>
      <c r="D5" s="579"/>
      <c r="E5" s="579"/>
      <c r="F5" s="579"/>
      <c r="G5" s="579"/>
      <c r="H5" s="579"/>
      <c r="I5" s="579"/>
      <c r="J5" s="579"/>
      <c r="K5" s="579"/>
      <c r="L5" s="579"/>
      <c r="M5" s="579"/>
      <c r="N5" s="579"/>
      <c r="O5" s="51" t="s">
        <v>10</v>
      </c>
      <c r="P5" s="162"/>
      <c r="Q5" s="241"/>
      <c r="R5" s="162"/>
      <c r="S5" s="162"/>
      <c r="T5" s="162"/>
      <c r="U5" s="162"/>
      <c r="V5" s="162"/>
      <c r="W5" s="162"/>
    </row>
    <row r="6" spans="1:23" ht="15" thickBot="1" x14ac:dyDescent="0.25">
      <c r="A6" s="613"/>
      <c r="B6" s="613"/>
      <c r="C6" s="613"/>
      <c r="D6" s="613"/>
      <c r="E6" s="613"/>
      <c r="F6" s="613"/>
      <c r="G6" s="613"/>
      <c r="H6" s="613"/>
      <c r="I6" s="613"/>
      <c r="J6" s="613"/>
      <c r="K6" s="613"/>
      <c r="L6" s="613"/>
      <c r="M6" s="613"/>
      <c r="N6" s="613"/>
      <c r="O6" s="51" t="s">
        <v>10</v>
      </c>
      <c r="P6" s="162"/>
      <c r="Q6" s="276"/>
      <c r="R6" s="162"/>
      <c r="S6" s="162"/>
      <c r="T6" s="162"/>
      <c r="U6" s="162"/>
      <c r="V6" s="162"/>
      <c r="W6" s="162"/>
    </row>
    <row r="7" spans="1:23" ht="46.5" customHeight="1" x14ac:dyDescent="0.2">
      <c r="A7" s="623" t="s">
        <v>221</v>
      </c>
      <c r="B7" s="630"/>
      <c r="C7" s="588" t="s">
        <v>126</v>
      </c>
      <c r="D7" s="588"/>
      <c r="E7" s="588" t="s">
        <v>148</v>
      </c>
      <c r="F7" s="588"/>
      <c r="G7" s="588" t="s">
        <v>123</v>
      </c>
      <c r="H7" s="588"/>
      <c r="I7" s="588" t="s">
        <v>128</v>
      </c>
      <c r="J7" s="588"/>
      <c r="K7" s="588" t="s">
        <v>129</v>
      </c>
      <c r="L7" s="588"/>
      <c r="M7" s="588" t="s">
        <v>124</v>
      </c>
      <c r="N7" s="589"/>
      <c r="O7" s="51" t="s">
        <v>10</v>
      </c>
    </row>
    <row r="8" spans="1:23" ht="42.75" x14ac:dyDescent="0.2">
      <c r="A8" s="624"/>
      <c r="B8" s="631"/>
      <c r="C8" s="235" t="s">
        <v>220</v>
      </c>
      <c r="D8" s="235" t="s">
        <v>219</v>
      </c>
      <c r="E8" s="235" t="s">
        <v>220</v>
      </c>
      <c r="F8" s="235" t="s">
        <v>219</v>
      </c>
      <c r="G8" s="235" t="s">
        <v>220</v>
      </c>
      <c r="H8" s="235" t="s">
        <v>219</v>
      </c>
      <c r="I8" s="235" t="s">
        <v>220</v>
      </c>
      <c r="J8" s="235" t="s">
        <v>219</v>
      </c>
      <c r="K8" s="235" t="s">
        <v>220</v>
      </c>
      <c r="L8" s="235" t="s">
        <v>219</v>
      </c>
      <c r="M8" s="235" t="s">
        <v>220</v>
      </c>
      <c r="N8" s="234" t="s">
        <v>219</v>
      </c>
      <c r="O8" s="51" t="s">
        <v>10</v>
      </c>
    </row>
    <row r="9" spans="1:23" ht="45" hidden="1" x14ac:dyDescent="0.2">
      <c r="A9" s="272" t="s">
        <v>218</v>
      </c>
      <c r="B9" s="271" t="s">
        <v>217</v>
      </c>
      <c r="C9" s="270"/>
      <c r="D9" s="270"/>
      <c r="E9" s="270"/>
      <c r="F9" s="270"/>
      <c r="G9" s="270"/>
      <c r="H9" s="270"/>
      <c r="I9" s="270"/>
      <c r="J9" s="270"/>
      <c r="K9" s="270"/>
      <c r="L9" s="270"/>
      <c r="M9" s="270"/>
      <c r="N9" s="269"/>
      <c r="O9" s="51" t="s">
        <v>10</v>
      </c>
    </row>
    <row r="10" spans="1:23" ht="42.75" hidden="1" x14ac:dyDescent="0.2">
      <c r="A10" s="267">
        <v>1.1000000000000001</v>
      </c>
      <c r="B10" s="266" t="s">
        <v>216</v>
      </c>
      <c r="C10" s="154">
        <v>0</v>
      </c>
      <c r="D10" s="275">
        <v>0</v>
      </c>
      <c r="E10" s="154">
        <v>0</v>
      </c>
      <c r="F10" s="154">
        <v>0</v>
      </c>
      <c r="G10" s="154">
        <v>0</v>
      </c>
      <c r="H10" s="154">
        <v>0</v>
      </c>
      <c r="I10" s="154">
        <v>0</v>
      </c>
      <c r="J10" s="154">
        <v>0</v>
      </c>
      <c r="K10" s="154">
        <v>0</v>
      </c>
      <c r="L10" s="154">
        <v>0</v>
      </c>
      <c r="M10" s="154">
        <f t="shared" ref="M10:N12" si="0">G10+I10+K10</f>
        <v>0</v>
      </c>
      <c r="N10" s="151">
        <f t="shared" si="0"/>
        <v>0</v>
      </c>
      <c r="O10" s="51" t="s">
        <v>10</v>
      </c>
    </row>
    <row r="11" spans="1:23" hidden="1" x14ac:dyDescent="0.2">
      <c r="A11" s="267">
        <v>1.2</v>
      </c>
      <c r="B11" s="274" t="s">
        <v>215</v>
      </c>
      <c r="C11" s="154">
        <v>0</v>
      </c>
      <c r="D11" s="154">
        <v>0</v>
      </c>
      <c r="E11" s="154">
        <v>0</v>
      </c>
      <c r="F11" s="154">
        <v>0</v>
      </c>
      <c r="G11" s="154">
        <v>0</v>
      </c>
      <c r="H11" s="154">
        <v>0</v>
      </c>
      <c r="I11" s="154">
        <v>0</v>
      </c>
      <c r="J11" s="154">
        <v>0</v>
      </c>
      <c r="K11" s="154">
        <v>0</v>
      </c>
      <c r="L11" s="154">
        <v>0</v>
      </c>
      <c r="M11" s="154">
        <f t="shared" si="0"/>
        <v>0</v>
      </c>
      <c r="N11" s="151">
        <f t="shared" si="0"/>
        <v>0</v>
      </c>
      <c r="O11" s="51" t="s">
        <v>10</v>
      </c>
    </row>
    <row r="12" spans="1:23" ht="57" hidden="1" x14ac:dyDescent="0.2">
      <c r="A12" s="267">
        <v>1.3</v>
      </c>
      <c r="B12" s="266" t="s">
        <v>214</v>
      </c>
      <c r="C12" s="154">
        <v>0</v>
      </c>
      <c r="D12" s="154">
        <v>0</v>
      </c>
      <c r="E12" s="154">
        <v>0</v>
      </c>
      <c r="F12" s="154">
        <v>0</v>
      </c>
      <c r="G12" s="154">
        <v>0</v>
      </c>
      <c r="H12" s="154">
        <v>0</v>
      </c>
      <c r="I12" s="154">
        <v>0</v>
      </c>
      <c r="J12" s="154">
        <v>0</v>
      </c>
      <c r="K12" s="154">
        <v>0</v>
      </c>
      <c r="L12" s="154">
        <v>0</v>
      </c>
      <c r="M12" s="154">
        <f t="shared" si="0"/>
        <v>0</v>
      </c>
      <c r="N12" s="151">
        <f t="shared" si="0"/>
        <v>0</v>
      </c>
      <c r="O12" s="51" t="s">
        <v>10</v>
      </c>
    </row>
    <row r="13" spans="1:23" ht="45" hidden="1" customHeight="1" x14ac:dyDescent="0.2">
      <c r="A13" s="264">
        <v>1.4</v>
      </c>
      <c r="B13" s="263" t="s">
        <v>213</v>
      </c>
      <c r="C13" s="204"/>
      <c r="D13" s="204"/>
      <c r="E13" s="204"/>
      <c r="F13" s="204"/>
      <c r="G13" s="204"/>
      <c r="H13" s="204"/>
      <c r="I13" s="204"/>
      <c r="J13" s="204"/>
      <c r="K13" s="204"/>
      <c r="L13" s="204"/>
      <c r="M13" s="204"/>
      <c r="N13" s="203"/>
      <c r="O13" s="51" t="s">
        <v>10</v>
      </c>
    </row>
    <row r="14" spans="1:23" ht="15" hidden="1" x14ac:dyDescent="0.25">
      <c r="A14" s="262"/>
      <c r="B14" s="273" t="s">
        <v>212</v>
      </c>
      <c r="C14" s="25">
        <f t="shared" ref="C14:N14" si="1">SUM(C10:C13)</f>
        <v>0</v>
      </c>
      <c r="D14" s="25">
        <f t="shared" si="1"/>
        <v>0</v>
      </c>
      <c r="E14" s="25">
        <f t="shared" si="1"/>
        <v>0</v>
      </c>
      <c r="F14" s="25">
        <f t="shared" si="1"/>
        <v>0</v>
      </c>
      <c r="G14" s="25">
        <f t="shared" si="1"/>
        <v>0</v>
      </c>
      <c r="H14" s="25">
        <f t="shared" si="1"/>
        <v>0</v>
      </c>
      <c r="I14" s="25">
        <f t="shared" si="1"/>
        <v>0</v>
      </c>
      <c r="J14" s="25">
        <f t="shared" si="1"/>
        <v>0</v>
      </c>
      <c r="K14" s="25">
        <f t="shared" si="1"/>
        <v>0</v>
      </c>
      <c r="L14" s="25">
        <f t="shared" si="1"/>
        <v>0</v>
      </c>
      <c r="M14" s="25">
        <f t="shared" si="1"/>
        <v>0</v>
      </c>
      <c r="N14" s="26">
        <f t="shared" si="1"/>
        <v>0</v>
      </c>
      <c r="O14" s="51" t="s">
        <v>10</v>
      </c>
    </row>
    <row r="15" spans="1:23" ht="30" hidden="1" x14ac:dyDescent="0.2">
      <c r="A15" s="272" t="s">
        <v>211</v>
      </c>
      <c r="B15" s="271" t="s">
        <v>210</v>
      </c>
      <c r="C15" s="270"/>
      <c r="D15" s="270"/>
      <c r="E15" s="270"/>
      <c r="F15" s="270"/>
      <c r="G15" s="270"/>
      <c r="H15" s="270"/>
      <c r="I15" s="270"/>
      <c r="J15" s="270"/>
      <c r="K15" s="270"/>
      <c r="L15" s="270"/>
      <c r="M15" s="270"/>
      <c r="N15" s="269"/>
      <c r="O15" s="51" t="s">
        <v>10</v>
      </c>
    </row>
    <row r="16" spans="1:23" ht="57" hidden="1" x14ac:dyDescent="0.2">
      <c r="A16" s="267">
        <v>2.1</v>
      </c>
      <c r="B16" s="266" t="s">
        <v>209</v>
      </c>
      <c r="C16" s="154">
        <v>0</v>
      </c>
      <c r="D16" s="154">
        <v>0</v>
      </c>
      <c r="E16" s="154">
        <v>0</v>
      </c>
      <c r="F16" s="154">
        <v>0</v>
      </c>
      <c r="G16" s="154">
        <v>0</v>
      </c>
      <c r="H16" s="154">
        <v>0</v>
      </c>
      <c r="I16" s="154">
        <v>0</v>
      </c>
      <c r="J16" s="154">
        <v>0</v>
      </c>
      <c r="K16" s="154">
        <v>0</v>
      </c>
      <c r="L16" s="154">
        <v>0</v>
      </c>
      <c r="M16" s="154">
        <f t="shared" ref="M16:N21" si="2">G16+I16+K16</f>
        <v>0</v>
      </c>
      <c r="N16" s="151">
        <f t="shared" si="2"/>
        <v>0</v>
      </c>
      <c r="O16" s="51" t="s">
        <v>10</v>
      </c>
    </row>
    <row r="17" spans="1:15" ht="48.75" hidden="1" customHeight="1" x14ac:dyDescent="0.2">
      <c r="A17" s="267">
        <v>2.2000000000000002</v>
      </c>
      <c r="B17" s="266" t="s">
        <v>208</v>
      </c>
      <c r="C17" s="154">
        <v>0</v>
      </c>
      <c r="D17" s="154">
        <v>0</v>
      </c>
      <c r="E17" s="154">
        <v>0</v>
      </c>
      <c r="F17" s="154">
        <v>0</v>
      </c>
      <c r="G17" s="154">
        <v>0</v>
      </c>
      <c r="H17" s="154">
        <v>0</v>
      </c>
      <c r="I17" s="154">
        <v>0</v>
      </c>
      <c r="J17" s="154">
        <v>0</v>
      </c>
      <c r="K17" s="154">
        <v>0</v>
      </c>
      <c r="L17" s="154">
        <v>0</v>
      </c>
      <c r="M17" s="154">
        <f t="shared" si="2"/>
        <v>0</v>
      </c>
      <c r="N17" s="151">
        <f t="shared" si="2"/>
        <v>0</v>
      </c>
      <c r="O17" s="51" t="s">
        <v>10</v>
      </c>
    </row>
    <row r="18" spans="1:15" ht="42.75" hidden="1" x14ac:dyDescent="0.2">
      <c r="A18" s="267">
        <v>2.2999999999999998</v>
      </c>
      <c r="B18" s="266" t="s">
        <v>207</v>
      </c>
      <c r="C18" s="154">
        <v>0</v>
      </c>
      <c r="D18" s="154">
        <v>0</v>
      </c>
      <c r="E18" s="154">
        <v>0</v>
      </c>
      <c r="F18" s="154">
        <v>0</v>
      </c>
      <c r="G18" s="154">
        <v>0</v>
      </c>
      <c r="H18" s="154">
        <v>0</v>
      </c>
      <c r="I18" s="154">
        <v>0</v>
      </c>
      <c r="J18" s="154">
        <v>0</v>
      </c>
      <c r="K18" s="154">
        <v>0</v>
      </c>
      <c r="L18" s="154">
        <v>0</v>
      </c>
      <c r="M18" s="154">
        <f t="shared" si="2"/>
        <v>0</v>
      </c>
      <c r="N18" s="151">
        <f t="shared" si="2"/>
        <v>0</v>
      </c>
      <c r="O18" s="51" t="s">
        <v>10</v>
      </c>
    </row>
    <row r="19" spans="1:15" ht="28.5" hidden="1" x14ac:dyDescent="0.2">
      <c r="A19" s="267">
        <v>2.4</v>
      </c>
      <c r="B19" s="266" t="s">
        <v>206</v>
      </c>
      <c r="C19" s="154">
        <v>0</v>
      </c>
      <c r="D19" s="154">
        <v>0</v>
      </c>
      <c r="E19" s="154">
        <v>0</v>
      </c>
      <c r="F19" s="154">
        <v>0</v>
      </c>
      <c r="G19" s="154">
        <v>0</v>
      </c>
      <c r="H19" s="154">
        <v>0</v>
      </c>
      <c r="I19" s="154">
        <v>0</v>
      </c>
      <c r="J19" s="154">
        <v>0</v>
      </c>
      <c r="K19" s="154">
        <v>0</v>
      </c>
      <c r="L19" s="154">
        <v>0</v>
      </c>
      <c r="M19" s="154">
        <f t="shared" si="2"/>
        <v>0</v>
      </c>
      <c r="N19" s="151">
        <f t="shared" si="2"/>
        <v>0</v>
      </c>
      <c r="O19" s="51" t="s">
        <v>10</v>
      </c>
    </row>
    <row r="20" spans="1:15" ht="28.5" hidden="1" x14ac:dyDescent="0.2">
      <c r="A20" s="267">
        <v>2.5</v>
      </c>
      <c r="B20" s="266" t="s">
        <v>205</v>
      </c>
      <c r="C20" s="154">
        <v>0</v>
      </c>
      <c r="D20" s="154">
        <v>0</v>
      </c>
      <c r="E20" s="154">
        <v>0</v>
      </c>
      <c r="F20" s="154">
        <v>0</v>
      </c>
      <c r="G20" s="154">
        <v>0</v>
      </c>
      <c r="H20" s="154">
        <v>0</v>
      </c>
      <c r="I20" s="154">
        <v>0</v>
      </c>
      <c r="J20" s="154">
        <v>0</v>
      </c>
      <c r="K20" s="154">
        <v>0</v>
      </c>
      <c r="L20" s="154">
        <v>0</v>
      </c>
      <c r="M20" s="154">
        <f t="shared" si="2"/>
        <v>0</v>
      </c>
      <c r="N20" s="151">
        <f t="shared" si="2"/>
        <v>0</v>
      </c>
      <c r="O20" s="51" t="s">
        <v>10</v>
      </c>
    </row>
    <row r="21" spans="1:15" ht="28.5" hidden="1" x14ac:dyDescent="0.2">
      <c r="A21" s="267">
        <v>2.6</v>
      </c>
      <c r="B21" s="266" t="s">
        <v>204</v>
      </c>
      <c r="C21" s="154">
        <v>0</v>
      </c>
      <c r="D21" s="154">
        <v>0</v>
      </c>
      <c r="E21" s="154">
        <v>0</v>
      </c>
      <c r="F21" s="154">
        <v>0</v>
      </c>
      <c r="G21" s="154">
        <v>0</v>
      </c>
      <c r="H21" s="154">
        <v>0</v>
      </c>
      <c r="I21" s="154">
        <v>0</v>
      </c>
      <c r="J21" s="154">
        <v>0</v>
      </c>
      <c r="K21" s="154">
        <v>0</v>
      </c>
      <c r="L21" s="154">
        <v>0</v>
      </c>
      <c r="M21" s="154">
        <f t="shared" si="2"/>
        <v>0</v>
      </c>
      <c r="N21" s="151">
        <f t="shared" si="2"/>
        <v>0</v>
      </c>
      <c r="O21" s="51" t="s">
        <v>10</v>
      </c>
    </row>
    <row r="22" spans="1:15" ht="15" hidden="1" x14ac:dyDescent="0.25">
      <c r="A22" s="262"/>
      <c r="B22" s="273" t="s">
        <v>203</v>
      </c>
      <c r="C22" s="25">
        <f t="shared" ref="C22:N22" si="3">SUM(C16:C21)</f>
        <v>0</v>
      </c>
      <c r="D22" s="25">
        <f t="shared" si="3"/>
        <v>0</v>
      </c>
      <c r="E22" s="25">
        <f t="shared" si="3"/>
        <v>0</v>
      </c>
      <c r="F22" s="25">
        <f t="shared" si="3"/>
        <v>0</v>
      </c>
      <c r="G22" s="25">
        <f t="shared" si="3"/>
        <v>0</v>
      </c>
      <c r="H22" s="25">
        <f t="shared" si="3"/>
        <v>0</v>
      </c>
      <c r="I22" s="25">
        <f t="shared" si="3"/>
        <v>0</v>
      </c>
      <c r="J22" s="25">
        <f t="shared" si="3"/>
        <v>0</v>
      </c>
      <c r="K22" s="25">
        <f t="shared" si="3"/>
        <v>0</v>
      </c>
      <c r="L22" s="25">
        <f t="shared" si="3"/>
        <v>0</v>
      </c>
      <c r="M22" s="25">
        <f t="shared" si="3"/>
        <v>0</v>
      </c>
      <c r="N22" s="26">
        <f t="shared" si="3"/>
        <v>0</v>
      </c>
      <c r="O22" s="51" t="s">
        <v>10</v>
      </c>
    </row>
    <row r="23" spans="1:15" ht="45" x14ac:dyDescent="0.2">
      <c r="A23" s="272" t="s">
        <v>202</v>
      </c>
      <c r="B23" s="271" t="s">
        <v>201</v>
      </c>
      <c r="C23" s="270"/>
      <c r="D23" s="270"/>
      <c r="E23" s="270"/>
      <c r="F23" s="270"/>
      <c r="G23" s="270"/>
      <c r="H23" s="270"/>
      <c r="I23" s="270"/>
      <c r="J23" s="270"/>
      <c r="K23" s="270"/>
      <c r="L23" s="270"/>
      <c r="M23" s="270"/>
      <c r="N23" s="269"/>
      <c r="O23" s="51" t="s">
        <v>10</v>
      </c>
    </row>
    <row r="24" spans="1:15" ht="57" x14ac:dyDescent="0.2">
      <c r="A24" s="267">
        <v>3.1</v>
      </c>
      <c r="B24" s="266" t="s">
        <v>200</v>
      </c>
      <c r="C24" s="154">
        <v>0</v>
      </c>
      <c r="D24" s="154">
        <v>119132</v>
      </c>
      <c r="E24" s="154">
        <v>0</v>
      </c>
      <c r="F24" s="154">
        <v>120000</v>
      </c>
      <c r="G24" s="154">
        <v>0</v>
      </c>
      <c r="H24" s="154">
        <v>120000</v>
      </c>
      <c r="I24" s="154">
        <v>0</v>
      </c>
      <c r="J24" s="154">
        <v>21900</v>
      </c>
      <c r="K24" s="154">
        <v>0</v>
      </c>
      <c r="L24" s="268">
        <v>-5000</v>
      </c>
      <c r="M24" s="154">
        <f t="shared" ref="M24:N27" si="4">G24+I24+K24</f>
        <v>0</v>
      </c>
      <c r="N24" s="151">
        <f t="shared" si="4"/>
        <v>136900</v>
      </c>
      <c r="O24" s="51" t="s">
        <v>10</v>
      </c>
    </row>
    <row r="25" spans="1:15" ht="42.75" hidden="1" x14ac:dyDescent="0.2">
      <c r="A25" s="267">
        <v>3.2</v>
      </c>
      <c r="B25" s="266" t="s">
        <v>199</v>
      </c>
      <c r="C25" s="154">
        <v>0</v>
      </c>
      <c r="D25" s="154">
        <v>0</v>
      </c>
      <c r="E25" s="154">
        <v>0</v>
      </c>
      <c r="F25" s="154">
        <v>0</v>
      </c>
      <c r="G25" s="154">
        <v>0</v>
      </c>
      <c r="H25" s="154">
        <v>0</v>
      </c>
      <c r="I25" s="154">
        <v>0</v>
      </c>
      <c r="J25" s="154">
        <v>0</v>
      </c>
      <c r="K25" s="154">
        <v>0</v>
      </c>
      <c r="L25" s="154">
        <v>0</v>
      </c>
      <c r="M25" s="154">
        <f t="shared" si="4"/>
        <v>0</v>
      </c>
      <c r="N25" s="151">
        <f t="shared" si="4"/>
        <v>0</v>
      </c>
      <c r="O25" s="51" t="s">
        <v>10</v>
      </c>
    </row>
    <row r="26" spans="1:15" ht="42.75" hidden="1" x14ac:dyDescent="0.2">
      <c r="A26" s="267">
        <v>3.3</v>
      </c>
      <c r="B26" s="266" t="s">
        <v>198</v>
      </c>
      <c r="C26" s="154">
        <v>0</v>
      </c>
      <c r="D26" s="154">
        <v>0</v>
      </c>
      <c r="E26" s="154">
        <v>0</v>
      </c>
      <c r="F26" s="154">
        <v>0</v>
      </c>
      <c r="G26" s="154">
        <v>0</v>
      </c>
      <c r="H26" s="154">
        <v>0</v>
      </c>
      <c r="I26" s="154">
        <v>0</v>
      </c>
      <c r="J26" s="154">
        <v>0</v>
      </c>
      <c r="K26" s="154">
        <v>0</v>
      </c>
      <c r="L26" s="154">
        <v>0</v>
      </c>
      <c r="M26" s="154">
        <f t="shared" si="4"/>
        <v>0</v>
      </c>
      <c r="N26" s="151">
        <f t="shared" si="4"/>
        <v>0</v>
      </c>
      <c r="O26" s="51" t="s">
        <v>10</v>
      </c>
    </row>
    <row r="27" spans="1:15" ht="57" hidden="1" x14ac:dyDescent="0.2">
      <c r="A27" s="267">
        <v>3.4</v>
      </c>
      <c r="B27" s="266" t="s">
        <v>197</v>
      </c>
      <c r="C27" s="154">
        <v>0</v>
      </c>
      <c r="D27" s="154">
        <v>0</v>
      </c>
      <c r="E27" s="154">
        <v>0</v>
      </c>
      <c r="F27" s="154">
        <v>0</v>
      </c>
      <c r="G27" s="154">
        <v>0</v>
      </c>
      <c r="H27" s="154">
        <v>0</v>
      </c>
      <c r="I27" s="154">
        <v>0</v>
      </c>
      <c r="J27" s="154">
        <v>0</v>
      </c>
      <c r="K27" s="154">
        <v>0</v>
      </c>
      <c r="L27" s="154">
        <v>0</v>
      </c>
      <c r="M27" s="154">
        <f t="shared" si="4"/>
        <v>0</v>
      </c>
      <c r="N27" s="151">
        <f t="shared" si="4"/>
        <v>0</v>
      </c>
      <c r="O27" s="51" t="s">
        <v>10</v>
      </c>
    </row>
    <row r="28" spans="1:15" ht="28.5" hidden="1" x14ac:dyDescent="0.2">
      <c r="A28" s="264">
        <v>3.5</v>
      </c>
      <c r="B28" s="263" t="s">
        <v>196</v>
      </c>
      <c r="C28" s="154">
        <v>0</v>
      </c>
      <c r="D28" s="154">
        <v>0</v>
      </c>
      <c r="E28" s="154">
        <v>0</v>
      </c>
      <c r="F28" s="154">
        <v>0</v>
      </c>
      <c r="G28" s="154">
        <v>0</v>
      </c>
      <c r="H28" s="154">
        <v>0</v>
      </c>
      <c r="I28" s="154">
        <v>0</v>
      </c>
      <c r="J28" s="154">
        <v>0</v>
      </c>
      <c r="K28" s="154">
        <v>0</v>
      </c>
      <c r="L28" s="154">
        <v>0</v>
      </c>
      <c r="M28" s="154">
        <f t="shared" ref="M28:M31" si="5">G28+I28+K28</f>
        <v>0</v>
      </c>
      <c r="N28" s="151">
        <f t="shared" ref="N28:N31" si="6">H28+J28+L28</f>
        <v>0</v>
      </c>
      <c r="O28" s="51" t="s">
        <v>10</v>
      </c>
    </row>
    <row r="29" spans="1:15" ht="57" hidden="1" x14ac:dyDescent="0.2">
      <c r="A29" s="264">
        <v>3.6</v>
      </c>
      <c r="B29" s="263" t="s">
        <v>195</v>
      </c>
      <c r="C29" s="154">
        <v>0</v>
      </c>
      <c r="D29" s="154">
        <v>0</v>
      </c>
      <c r="E29" s="154">
        <v>0</v>
      </c>
      <c r="F29" s="154">
        <v>0</v>
      </c>
      <c r="G29" s="154">
        <v>0</v>
      </c>
      <c r="H29" s="154">
        <v>0</v>
      </c>
      <c r="I29" s="154">
        <v>0</v>
      </c>
      <c r="J29" s="154">
        <v>0</v>
      </c>
      <c r="K29" s="154">
        <v>0</v>
      </c>
      <c r="L29" s="154">
        <v>0</v>
      </c>
      <c r="M29" s="154">
        <f t="shared" si="5"/>
        <v>0</v>
      </c>
      <c r="N29" s="151">
        <f t="shared" si="6"/>
        <v>0</v>
      </c>
      <c r="O29" s="51" t="s">
        <v>10</v>
      </c>
    </row>
    <row r="30" spans="1:15" ht="28.5" hidden="1" x14ac:dyDescent="0.2">
      <c r="A30" s="264">
        <v>3.7</v>
      </c>
      <c r="B30" s="265" t="s">
        <v>194</v>
      </c>
      <c r="C30" s="154">
        <v>0</v>
      </c>
      <c r="D30" s="154">
        <v>0</v>
      </c>
      <c r="E30" s="154">
        <v>0</v>
      </c>
      <c r="F30" s="154">
        <v>0</v>
      </c>
      <c r="G30" s="154">
        <v>0</v>
      </c>
      <c r="H30" s="154">
        <v>0</v>
      </c>
      <c r="I30" s="154">
        <v>0</v>
      </c>
      <c r="J30" s="154">
        <v>0</v>
      </c>
      <c r="K30" s="154">
        <v>0</v>
      </c>
      <c r="L30" s="154">
        <v>0</v>
      </c>
      <c r="M30" s="154">
        <f t="shared" si="5"/>
        <v>0</v>
      </c>
      <c r="N30" s="151">
        <f t="shared" si="6"/>
        <v>0</v>
      </c>
      <c r="O30" s="51" t="s">
        <v>10</v>
      </c>
    </row>
    <row r="31" spans="1:15" ht="71.25" hidden="1" x14ac:dyDescent="0.2">
      <c r="A31" s="264">
        <v>3.8</v>
      </c>
      <c r="B31" s="263" t="s">
        <v>193</v>
      </c>
      <c r="C31" s="154">
        <v>0</v>
      </c>
      <c r="D31" s="154">
        <v>0</v>
      </c>
      <c r="E31" s="154">
        <v>0</v>
      </c>
      <c r="F31" s="154">
        <v>0</v>
      </c>
      <c r="G31" s="154">
        <v>0</v>
      </c>
      <c r="H31" s="154">
        <v>0</v>
      </c>
      <c r="I31" s="154">
        <v>0</v>
      </c>
      <c r="J31" s="154">
        <v>0</v>
      </c>
      <c r="K31" s="154">
        <v>0</v>
      </c>
      <c r="L31" s="154">
        <v>0</v>
      </c>
      <c r="M31" s="154">
        <f t="shared" si="5"/>
        <v>0</v>
      </c>
      <c r="N31" s="151">
        <f t="shared" si="6"/>
        <v>0</v>
      </c>
      <c r="O31" s="51" t="s">
        <v>10</v>
      </c>
    </row>
    <row r="32" spans="1:15" ht="15" x14ac:dyDescent="0.25">
      <c r="A32" s="262"/>
      <c r="B32" s="261" t="s">
        <v>192</v>
      </c>
      <c r="C32" s="25">
        <f t="shared" ref="C32:N32" si="7">SUM(C24:C31)</f>
        <v>0</v>
      </c>
      <c r="D32" s="25">
        <f t="shared" si="7"/>
        <v>119132</v>
      </c>
      <c r="E32" s="25">
        <f t="shared" si="7"/>
        <v>0</v>
      </c>
      <c r="F32" s="25">
        <f t="shared" si="7"/>
        <v>120000</v>
      </c>
      <c r="G32" s="25">
        <f t="shared" si="7"/>
        <v>0</v>
      </c>
      <c r="H32" s="25">
        <f t="shared" si="7"/>
        <v>120000</v>
      </c>
      <c r="I32" s="25">
        <f t="shared" si="7"/>
        <v>0</v>
      </c>
      <c r="J32" s="25">
        <f t="shared" si="7"/>
        <v>21900</v>
      </c>
      <c r="K32" s="25">
        <f t="shared" si="7"/>
        <v>0</v>
      </c>
      <c r="L32" s="260">
        <f t="shared" si="7"/>
        <v>-5000</v>
      </c>
      <c r="M32" s="25">
        <f t="shared" si="7"/>
        <v>0</v>
      </c>
      <c r="N32" s="26">
        <f t="shared" si="7"/>
        <v>136900</v>
      </c>
      <c r="O32" s="51" t="s">
        <v>10</v>
      </c>
    </row>
    <row r="33" spans="1:17" ht="15.75" thickBot="1" x14ac:dyDescent="0.3">
      <c r="A33" s="259"/>
      <c r="B33" s="258" t="s">
        <v>191</v>
      </c>
      <c r="C33" s="27">
        <f t="shared" ref="C33:N33" si="8">C32+C22+C14</f>
        <v>0</v>
      </c>
      <c r="D33" s="27">
        <f t="shared" si="8"/>
        <v>119132</v>
      </c>
      <c r="E33" s="27">
        <f t="shared" si="8"/>
        <v>0</v>
      </c>
      <c r="F33" s="27">
        <f t="shared" si="8"/>
        <v>120000</v>
      </c>
      <c r="G33" s="27">
        <f t="shared" si="8"/>
        <v>0</v>
      </c>
      <c r="H33" s="27">
        <f t="shared" si="8"/>
        <v>120000</v>
      </c>
      <c r="I33" s="27">
        <f t="shared" si="8"/>
        <v>0</v>
      </c>
      <c r="J33" s="27">
        <f t="shared" si="8"/>
        <v>21900</v>
      </c>
      <c r="K33" s="27">
        <f t="shared" si="8"/>
        <v>0</v>
      </c>
      <c r="L33" s="246">
        <f t="shared" si="8"/>
        <v>-5000</v>
      </c>
      <c r="M33" s="27">
        <f t="shared" si="8"/>
        <v>0</v>
      </c>
      <c r="N33" s="251">
        <f t="shared" si="8"/>
        <v>136900</v>
      </c>
      <c r="O33" s="51" t="s">
        <v>10</v>
      </c>
      <c r="Q33" s="5"/>
    </row>
    <row r="34" spans="1:17" x14ac:dyDescent="0.2">
      <c r="O34" s="51" t="s">
        <v>10</v>
      </c>
    </row>
    <row r="35" spans="1:17" ht="15" x14ac:dyDescent="0.2">
      <c r="A35" s="629" t="s">
        <v>190</v>
      </c>
      <c r="B35" s="629"/>
      <c r="C35" s="629"/>
      <c r="D35" s="629"/>
      <c r="E35" s="629"/>
      <c r="F35" s="629"/>
      <c r="G35" s="629"/>
      <c r="H35" s="629"/>
      <c r="I35" s="629"/>
      <c r="J35" s="629"/>
      <c r="K35" s="629"/>
      <c r="L35" s="629"/>
      <c r="M35" s="629"/>
      <c r="N35" s="629"/>
      <c r="O35" s="51" t="s">
        <v>11</v>
      </c>
    </row>
    <row r="37" spans="1:17" x14ac:dyDescent="0.2">
      <c r="A37" s="257"/>
    </row>
  </sheetData>
  <customSheetViews>
    <customSheetView guid="{EE916FE7-61FB-4021-ADDD-E082241FC03C}" scale="80" showPageBreaks="1" printArea="1" view="pageBreakPreview" topLeftCell="A19">
      <selection activeCell="D8" sqref="D8:D9"/>
      <pageMargins left="0.7" right="0.7" top="0.75" bottom="0.75" header="0.3" footer="0.3"/>
      <printOptions horizontalCentered="1"/>
      <pageSetup scale="38" orientation="landscape" r:id="rId1"/>
      <headerFooter>
        <oddHeader>&amp;L&amp;"Arial,Bold"&amp;12D. Resources by DOJ Strategic Goal and Strategic Objective</oddHeader>
        <oddFooter>&amp;C&amp;"Arial,Regular"Exhibit D - Resources by DOJ Strategic Goal and Strategic Objective</oddFooter>
      </headerFooter>
    </customSheetView>
    <customSheetView guid="{0BB5DC4B-BC2A-4489-BE17-5E267FA1EF63}" scale="80" showPageBreaks="1" printArea="1" view="pageBreakPreview" topLeftCell="A19">
      <selection activeCell="D8" sqref="D8:D9"/>
      <pageMargins left="0.7" right="0.7" top="0.75" bottom="0.75" header="0.3" footer="0.3"/>
      <printOptions horizontalCentered="1"/>
      <pageSetup scale="38" orientation="landscape" r:id="rId2"/>
      <headerFooter>
        <oddHeader>&amp;L&amp;"Arial,Bold"&amp;12D. Resources by DOJ Strategic Goal and Strategic Objective</oddHeader>
        <oddFooter>&amp;C&amp;"Arial,Regular"Exhibit D - Resources by DOJ Strategic Goal and Strategic Objective</oddFooter>
      </headerFooter>
    </customSheetView>
    <customSheetView guid="{6C58FFE1-D756-42C4-A1BC-AA7F1DC1E56F}" scale="80" showPageBreaks="1" printArea="1" view="pageBreakPreview" topLeftCell="C25">
      <selection activeCell="G48" sqref="G48"/>
      <pageMargins left="0.7" right="0.7" top="0.75" bottom="0.75" header="0.3" footer="0.3"/>
      <printOptions horizontalCentered="1"/>
      <pageSetup scale="38" orientation="landscape" r:id="rId3"/>
      <headerFooter>
        <oddHeader>&amp;L&amp;"Arial,Bold"&amp;12D. Resources by DOJ Strategic Goal and Strategic Objective</oddHeader>
        <oddFooter>&amp;C&amp;"Arial,Regular"Exhibit D - Resources by DOJ Strategic Goal and Strategic Objective&amp;RResearch, Evaluation, and Statistics</oddFooter>
      </headerFooter>
    </customSheetView>
    <customSheetView guid="{CFA5D1C9-F4C9-4B8D-923D-4C71CB6E7D3B}" scale="80" showPageBreaks="1" printArea="1" view="pageBreakPreview" topLeftCell="A19">
      <selection activeCell="D8" sqref="D8:D9"/>
      <pageMargins left="0.7" right="0.7" top="0.75" bottom="0.75" header="0.3" footer="0.3"/>
      <printOptions horizontalCentered="1"/>
      <pageSetup scale="38" orientation="landscape" r:id="rId4"/>
      <headerFooter>
        <oddHeader>&amp;L&amp;"Arial,Bold"&amp;12D. Resources by DOJ Strategic Goal and Strategic Objective</oddHeader>
        <oddFooter>&amp;C&amp;"Arial,Regular"Exhibit D - Resources by DOJ Strategic Goal and Strategic Objective</oddFooter>
      </headerFooter>
    </customSheetView>
    <customSheetView guid="{A788DF77-74F1-49E4-8B34-BFBDB7664F30}" scale="80" showPageBreaks="1" printArea="1" view="pageBreakPreview" topLeftCell="C22">
      <selection activeCell="G48" sqref="G48"/>
      <pageMargins left="0.7" right="0.7" top="0.75" bottom="0.75" header="0.3" footer="0.3"/>
      <printOptions horizontalCentered="1"/>
      <pageSetup scale="38" orientation="landscape" r:id="rId5"/>
      <headerFooter>
        <oddHeader>&amp;L&amp;"Arial,Bold"&amp;12D. Resources by DOJ Strategic Goal and Strategic Objective</oddHeader>
        <oddFooter>&amp;C&amp;"Arial,Regular"Exhibit D - Resources by DOJ Strategic Goal and Strategic Objective&amp;R&amp;"Arial,Regular"Research, Evaluation, and Statistics</oddFooter>
      </headerFooter>
    </customSheetView>
  </customSheetViews>
  <mergeCells count="14">
    <mergeCell ref="A1:N1"/>
    <mergeCell ref="A2:N2"/>
    <mergeCell ref="A3:N3"/>
    <mergeCell ref="A4:N4"/>
    <mergeCell ref="A5:N5"/>
    <mergeCell ref="A35:N35"/>
    <mergeCell ref="M7:N7"/>
    <mergeCell ref="A7:B8"/>
    <mergeCell ref="A6:N6"/>
    <mergeCell ref="C7:D7"/>
    <mergeCell ref="E7:F7"/>
    <mergeCell ref="G7:H7"/>
    <mergeCell ref="I7:J7"/>
    <mergeCell ref="K7:L7"/>
  </mergeCells>
  <printOptions horizontalCentered="1"/>
  <pageMargins left="0.7" right="0.7" top="0.75" bottom="0.75" header="0.3" footer="0.3"/>
  <pageSetup scale="60" orientation="landscape" r:id="rId6"/>
  <headerFooter>
    <oddHeader>&amp;L&amp;"Arial,Bold"&amp;12D. Resources by DOJ Strategic Goal and Strategic Objective</oddHeader>
    <oddFooter>&amp;C&amp;"Arial,Regular"Exhibit D - Resources by DOJ Strategic Goal and Strategic Objective&amp;R&amp;"Arial,Regular"Research, Evaluation, and Statistics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9"/>
  <sheetViews>
    <sheetView view="pageBreakPreview" zoomScale="90" zoomScaleNormal="100" zoomScaleSheetLayoutView="90" workbookViewId="0">
      <selection activeCell="V23" sqref="V23"/>
    </sheetView>
  </sheetViews>
  <sheetFormatPr defaultRowHeight="14.25" x14ac:dyDescent="0.2"/>
  <cols>
    <col min="1" max="1" width="56.85546875" style="143" customWidth="1"/>
    <col min="2" max="3" width="8.28515625" style="143" customWidth="1"/>
    <col min="4" max="4" width="12.7109375" style="143" customWidth="1"/>
    <col min="5" max="5" width="7.140625" style="143" hidden="1" customWidth="1"/>
    <col min="6" max="7" width="8.7109375" style="143" hidden="1" customWidth="1"/>
    <col min="8" max="8" width="7.140625" style="143" customWidth="1"/>
    <col min="9" max="9" width="8.7109375" style="143" customWidth="1"/>
    <col min="10" max="10" width="11.140625" style="143" customWidth="1"/>
    <col min="11" max="11" width="9.28515625" style="143" customWidth="1"/>
    <col min="12" max="12" width="8.7109375" style="143" customWidth="1"/>
    <col min="13" max="13" width="11.5703125" style="143" customWidth="1"/>
    <col min="14" max="15" width="8.28515625" style="143" customWidth="1"/>
    <col min="16" max="16" width="11.5703125" style="143" customWidth="1"/>
    <col min="17" max="17" width="12.28515625" style="143" customWidth="1"/>
    <col min="18" max="18" width="12.7109375" style="143" customWidth="1"/>
    <col min="19" max="20" width="8.28515625" style="143" customWidth="1"/>
    <col min="21" max="21" width="12.42578125" style="143" customWidth="1"/>
    <col min="22" max="22" width="14" style="4" bestFit="1" customWidth="1"/>
    <col min="23" max="23" width="4.5703125" style="143" customWidth="1"/>
    <col min="24" max="24" width="116.7109375" style="143" customWidth="1"/>
    <col min="25" max="26" width="8.28515625" style="143" customWidth="1"/>
    <col min="27" max="27" width="12.7109375" style="143" customWidth="1"/>
    <col min="28" max="29" width="8.28515625" style="143" customWidth="1"/>
    <col min="30" max="30" width="12.7109375" style="143" customWidth="1"/>
    <col min="31" max="16384" width="9.140625" style="143"/>
  </cols>
  <sheetData>
    <row r="1" spans="1:30" ht="18" x14ac:dyDescent="0.25">
      <c r="A1" s="577" t="s">
        <v>29</v>
      </c>
      <c r="B1" s="577"/>
      <c r="C1" s="577"/>
      <c r="D1" s="577"/>
      <c r="E1" s="577"/>
      <c r="F1" s="577"/>
      <c r="G1" s="577"/>
      <c r="H1" s="577"/>
      <c r="I1" s="577"/>
      <c r="J1" s="577"/>
      <c r="K1" s="577"/>
      <c r="L1" s="577"/>
      <c r="M1" s="577"/>
      <c r="N1" s="577"/>
      <c r="O1" s="577"/>
      <c r="P1" s="577"/>
      <c r="Q1" s="577"/>
      <c r="R1" s="577"/>
      <c r="S1" s="577"/>
      <c r="T1" s="577"/>
      <c r="U1" s="577"/>
      <c r="V1" s="51" t="s">
        <v>10</v>
      </c>
      <c r="W1" s="6"/>
      <c r="X1" s="199"/>
      <c r="Y1" s="6"/>
      <c r="Z1" s="6"/>
      <c r="AA1" s="6"/>
      <c r="AB1" s="6"/>
      <c r="AC1" s="6"/>
      <c r="AD1" s="6"/>
    </row>
    <row r="2" spans="1:30" ht="15" x14ac:dyDescent="0.2">
      <c r="A2" s="578" t="s">
        <v>152</v>
      </c>
      <c r="B2" s="578"/>
      <c r="C2" s="578"/>
      <c r="D2" s="578"/>
      <c r="E2" s="578"/>
      <c r="F2" s="578"/>
      <c r="G2" s="578"/>
      <c r="H2" s="578"/>
      <c r="I2" s="578"/>
      <c r="J2" s="578"/>
      <c r="K2" s="578"/>
      <c r="L2" s="578"/>
      <c r="M2" s="578"/>
      <c r="N2" s="578"/>
      <c r="O2" s="578"/>
      <c r="P2" s="578"/>
      <c r="Q2" s="578"/>
      <c r="R2" s="578"/>
      <c r="S2" s="578"/>
      <c r="T2" s="578"/>
      <c r="U2" s="578"/>
      <c r="V2" s="51" t="s">
        <v>10</v>
      </c>
      <c r="W2" s="7"/>
      <c r="X2" s="198"/>
      <c r="Y2" s="7"/>
      <c r="Z2" s="7"/>
      <c r="AA2" s="7"/>
      <c r="AB2" s="7"/>
      <c r="AC2" s="7"/>
      <c r="AD2" s="7"/>
    </row>
    <row r="3" spans="1:30" x14ac:dyDescent="0.2">
      <c r="A3" s="579" t="s">
        <v>188</v>
      </c>
      <c r="B3" s="579"/>
      <c r="C3" s="579"/>
      <c r="D3" s="579"/>
      <c r="E3" s="579"/>
      <c r="F3" s="579"/>
      <c r="G3" s="579"/>
      <c r="H3" s="579"/>
      <c r="I3" s="579"/>
      <c r="J3" s="579"/>
      <c r="K3" s="579"/>
      <c r="L3" s="579"/>
      <c r="M3" s="579"/>
      <c r="N3" s="579"/>
      <c r="O3" s="579"/>
      <c r="P3" s="579"/>
      <c r="Q3" s="579"/>
      <c r="R3" s="579"/>
      <c r="S3" s="579"/>
      <c r="T3" s="579"/>
      <c r="U3" s="579"/>
      <c r="V3" s="51" t="s">
        <v>10</v>
      </c>
      <c r="W3" s="163"/>
      <c r="X3" s="198"/>
      <c r="Y3" s="163"/>
      <c r="Z3" s="163"/>
      <c r="AA3" s="163"/>
      <c r="AB3" s="163"/>
      <c r="AC3" s="163"/>
      <c r="AD3" s="163"/>
    </row>
    <row r="4" spans="1:30" x14ac:dyDescent="0.2">
      <c r="A4" s="608" t="s">
        <v>1</v>
      </c>
      <c r="B4" s="608"/>
      <c r="C4" s="608"/>
      <c r="D4" s="608"/>
      <c r="E4" s="608"/>
      <c r="F4" s="608"/>
      <c r="G4" s="608"/>
      <c r="H4" s="608"/>
      <c r="I4" s="608"/>
      <c r="J4" s="608"/>
      <c r="K4" s="608"/>
      <c r="L4" s="608"/>
      <c r="M4" s="608"/>
      <c r="N4" s="608"/>
      <c r="O4" s="608"/>
      <c r="P4" s="608"/>
      <c r="Q4" s="608"/>
      <c r="R4" s="608"/>
      <c r="S4" s="608"/>
      <c r="T4" s="608"/>
      <c r="U4" s="608"/>
      <c r="V4" s="51" t="s">
        <v>10</v>
      </c>
      <c r="W4" s="162"/>
      <c r="X4" s="198"/>
      <c r="Y4" s="162"/>
      <c r="Z4" s="162"/>
      <c r="AA4" s="162"/>
      <c r="AB4" s="162"/>
      <c r="AC4" s="162"/>
      <c r="AD4" s="162"/>
    </row>
    <row r="5" spans="1:30" ht="15" x14ac:dyDescent="0.25">
      <c r="A5" s="162"/>
      <c r="B5" s="162"/>
      <c r="C5" s="162"/>
      <c r="D5" s="162"/>
      <c r="E5" s="162"/>
      <c r="F5" s="162"/>
      <c r="G5" s="162"/>
      <c r="H5" s="162"/>
      <c r="I5" s="162"/>
      <c r="J5" s="162"/>
      <c r="K5" s="162"/>
      <c r="L5" s="162"/>
      <c r="M5" s="162"/>
      <c r="N5" s="162"/>
      <c r="O5" s="162"/>
      <c r="P5" s="162"/>
      <c r="Q5" s="162"/>
      <c r="R5" s="162"/>
      <c r="S5" s="162"/>
      <c r="T5" s="162"/>
      <c r="U5" s="162"/>
      <c r="V5" s="51" t="s">
        <v>10</v>
      </c>
      <c r="W5" s="162"/>
      <c r="X5" s="241"/>
      <c r="Y5" s="162"/>
      <c r="Z5" s="162"/>
      <c r="AA5" s="162"/>
      <c r="AB5" s="162"/>
      <c r="AC5" s="162"/>
      <c r="AD5" s="162"/>
    </row>
    <row r="6" spans="1:30" ht="15" thickBot="1" x14ac:dyDescent="0.25">
      <c r="A6" s="287"/>
      <c r="B6" s="287"/>
      <c r="C6" s="287"/>
      <c r="D6" s="287"/>
      <c r="E6" s="287"/>
      <c r="F6" s="287"/>
      <c r="G6" s="287"/>
      <c r="H6" s="287"/>
      <c r="I6" s="287"/>
      <c r="J6" s="287"/>
      <c r="K6" s="287"/>
      <c r="L6" s="287"/>
      <c r="M6" s="287"/>
      <c r="N6" s="287"/>
      <c r="O6" s="287"/>
      <c r="P6" s="287"/>
      <c r="Q6" s="287"/>
      <c r="R6" s="287"/>
      <c r="S6" s="287"/>
      <c r="T6" s="287"/>
      <c r="U6" s="287"/>
      <c r="V6" s="51" t="s">
        <v>10</v>
      </c>
      <c r="W6" s="162"/>
      <c r="Y6" s="162"/>
      <c r="Z6" s="162"/>
      <c r="AA6" s="162"/>
      <c r="AB6" s="162"/>
      <c r="AC6" s="162"/>
      <c r="AD6" s="162"/>
    </row>
    <row r="7" spans="1:30" ht="33.75" customHeight="1" x14ac:dyDescent="0.25">
      <c r="A7" s="585" t="s">
        <v>101</v>
      </c>
      <c r="B7" s="588" t="s">
        <v>137</v>
      </c>
      <c r="C7" s="588"/>
      <c r="D7" s="588"/>
      <c r="E7" s="588" t="s">
        <v>139</v>
      </c>
      <c r="F7" s="618"/>
      <c r="G7" s="619"/>
      <c r="H7" s="588" t="s">
        <v>97</v>
      </c>
      <c r="I7" s="618"/>
      <c r="J7" s="619"/>
      <c r="K7" s="632" t="s">
        <v>132</v>
      </c>
      <c r="L7" s="633"/>
      <c r="M7" s="634"/>
      <c r="N7" s="632" t="s">
        <v>27</v>
      </c>
      <c r="O7" s="632"/>
      <c r="P7" s="632"/>
      <c r="Q7" s="520" t="s">
        <v>28</v>
      </c>
      <c r="R7" s="520" t="s">
        <v>104</v>
      </c>
      <c r="S7" s="588" t="s">
        <v>133</v>
      </c>
      <c r="T7" s="588"/>
      <c r="U7" s="589"/>
      <c r="V7" s="51" t="s">
        <v>10</v>
      </c>
      <c r="X7" s="5"/>
    </row>
    <row r="8" spans="1:30" ht="28.5" x14ac:dyDescent="0.25">
      <c r="A8" s="586"/>
      <c r="B8" s="235" t="s">
        <v>2</v>
      </c>
      <c r="C8" s="235" t="s">
        <v>95</v>
      </c>
      <c r="D8" s="235" t="s">
        <v>3</v>
      </c>
      <c r="E8" s="235" t="s">
        <v>2</v>
      </c>
      <c r="F8" s="235" t="s">
        <v>95</v>
      </c>
      <c r="G8" s="235" t="s">
        <v>3</v>
      </c>
      <c r="H8" s="235" t="s">
        <v>2</v>
      </c>
      <c r="I8" s="235" t="s">
        <v>95</v>
      </c>
      <c r="J8" s="235" t="s">
        <v>3</v>
      </c>
      <c r="K8" s="500" t="s">
        <v>2</v>
      </c>
      <c r="L8" s="500" t="s">
        <v>95</v>
      </c>
      <c r="M8" s="500" t="s">
        <v>3</v>
      </c>
      <c r="N8" s="500" t="s">
        <v>2</v>
      </c>
      <c r="O8" s="500" t="s">
        <v>95</v>
      </c>
      <c r="P8" s="500" t="s">
        <v>3</v>
      </c>
      <c r="Q8" s="235" t="s">
        <v>3</v>
      </c>
      <c r="R8" s="235" t="s">
        <v>3</v>
      </c>
      <c r="S8" s="235" t="s">
        <v>2</v>
      </c>
      <c r="T8" s="235" t="s">
        <v>95</v>
      </c>
      <c r="U8" s="234" t="s">
        <v>3</v>
      </c>
      <c r="V8" s="51" t="s">
        <v>10</v>
      </c>
      <c r="X8" s="5"/>
    </row>
    <row r="9" spans="1:30" x14ac:dyDescent="0.2">
      <c r="A9" s="413" t="s">
        <v>238</v>
      </c>
      <c r="B9" s="414">
        <v>0</v>
      </c>
      <c r="C9" s="414">
        <v>0</v>
      </c>
      <c r="D9" s="414">
        <v>47005</v>
      </c>
      <c r="E9" s="414">
        <v>0</v>
      </c>
      <c r="F9" s="414">
        <v>0</v>
      </c>
      <c r="G9" s="414">
        <v>0</v>
      </c>
      <c r="H9" s="414">
        <v>0</v>
      </c>
      <c r="I9" s="414">
        <v>0</v>
      </c>
      <c r="J9" s="398">
        <v>-397</v>
      </c>
      <c r="K9" s="501">
        <v>0</v>
      </c>
      <c r="L9" s="501">
        <v>0</v>
      </c>
      <c r="M9" s="502">
        <v>-1979</v>
      </c>
      <c r="N9" s="501">
        <v>0</v>
      </c>
      <c r="O9" s="501">
        <v>0</v>
      </c>
      <c r="P9" s="502">
        <v>0</v>
      </c>
      <c r="Q9" s="216">
        <v>-207</v>
      </c>
      <c r="R9" s="414">
        <v>396</v>
      </c>
      <c r="S9" s="414">
        <f t="shared" ref="S9:T11" si="0">B9+N9</f>
        <v>0</v>
      </c>
      <c r="T9" s="414">
        <f t="shared" si="0"/>
        <v>0</v>
      </c>
      <c r="U9" s="415">
        <f>D9+G9+J9+M9+P9+Q9+R9</f>
        <v>44818</v>
      </c>
      <c r="V9" s="51" t="s">
        <v>10</v>
      </c>
      <c r="X9" s="284"/>
    </row>
    <row r="10" spans="1:30" x14ac:dyDescent="0.2">
      <c r="A10" s="207" t="s">
        <v>183</v>
      </c>
      <c r="B10" s="154">
        <v>0</v>
      </c>
      <c r="C10" s="154">
        <v>0</v>
      </c>
      <c r="D10" s="439" t="s">
        <v>613</v>
      </c>
      <c r="E10" s="154">
        <v>0</v>
      </c>
      <c r="F10" s="154">
        <v>0</v>
      </c>
      <c r="G10" s="439" t="s">
        <v>480</v>
      </c>
      <c r="H10" s="154">
        <v>0</v>
      </c>
      <c r="I10" s="154">
        <v>0</v>
      </c>
      <c r="J10" s="425">
        <v>-7</v>
      </c>
      <c r="K10" s="503">
        <v>0</v>
      </c>
      <c r="L10" s="503">
        <v>0</v>
      </c>
      <c r="M10" s="504">
        <v>-1072</v>
      </c>
      <c r="N10" s="503">
        <v>0</v>
      </c>
      <c r="O10" s="503">
        <v>0</v>
      </c>
      <c r="P10" s="504">
        <v>0</v>
      </c>
      <c r="Q10" s="154">
        <v>30</v>
      </c>
      <c r="R10" s="154">
        <v>0</v>
      </c>
      <c r="S10" s="154">
        <f t="shared" si="0"/>
        <v>0</v>
      </c>
      <c r="T10" s="154">
        <f t="shared" si="0"/>
        <v>0</v>
      </c>
      <c r="U10" s="438" t="s">
        <v>615</v>
      </c>
      <c r="V10" s="51" t="s">
        <v>10</v>
      </c>
      <c r="X10" s="284"/>
    </row>
    <row r="11" spans="1:30" x14ac:dyDescent="0.2">
      <c r="A11" s="207" t="s">
        <v>182</v>
      </c>
      <c r="B11" s="154">
        <v>0</v>
      </c>
      <c r="C11" s="154">
        <v>0</v>
      </c>
      <c r="D11" s="439" t="s">
        <v>614</v>
      </c>
      <c r="E11" s="154">
        <v>0</v>
      </c>
      <c r="F11" s="154">
        <v>0</v>
      </c>
      <c r="G11" s="439" t="s">
        <v>480</v>
      </c>
      <c r="H11" s="154">
        <v>0</v>
      </c>
      <c r="I11" s="154">
        <v>0</v>
      </c>
      <c r="J11" s="425">
        <v>0</v>
      </c>
      <c r="K11" s="503">
        <v>0</v>
      </c>
      <c r="L11" s="503">
        <v>0</v>
      </c>
      <c r="M11" s="504">
        <v>-412</v>
      </c>
      <c r="N11" s="503">
        <v>0</v>
      </c>
      <c r="O11" s="503">
        <v>0</v>
      </c>
      <c r="P11" s="504">
        <v>0</v>
      </c>
      <c r="Q11" s="154">
        <v>12</v>
      </c>
      <c r="R11" s="154">
        <v>0</v>
      </c>
      <c r="S11" s="154">
        <f t="shared" si="0"/>
        <v>0</v>
      </c>
      <c r="T11" s="154">
        <f t="shared" si="0"/>
        <v>0</v>
      </c>
      <c r="U11" s="438" t="s">
        <v>616</v>
      </c>
      <c r="V11" s="51" t="s">
        <v>10</v>
      </c>
      <c r="X11" s="284"/>
    </row>
    <row r="12" spans="1:30" x14ac:dyDescent="0.2">
      <c r="A12" s="207" t="s">
        <v>165</v>
      </c>
      <c r="B12" s="154">
        <v>0</v>
      </c>
      <c r="C12" s="154">
        <v>0</v>
      </c>
      <c r="D12" s="154">
        <v>34274</v>
      </c>
      <c r="E12" s="154">
        <v>0</v>
      </c>
      <c r="F12" s="154">
        <v>0</v>
      </c>
      <c r="G12" s="154">
        <v>0</v>
      </c>
      <c r="H12" s="154">
        <v>0</v>
      </c>
      <c r="I12" s="154">
        <v>0</v>
      </c>
      <c r="J12" s="425">
        <v>-3</v>
      </c>
      <c r="K12" s="503">
        <v>0</v>
      </c>
      <c r="L12" s="503">
        <v>0</v>
      </c>
      <c r="M12" s="504">
        <v>-1443</v>
      </c>
      <c r="N12" s="503">
        <v>0</v>
      </c>
      <c r="O12" s="503">
        <v>0</v>
      </c>
      <c r="P12" s="504">
        <v>0</v>
      </c>
      <c r="Q12" s="154">
        <v>0</v>
      </c>
      <c r="R12" s="154">
        <v>0</v>
      </c>
      <c r="S12" s="154">
        <v>0</v>
      </c>
      <c r="T12" s="154">
        <v>0</v>
      </c>
      <c r="U12" s="151">
        <f>D12+P12+Q12+R12+J12+M12+G12</f>
        <v>32828</v>
      </c>
      <c r="V12" s="51" t="s">
        <v>10</v>
      </c>
      <c r="X12" s="284"/>
    </row>
    <row r="13" spans="1:30" x14ac:dyDescent="0.2">
      <c r="A13" s="207" t="s">
        <v>237</v>
      </c>
      <c r="B13" s="154">
        <v>0</v>
      </c>
      <c r="C13" s="154">
        <v>0</v>
      </c>
      <c r="D13" s="154">
        <v>42109</v>
      </c>
      <c r="E13" s="154">
        <v>0</v>
      </c>
      <c r="F13" s="154">
        <v>0</v>
      </c>
      <c r="G13" s="154">
        <v>0</v>
      </c>
      <c r="H13" s="154">
        <v>0</v>
      </c>
      <c r="I13" s="154">
        <v>0</v>
      </c>
      <c r="J13" s="425">
        <v>-1380</v>
      </c>
      <c r="K13" s="503">
        <v>0</v>
      </c>
      <c r="L13" s="503">
        <v>0</v>
      </c>
      <c r="M13" s="504">
        <v>-1772</v>
      </c>
      <c r="N13" s="503">
        <v>0</v>
      </c>
      <c r="O13" s="503">
        <v>0</v>
      </c>
      <c r="P13" s="504">
        <v>-4896</v>
      </c>
      <c r="Q13" s="154">
        <v>3422</v>
      </c>
      <c r="R13" s="154">
        <v>852</v>
      </c>
      <c r="S13" s="154">
        <v>0</v>
      </c>
      <c r="T13" s="154">
        <v>0</v>
      </c>
      <c r="U13" s="151">
        <f t="shared" ref="U13:U28" si="1">D13+P13+Q13+R13+J13+M13+G13</f>
        <v>38335</v>
      </c>
      <c r="V13" s="51" t="s">
        <v>10</v>
      </c>
      <c r="X13" s="284"/>
    </row>
    <row r="14" spans="1:30" x14ac:dyDescent="0.2">
      <c r="A14" s="207" t="s">
        <v>236</v>
      </c>
      <c r="B14" s="154">
        <v>0</v>
      </c>
      <c r="C14" s="154">
        <v>0</v>
      </c>
      <c r="D14" s="439" t="s">
        <v>611</v>
      </c>
      <c r="E14" s="154">
        <v>0</v>
      </c>
      <c r="F14" s="154">
        <v>0</v>
      </c>
      <c r="G14" s="439" t="s">
        <v>480</v>
      </c>
      <c r="H14" s="154">
        <v>0</v>
      </c>
      <c r="I14" s="154">
        <v>0</v>
      </c>
      <c r="J14" s="425">
        <v>0</v>
      </c>
      <c r="K14" s="503">
        <v>0</v>
      </c>
      <c r="L14" s="503">
        <v>0</v>
      </c>
      <c r="M14" s="504">
        <v>0</v>
      </c>
      <c r="N14" s="503">
        <v>0</v>
      </c>
      <c r="O14" s="503">
        <v>0</v>
      </c>
      <c r="P14" s="504">
        <v>0</v>
      </c>
      <c r="Q14" s="154">
        <v>0</v>
      </c>
      <c r="R14" s="154">
        <v>0</v>
      </c>
      <c r="S14" s="154">
        <v>0</v>
      </c>
      <c r="T14" s="154">
        <v>0</v>
      </c>
      <c r="U14" s="438" t="s">
        <v>611</v>
      </c>
      <c r="V14" s="51" t="s">
        <v>10</v>
      </c>
      <c r="X14" s="284"/>
    </row>
    <row r="15" spans="1:30" ht="28.5" x14ac:dyDescent="0.2">
      <c r="A15" s="229" t="s">
        <v>235</v>
      </c>
      <c r="B15" s="154">
        <v>0</v>
      </c>
      <c r="C15" s="154">
        <v>0</v>
      </c>
      <c r="D15" s="154">
        <v>979</v>
      </c>
      <c r="E15" s="154">
        <v>0</v>
      </c>
      <c r="F15" s="154">
        <v>0</v>
      </c>
      <c r="G15" s="154">
        <v>0</v>
      </c>
      <c r="H15" s="154">
        <v>0</v>
      </c>
      <c r="I15" s="154">
        <v>0</v>
      </c>
      <c r="J15" s="425">
        <v>0</v>
      </c>
      <c r="K15" s="503">
        <v>0</v>
      </c>
      <c r="L15" s="503">
        <v>0</v>
      </c>
      <c r="M15" s="504">
        <v>-41</v>
      </c>
      <c r="N15" s="503">
        <v>0</v>
      </c>
      <c r="O15" s="503">
        <v>0</v>
      </c>
      <c r="P15" s="504">
        <v>0</v>
      </c>
      <c r="Q15" s="154">
        <v>0</v>
      </c>
      <c r="R15" s="154">
        <v>0</v>
      </c>
      <c r="S15" s="154">
        <v>0</v>
      </c>
      <c r="T15" s="154">
        <v>0</v>
      </c>
      <c r="U15" s="151">
        <f t="shared" si="1"/>
        <v>938</v>
      </c>
      <c r="V15" s="51" t="s">
        <v>10</v>
      </c>
      <c r="X15" s="284"/>
    </row>
    <row r="16" spans="1:30" x14ac:dyDescent="0.2">
      <c r="A16" s="229" t="s">
        <v>456</v>
      </c>
      <c r="B16" s="154">
        <v>0</v>
      </c>
      <c r="C16" s="154">
        <v>0</v>
      </c>
      <c r="D16" s="154">
        <v>0</v>
      </c>
      <c r="E16" s="154">
        <v>0</v>
      </c>
      <c r="F16" s="154">
        <v>0</v>
      </c>
      <c r="G16" s="154">
        <v>0</v>
      </c>
      <c r="H16" s="154">
        <v>0</v>
      </c>
      <c r="I16" s="154">
        <v>0</v>
      </c>
      <c r="J16" s="425">
        <v>0</v>
      </c>
      <c r="K16" s="503">
        <v>0</v>
      </c>
      <c r="L16" s="503">
        <v>0</v>
      </c>
      <c r="M16" s="504">
        <v>0</v>
      </c>
      <c r="N16" s="503">
        <v>0</v>
      </c>
      <c r="O16" s="503">
        <v>0</v>
      </c>
      <c r="P16" s="504">
        <v>26428</v>
      </c>
      <c r="Q16" s="154">
        <v>1590</v>
      </c>
      <c r="R16" s="154">
        <v>0</v>
      </c>
      <c r="S16" s="154">
        <v>0</v>
      </c>
      <c r="T16" s="154">
        <v>0</v>
      </c>
      <c r="U16" s="151">
        <f t="shared" si="1"/>
        <v>28018</v>
      </c>
      <c r="V16" s="51" t="s">
        <v>10</v>
      </c>
      <c r="X16" s="284"/>
    </row>
    <row r="17" spans="1:24" x14ac:dyDescent="0.2">
      <c r="A17" s="229" t="s">
        <v>234</v>
      </c>
      <c r="B17" s="154">
        <v>0</v>
      </c>
      <c r="C17" s="154">
        <v>0</v>
      </c>
      <c r="D17" s="154">
        <v>0</v>
      </c>
      <c r="E17" s="154">
        <v>0</v>
      </c>
      <c r="F17" s="154">
        <v>0</v>
      </c>
      <c r="G17" s="154">
        <v>0</v>
      </c>
      <c r="H17" s="154">
        <v>0</v>
      </c>
      <c r="I17" s="154">
        <v>0</v>
      </c>
      <c r="J17" s="425">
        <v>-239</v>
      </c>
      <c r="K17" s="503">
        <v>0</v>
      </c>
      <c r="L17" s="503">
        <v>0</v>
      </c>
      <c r="M17" s="504">
        <v>0</v>
      </c>
      <c r="N17" s="503">
        <v>0</v>
      </c>
      <c r="O17" s="503">
        <v>0</v>
      </c>
      <c r="P17" s="504">
        <v>0</v>
      </c>
      <c r="Q17" s="154">
        <v>707</v>
      </c>
      <c r="R17" s="154">
        <v>239</v>
      </c>
      <c r="S17" s="154">
        <v>0</v>
      </c>
      <c r="T17" s="154">
        <v>0</v>
      </c>
      <c r="U17" s="151">
        <f t="shared" si="1"/>
        <v>707</v>
      </c>
      <c r="V17" s="51" t="s">
        <v>10</v>
      </c>
      <c r="X17" s="284"/>
    </row>
    <row r="18" spans="1:24" ht="28.5" x14ac:dyDescent="0.2">
      <c r="A18" s="229" t="s">
        <v>233</v>
      </c>
      <c r="B18" s="154">
        <v>0</v>
      </c>
      <c r="C18" s="154">
        <v>0</v>
      </c>
      <c r="D18" s="154">
        <v>0</v>
      </c>
      <c r="E18" s="154">
        <v>0</v>
      </c>
      <c r="F18" s="154">
        <v>0</v>
      </c>
      <c r="G18" s="154">
        <v>0</v>
      </c>
      <c r="H18" s="154">
        <v>0</v>
      </c>
      <c r="I18" s="154">
        <v>0</v>
      </c>
      <c r="J18" s="425">
        <v>0</v>
      </c>
      <c r="K18" s="503">
        <v>0</v>
      </c>
      <c r="L18" s="503">
        <v>0</v>
      </c>
      <c r="M18" s="504">
        <v>0</v>
      </c>
      <c r="N18" s="503">
        <v>0</v>
      </c>
      <c r="O18" s="503">
        <v>0</v>
      </c>
      <c r="P18" s="504">
        <v>0</v>
      </c>
      <c r="Q18" s="154">
        <v>259</v>
      </c>
      <c r="R18" s="154">
        <v>0</v>
      </c>
      <c r="S18" s="154">
        <v>0</v>
      </c>
      <c r="T18" s="154">
        <v>0</v>
      </c>
      <c r="U18" s="151">
        <f t="shared" si="1"/>
        <v>259</v>
      </c>
      <c r="V18" s="51" t="s">
        <v>10</v>
      </c>
      <c r="X18" s="284"/>
    </row>
    <row r="19" spans="1:24" ht="28.5" x14ac:dyDescent="0.2">
      <c r="A19" s="229" t="s">
        <v>232</v>
      </c>
      <c r="B19" s="154">
        <v>0</v>
      </c>
      <c r="C19" s="154">
        <v>0</v>
      </c>
      <c r="D19" s="154">
        <v>0</v>
      </c>
      <c r="E19" s="154">
        <v>0</v>
      </c>
      <c r="F19" s="154">
        <v>0</v>
      </c>
      <c r="G19" s="154">
        <v>0</v>
      </c>
      <c r="H19" s="154">
        <v>0</v>
      </c>
      <c r="I19" s="154">
        <v>0</v>
      </c>
      <c r="J19" s="425">
        <v>0</v>
      </c>
      <c r="K19" s="503">
        <v>0</v>
      </c>
      <c r="L19" s="503">
        <v>0</v>
      </c>
      <c r="M19" s="504">
        <v>0</v>
      </c>
      <c r="N19" s="503">
        <v>0</v>
      </c>
      <c r="O19" s="503">
        <v>0</v>
      </c>
      <c r="P19" s="504">
        <v>0</v>
      </c>
      <c r="Q19" s="154">
        <v>57</v>
      </c>
      <c r="R19" s="154">
        <v>0</v>
      </c>
      <c r="S19" s="154">
        <v>0</v>
      </c>
      <c r="T19" s="154">
        <v>0</v>
      </c>
      <c r="U19" s="151">
        <f t="shared" si="1"/>
        <v>57</v>
      </c>
      <c r="V19" s="51" t="s">
        <v>10</v>
      </c>
      <c r="X19" s="284"/>
    </row>
    <row r="20" spans="1:24" x14ac:dyDescent="0.2">
      <c r="A20" s="229" t="s">
        <v>231</v>
      </c>
      <c r="B20" s="154">
        <v>0</v>
      </c>
      <c r="C20" s="154">
        <v>0</v>
      </c>
      <c r="D20" s="154">
        <v>0</v>
      </c>
      <c r="E20" s="154">
        <v>0</v>
      </c>
      <c r="F20" s="154">
        <v>0</v>
      </c>
      <c r="G20" s="154">
        <v>0</v>
      </c>
      <c r="H20" s="154">
        <v>0</v>
      </c>
      <c r="I20" s="154">
        <v>0</v>
      </c>
      <c r="J20" s="425">
        <v>0</v>
      </c>
      <c r="K20" s="503">
        <v>0</v>
      </c>
      <c r="L20" s="503">
        <v>0</v>
      </c>
      <c r="M20" s="504">
        <v>0</v>
      </c>
      <c r="N20" s="503">
        <v>0</v>
      </c>
      <c r="O20" s="503">
        <v>0</v>
      </c>
      <c r="P20" s="504">
        <v>0</v>
      </c>
      <c r="Q20" s="268">
        <v>-732</v>
      </c>
      <c r="R20" s="154">
        <v>0</v>
      </c>
      <c r="S20" s="154">
        <v>0</v>
      </c>
      <c r="T20" s="154">
        <v>0</v>
      </c>
      <c r="U20" s="279">
        <f t="shared" si="1"/>
        <v>-732</v>
      </c>
      <c r="V20" s="51" t="s">
        <v>10</v>
      </c>
      <c r="X20" s="284"/>
    </row>
    <row r="21" spans="1:24" x14ac:dyDescent="0.2">
      <c r="A21" s="229" t="s">
        <v>230</v>
      </c>
      <c r="B21" s="154">
        <v>0</v>
      </c>
      <c r="C21" s="154">
        <v>0</v>
      </c>
      <c r="D21" s="154">
        <v>0</v>
      </c>
      <c r="E21" s="154">
        <v>0</v>
      </c>
      <c r="F21" s="154">
        <v>0</v>
      </c>
      <c r="G21" s="154">
        <v>0</v>
      </c>
      <c r="H21" s="154">
        <v>0</v>
      </c>
      <c r="I21" s="154">
        <v>0</v>
      </c>
      <c r="J21" s="425">
        <v>0</v>
      </c>
      <c r="K21" s="503">
        <v>0</v>
      </c>
      <c r="L21" s="503">
        <v>0</v>
      </c>
      <c r="M21" s="504">
        <v>0</v>
      </c>
      <c r="N21" s="503">
        <v>0</v>
      </c>
      <c r="O21" s="503">
        <v>0</v>
      </c>
      <c r="P21" s="504">
        <v>0</v>
      </c>
      <c r="Q21" s="268">
        <v>-220</v>
      </c>
      <c r="R21" s="154">
        <v>0</v>
      </c>
      <c r="S21" s="154">
        <v>0</v>
      </c>
      <c r="T21" s="154">
        <v>0</v>
      </c>
      <c r="U21" s="279">
        <f t="shared" si="1"/>
        <v>-220</v>
      </c>
      <c r="V21" s="51" t="s">
        <v>10</v>
      </c>
      <c r="X21" s="284"/>
    </row>
    <row r="22" spans="1:24" x14ac:dyDescent="0.2">
      <c r="A22" s="229" t="s">
        <v>230</v>
      </c>
      <c r="B22" s="154">
        <v>0</v>
      </c>
      <c r="C22" s="154">
        <v>0</v>
      </c>
      <c r="D22" s="154">
        <v>0</v>
      </c>
      <c r="E22" s="154">
        <v>0</v>
      </c>
      <c r="F22" s="154">
        <v>0</v>
      </c>
      <c r="G22" s="154">
        <v>0</v>
      </c>
      <c r="H22" s="154">
        <v>0</v>
      </c>
      <c r="I22" s="154">
        <v>0</v>
      </c>
      <c r="J22" s="425">
        <v>0</v>
      </c>
      <c r="K22" s="503">
        <v>0</v>
      </c>
      <c r="L22" s="503">
        <v>0</v>
      </c>
      <c r="M22" s="504">
        <v>0</v>
      </c>
      <c r="N22" s="503">
        <v>0</v>
      </c>
      <c r="O22" s="503">
        <v>0</v>
      </c>
      <c r="P22" s="504">
        <v>0</v>
      </c>
      <c r="Q22" s="154">
        <v>866</v>
      </c>
      <c r="R22" s="154">
        <v>146</v>
      </c>
      <c r="S22" s="154">
        <v>0</v>
      </c>
      <c r="T22" s="154">
        <v>0</v>
      </c>
      <c r="U22" s="151">
        <f t="shared" si="1"/>
        <v>1012</v>
      </c>
      <c r="V22" s="51" t="s">
        <v>10</v>
      </c>
      <c r="X22" s="284"/>
    </row>
    <row r="23" spans="1:24" x14ac:dyDescent="0.2">
      <c r="A23" s="229" t="s">
        <v>229</v>
      </c>
      <c r="B23" s="154">
        <v>0</v>
      </c>
      <c r="C23" s="154">
        <v>0</v>
      </c>
      <c r="D23" s="154">
        <v>0</v>
      </c>
      <c r="E23" s="154">
        <v>0</v>
      </c>
      <c r="F23" s="154">
        <v>0</v>
      </c>
      <c r="G23" s="154">
        <v>0</v>
      </c>
      <c r="H23" s="154">
        <v>0</v>
      </c>
      <c r="I23" s="154">
        <v>0</v>
      </c>
      <c r="J23" s="425">
        <v>-931</v>
      </c>
      <c r="K23" s="503">
        <v>0</v>
      </c>
      <c r="L23" s="503">
        <v>0</v>
      </c>
      <c r="M23" s="504">
        <v>0</v>
      </c>
      <c r="N23" s="503">
        <v>0</v>
      </c>
      <c r="O23" s="503">
        <v>0</v>
      </c>
      <c r="P23" s="504">
        <v>0</v>
      </c>
      <c r="Q23" s="154">
        <v>70</v>
      </c>
      <c r="R23" s="154">
        <v>596</v>
      </c>
      <c r="S23" s="154">
        <v>0</v>
      </c>
      <c r="T23" s="154">
        <v>0</v>
      </c>
      <c r="U23" s="279">
        <f t="shared" si="1"/>
        <v>-265</v>
      </c>
      <c r="V23" s="51" t="s">
        <v>10</v>
      </c>
      <c r="X23" s="284"/>
    </row>
    <row r="24" spans="1:24" x14ac:dyDescent="0.2">
      <c r="A24" s="229" t="s">
        <v>228</v>
      </c>
      <c r="B24" s="154">
        <v>0</v>
      </c>
      <c r="C24" s="154">
        <v>0</v>
      </c>
      <c r="D24" s="154">
        <v>0</v>
      </c>
      <c r="E24" s="154">
        <v>0</v>
      </c>
      <c r="F24" s="154">
        <v>0</v>
      </c>
      <c r="G24" s="154">
        <v>0</v>
      </c>
      <c r="H24" s="154">
        <v>0</v>
      </c>
      <c r="I24" s="154">
        <v>0</v>
      </c>
      <c r="J24" s="425">
        <v>-1</v>
      </c>
      <c r="K24" s="503">
        <v>0</v>
      </c>
      <c r="L24" s="503">
        <v>0</v>
      </c>
      <c r="M24" s="504">
        <v>0</v>
      </c>
      <c r="N24" s="503">
        <v>0</v>
      </c>
      <c r="O24" s="503">
        <v>0</v>
      </c>
      <c r="P24" s="504">
        <v>0</v>
      </c>
      <c r="Q24" s="154">
        <v>512</v>
      </c>
      <c r="R24" s="154">
        <v>16</v>
      </c>
      <c r="S24" s="154">
        <v>0</v>
      </c>
      <c r="T24" s="154">
        <v>0</v>
      </c>
      <c r="U24" s="151">
        <f t="shared" si="1"/>
        <v>527</v>
      </c>
      <c r="V24" s="51" t="s">
        <v>10</v>
      </c>
      <c r="X24" s="284"/>
    </row>
    <row r="25" spans="1:24" x14ac:dyDescent="0.2">
      <c r="A25" s="229" t="s">
        <v>153</v>
      </c>
      <c r="B25" s="154">
        <v>0</v>
      </c>
      <c r="C25" s="154">
        <v>0</v>
      </c>
      <c r="D25" s="154">
        <v>0</v>
      </c>
      <c r="E25" s="154">
        <v>0</v>
      </c>
      <c r="F25" s="154">
        <v>0</v>
      </c>
      <c r="G25" s="154">
        <v>0</v>
      </c>
      <c r="H25" s="154">
        <v>0</v>
      </c>
      <c r="I25" s="154">
        <v>0</v>
      </c>
      <c r="J25" s="425">
        <v>0</v>
      </c>
      <c r="K25" s="503">
        <v>0</v>
      </c>
      <c r="L25" s="503">
        <v>0</v>
      </c>
      <c r="M25" s="504">
        <v>0</v>
      </c>
      <c r="N25" s="503">
        <v>0</v>
      </c>
      <c r="O25" s="503">
        <v>0</v>
      </c>
      <c r="P25" s="504">
        <v>0</v>
      </c>
      <c r="Q25" s="154">
        <v>48</v>
      </c>
      <c r="R25" s="154">
        <v>0</v>
      </c>
      <c r="S25" s="154">
        <v>0</v>
      </c>
      <c r="T25" s="154">
        <v>0</v>
      </c>
      <c r="U25" s="151">
        <f t="shared" si="1"/>
        <v>48</v>
      </c>
      <c r="V25" s="51" t="s">
        <v>10</v>
      </c>
      <c r="X25" s="284"/>
    </row>
    <row r="26" spans="1:24" x14ac:dyDescent="0.2">
      <c r="A26" s="229" t="s">
        <v>227</v>
      </c>
      <c r="B26" s="154">
        <v>0</v>
      </c>
      <c r="C26" s="154">
        <v>0</v>
      </c>
      <c r="D26" s="154">
        <v>0</v>
      </c>
      <c r="E26" s="154">
        <v>0</v>
      </c>
      <c r="F26" s="154">
        <v>0</v>
      </c>
      <c r="G26" s="154">
        <v>0</v>
      </c>
      <c r="H26" s="154">
        <v>0</v>
      </c>
      <c r="I26" s="154">
        <v>0</v>
      </c>
      <c r="J26" s="425">
        <v>0</v>
      </c>
      <c r="K26" s="503">
        <v>0</v>
      </c>
      <c r="L26" s="503">
        <v>0</v>
      </c>
      <c r="M26" s="504">
        <v>0</v>
      </c>
      <c r="N26" s="503">
        <v>0</v>
      </c>
      <c r="O26" s="503">
        <v>0</v>
      </c>
      <c r="P26" s="504">
        <v>0</v>
      </c>
      <c r="Q26" s="268">
        <v>-705</v>
      </c>
      <c r="R26" s="154">
        <v>1799</v>
      </c>
      <c r="S26" s="154">
        <v>0</v>
      </c>
      <c r="T26" s="154">
        <v>0</v>
      </c>
      <c r="U26" s="151">
        <f>D26+P26+Q26+R26+J26+M26+G26</f>
        <v>1094</v>
      </c>
      <c r="V26" s="51" t="s">
        <v>10</v>
      </c>
      <c r="X26" s="284"/>
    </row>
    <row r="27" spans="1:24" x14ac:dyDescent="0.2">
      <c r="A27" s="229" t="s">
        <v>226</v>
      </c>
      <c r="B27" s="154">
        <v>0</v>
      </c>
      <c r="C27" s="154">
        <v>0</v>
      </c>
      <c r="D27" s="154">
        <v>0</v>
      </c>
      <c r="E27" s="154">
        <v>0</v>
      </c>
      <c r="F27" s="154">
        <v>0</v>
      </c>
      <c r="G27" s="154">
        <v>0</v>
      </c>
      <c r="H27" s="154">
        <v>0</v>
      </c>
      <c r="I27" s="154">
        <v>0</v>
      </c>
      <c r="J27" s="425">
        <v>-7</v>
      </c>
      <c r="K27" s="503">
        <v>0</v>
      </c>
      <c r="L27" s="503">
        <v>0</v>
      </c>
      <c r="M27" s="504">
        <v>0</v>
      </c>
      <c r="N27" s="503">
        <v>0</v>
      </c>
      <c r="O27" s="503">
        <v>0</v>
      </c>
      <c r="P27" s="504">
        <v>0</v>
      </c>
      <c r="Q27" s="154">
        <v>0</v>
      </c>
      <c r="R27" s="154">
        <v>1246</v>
      </c>
      <c r="S27" s="154">
        <v>0</v>
      </c>
      <c r="T27" s="154">
        <v>0</v>
      </c>
      <c r="U27" s="151">
        <f t="shared" si="1"/>
        <v>1239</v>
      </c>
      <c r="V27" s="51" t="s">
        <v>10</v>
      </c>
      <c r="X27" s="284"/>
    </row>
    <row r="28" spans="1:24" x14ac:dyDescent="0.2">
      <c r="A28" s="412" t="s">
        <v>224</v>
      </c>
      <c r="B28" s="416">
        <v>0</v>
      </c>
      <c r="C28" s="416">
        <v>0</v>
      </c>
      <c r="D28" s="416">
        <v>0</v>
      </c>
      <c r="E28" s="416">
        <v>0</v>
      </c>
      <c r="F28" s="416">
        <v>0</v>
      </c>
      <c r="G28" s="416">
        <v>0</v>
      </c>
      <c r="H28" s="416">
        <v>0</v>
      </c>
      <c r="I28" s="416">
        <v>0</v>
      </c>
      <c r="J28" s="282">
        <v>0</v>
      </c>
      <c r="K28" s="505">
        <v>0</v>
      </c>
      <c r="L28" s="506">
        <v>0</v>
      </c>
      <c r="M28" s="506">
        <v>0</v>
      </c>
      <c r="N28" s="506">
        <v>0</v>
      </c>
      <c r="O28" s="506">
        <v>0</v>
      </c>
      <c r="P28" s="505">
        <v>-1300</v>
      </c>
      <c r="Q28" s="416">
        <v>0</v>
      </c>
      <c r="R28" s="416">
        <v>0</v>
      </c>
      <c r="S28" s="416">
        <f>B28+N28</f>
        <v>0</v>
      </c>
      <c r="T28" s="154">
        <f>C28+O28</f>
        <v>0</v>
      </c>
      <c r="U28" s="279">
        <f t="shared" si="1"/>
        <v>-1300</v>
      </c>
      <c r="V28" s="51" t="s">
        <v>10</v>
      </c>
    </row>
    <row r="29" spans="1:24" ht="15" x14ac:dyDescent="0.25">
      <c r="A29" s="13" t="s">
        <v>98</v>
      </c>
      <c r="B29" s="118">
        <f>SUM(B9:B28)</f>
        <v>0</v>
      </c>
      <c r="C29" s="118">
        <f>SUM(C9:C28)</f>
        <v>0</v>
      </c>
      <c r="D29" s="118">
        <f>D9+D12+D13+D15</f>
        <v>124367</v>
      </c>
      <c r="E29" s="118">
        <f t="shared" ref="E29:L29" si="2">SUM(E9:E28)</f>
        <v>0</v>
      </c>
      <c r="F29" s="118">
        <f t="shared" si="2"/>
        <v>0</v>
      </c>
      <c r="G29" s="118">
        <f t="shared" si="2"/>
        <v>0</v>
      </c>
      <c r="H29" s="118">
        <f t="shared" si="2"/>
        <v>0</v>
      </c>
      <c r="I29" s="118">
        <f t="shared" si="2"/>
        <v>0</v>
      </c>
      <c r="J29" s="278">
        <f>SUM(J9:J28)</f>
        <v>-2965</v>
      </c>
      <c r="K29" s="507">
        <f t="shared" si="2"/>
        <v>0</v>
      </c>
      <c r="L29" s="508">
        <f t="shared" si="2"/>
        <v>0</v>
      </c>
      <c r="M29" s="507">
        <f>M9+M12+M13+M15</f>
        <v>-5235</v>
      </c>
      <c r="N29" s="508">
        <f>SUM(N9:N28)</f>
        <v>0</v>
      </c>
      <c r="O29" s="508">
        <f>SUM(O9:O28)</f>
        <v>0</v>
      </c>
      <c r="P29" s="508">
        <f>SUM(P9:P28)</f>
        <v>20232</v>
      </c>
      <c r="Q29" s="118">
        <f>Q9+Q13+Q16+Q17+Q18+Q19+Q20+Q21+Q22+Q23+Q24+Q25+Q26</f>
        <v>5667</v>
      </c>
      <c r="R29" s="374">
        <f>SUM(R9:R28)</f>
        <v>5290</v>
      </c>
      <c r="S29" s="118">
        <f>SUM(S9:S28)</f>
        <v>0</v>
      </c>
      <c r="T29" s="118">
        <f>SUM(T9:T28)</f>
        <v>0</v>
      </c>
      <c r="U29" s="119">
        <f>U9+U12+U13+U15+U16+U17+U18+U19+U20+U21+U22+U23+U24+U25+U26+U27+U28-7</f>
        <v>147356</v>
      </c>
      <c r="V29" s="51" t="s">
        <v>10</v>
      </c>
      <c r="X29" s="5"/>
    </row>
    <row r="30" spans="1:24" x14ac:dyDescent="0.2">
      <c r="A30" s="210" t="s">
        <v>13</v>
      </c>
      <c r="B30" s="209"/>
      <c r="C30" s="209">
        <v>0</v>
      </c>
      <c r="D30" s="209"/>
      <c r="E30" s="209"/>
      <c r="F30" s="209">
        <v>0</v>
      </c>
      <c r="G30" s="209"/>
      <c r="H30" s="209"/>
      <c r="I30" s="209">
        <v>0</v>
      </c>
      <c r="J30" s="209"/>
      <c r="K30" s="509"/>
      <c r="L30" s="509">
        <v>0</v>
      </c>
      <c r="M30" s="509"/>
      <c r="N30" s="509"/>
      <c r="O30" s="509">
        <v>0</v>
      </c>
      <c r="P30" s="509"/>
      <c r="Q30" s="209"/>
      <c r="R30" s="209"/>
      <c r="S30" s="209"/>
      <c r="T30" s="209">
        <f>C30+O30+I30</f>
        <v>0</v>
      </c>
      <c r="U30" s="208"/>
      <c r="V30" s="51" t="s">
        <v>10</v>
      </c>
    </row>
    <row r="31" spans="1:24" ht="15" x14ac:dyDescent="0.25">
      <c r="A31" s="207" t="s">
        <v>99</v>
      </c>
      <c r="B31" s="154"/>
      <c r="C31" s="154">
        <f>C29+C30</f>
        <v>0</v>
      </c>
      <c r="D31" s="154"/>
      <c r="E31" s="154"/>
      <c r="F31" s="154">
        <f>F29+F30</f>
        <v>0</v>
      </c>
      <c r="G31" s="154"/>
      <c r="H31" s="154"/>
      <c r="I31" s="154">
        <f>I29+I30</f>
        <v>0</v>
      </c>
      <c r="J31" s="154"/>
      <c r="K31" s="154"/>
      <c r="L31" s="154">
        <f>L29+L30</f>
        <v>0</v>
      </c>
      <c r="M31" s="154"/>
      <c r="N31" s="154"/>
      <c r="O31" s="154">
        <f>O29+O30</f>
        <v>0</v>
      </c>
      <c r="P31" s="154"/>
      <c r="Q31" s="154"/>
      <c r="R31" s="154"/>
      <c r="S31" s="154"/>
      <c r="T31" s="209">
        <f>T29+T30</f>
        <v>0</v>
      </c>
      <c r="U31" s="151"/>
      <c r="V31" s="51" t="s">
        <v>10</v>
      </c>
      <c r="X31" s="240"/>
    </row>
    <row r="32" spans="1:24" x14ac:dyDescent="0.2">
      <c r="A32" s="207"/>
      <c r="B32" s="154"/>
      <c r="C32" s="154"/>
      <c r="D32" s="154"/>
      <c r="E32" s="154"/>
      <c r="F32" s="154"/>
      <c r="G32" s="154"/>
      <c r="H32" s="154"/>
      <c r="I32" s="154"/>
      <c r="J32" s="154"/>
      <c r="K32" s="154"/>
      <c r="L32" s="154"/>
      <c r="M32" s="154"/>
      <c r="N32" s="154"/>
      <c r="O32" s="154"/>
      <c r="P32" s="154"/>
      <c r="Q32" s="154"/>
      <c r="R32" s="154"/>
      <c r="S32" s="154"/>
      <c r="T32" s="154"/>
      <c r="U32" s="151"/>
      <c r="V32" s="51" t="s">
        <v>10</v>
      </c>
    </row>
    <row r="33" spans="1:22" x14ac:dyDescent="0.2">
      <c r="A33" s="207" t="s">
        <v>14</v>
      </c>
      <c r="B33" s="154"/>
      <c r="C33" s="154"/>
      <c r="D33" s="154"/>
      <c r="E33" s="154"/>
      <c r="F33" s="154"/>
      <c r="G33" s="154"/>
      <c r="H33" s="154"/>
      <c r="I33" s="154"/>
      <c r="J33" s="154"/>
      <c r="K33" s="154"/>
      <c r="L33" s="154"/>
      <c r="M33" s="154"/>
      <c r="N33" s="154"/>
      <c r="O33" s="154"/>
      <c r="P33" s="154"/>
      <c r="Q33" s="154"/>
      <c r="R33" s="154"/>
      <c r="S33" s="154"/>
      <c r="T33" s="154"/>
      <c r="U33" s="151"/>
      <c r="V33" s="51" t="s">
        <v>10</v>
      </c>
    </row>
    <row r="34" spans="1:22" x14ac:dyDescent="0.2">
      <c r="A34" s="206" t="s">
        <v>15</v>
      </c>
      <c r="B34" s="154"/>
      <c r="C34" s="154">
        <v>0</v>
      </c>
      <c r="D34" s="154"/>
      <c r="E34" s="154"/>
      <c r="F34" s="154">
        <v>0</v>
      </c>
      <c r="G34" s="154"/>
      <c r="H34" s="154"/>
      <c r="I34" s="154">
        <v>0</v>
      </c>
      <c r="J34" s="154"/>
      <c r="K34" s="154"/>
      <c r="L34" s="154">
        <v>0</v>
      </c>
      <c r="M34" s="154"/>
      <c r="N34" s="154"/>
      <c r="O34" s="154">
        <v>0</v>
      </c>
      <c r="P34" s="154"/>
      <c r="Q34" s="154"/>
      <c r="R34" s="154"/>
      <c r="S34" s="154"/>
      <c r="T34" s="154">
        <f>C34+O34+I34</f>
        <v>0</v>
      </c>
      <c r="U34" s="151"/>
      <c r="V34" s="51" t="s">
        <v>10</v>
      </c>
    </row>
    <row r="35" spans="1:22" x14ac:dyDescent="0.2">
      <c r="A35" s="205" t="s">
        <v>16</v>
      </c>
      <c r="B35" s="204"/>
      <c r="C35" s="204">
        <v>0</v>
      </c>
      <c r="D35" s="204"/>
      <c r="E35" s="204"/>
      <c r="F35" s="204">
        <v>0</v>
      </c>
      <c r="G35" s="204"/>
      <c r="H35" s="204"/>
      <c r="I35" s="204">
        <v>0</v>
      </c>
      <c r="J35" s="204"/>
      <c r="K35" s="204"/>
      <c r="L35" s="204">
        <v>0</v>
      </c>
      <c r="M35" s="204"/>
      <c r="N35" s="204"/>
      <c r="O35" s="204">
        <v>0</v>
      </c>
      <c r="P35" s="204"/>
      <c r="Q35" s="204"/>
      <c r="R35" s="204"/>
      <c r="S35" s="204"/>
      <c r="T35" s="154">
        <f>C35+O35+I34</f>
        <v>0</v>
      </c>
      <c r="U35" s="203"/>
      <c r="V35" s="51" t="s">
        <v>10</v>
      </c>
    </row>
    <row r="36" spans="1:22" ht="15" thickBot="1" x14ac:dyDescent="0.25">
      <c r="A36" s="202" t="s">
        <v>100</v>
      </c>
      <c r="B36" s="201"/>
      <c r="C36" s="201">
        <f>C31+C34+C35</f>
        <v>0</v>
      </c>
      <c r="D36" s="201"/>
      <c r="E36" s="201"/>
      <c r="F36" s="201">
        <f>F31+F34+F35</f>
        <v>0</v>
      </c>
      <c r="G36" s="201"/>
      <c r="H36" s="201"/>
      <c r="I36" s="201">
        <f>I31+I34+I35</f>
        <v>0</v>
      </c>
      <c r="J36" s="201"/>
      <c r="K36" s="201"/>
      <c r="L36" s="201">
        <f>L31+L34+L35</f>
        <v>0</v>
      </c>
      <c r="M36" s="201"/>
      <c r="N36" s="201"/>
      <c r="O36" s="201">
        <f>O31+O34+O35</f>
        <v>0</v>
      </c>
      <c r="P36" s="201"/>
      <c r="Q36" s="201"/>
      <c r="R36" s="201"/>
      <c r="S36" s="201"/>
      <c r="T36" s="201">
        <f>SUM(T31,T34:T35)</f>
        <v>0</v>
      </c>
      <c r="U36" s="200"/>
      <c r="V36" s="51" t="s">
        <v>10</v>
      </c>
    </row>
    <row r="37" spans="1:22" ht="15" x14ac:dyDescent="0.25">
      <c r="A37" s="170" t="s">
        <v>138</v>
      </c>
      <c r="B37" s="277"/>
      <c r="C37" s="277"/>
      <c r="D37" s="277"/>
      <c r="E37" s="277"/>
      <c r="F37" s="277"/>
      <c r="G37" s="277"/>
      <c r="H37" s="277"/>
      <c r="I37" s="277"/>
      <c r="J37" s="277"/>
      <c r="K37" s="277"/>
      <c r="L37" s="277"/>
      <c r="M37" s="277"/>
      <c r="N37" s="277"/>
      <c r="O37" s="277"/>
      <c r="P37" s="277"/>
      <c r="Q37" s="277"/>
      <c r="R37" s="277"/>
      <c r="S37" s="277"/>
      <c r="T37" s="277"/>
      <c r="U37" s="277"/>
      <c r="V37" s="51" t="s">
        <v>10</v>
      </c>
    </row>
    <row r="38" spans="1:22" x14ac:dyDescent="0.2">
      <c r="A38" s="614" t="s">
        <v>223</v>
      </c>
      <c r="B38" s="614"/>
      <c r="C38" s="614"/>
      <c r="D38" s="614"/>
      <c r="E38" s="614"/>
      <c r="F38" s="614"/>
      <c r="G38" s="614"/>
      <c r="H38" s="614"/>
      <c r="I38" s="614"/>
      <c r="J38" s="614"/>
      <c r="K38" s="614"/>
      <c r="L38" s="614"/>
      <c r="M38" s="614"/>
      <c r="N38" s="614"/>
      <c r="O38" s="614"/>
      <c r="P38" s="614"/>
      <c r="Q38" s="614"/>
      <c r="R38" s="614"/>
      <c r="S38" s="614"/>
      <c r="T38" s="614"/>
      <c r="U38" s="614"/>
      <c r="V38" s="51" t="s">
        <v>10</v>
      </c>
    </row>
    <row r="39" spans="1:22" x14ac:dyDescent="0.2">
      <c r="V39" s="51" t="s">
        <v>10</v>
      </c>
    </row>
    <row r="40" spans="1:22" ht="15" x14ac:dyDescent="0.25">
      <c r="A40" s="5" t="s">
        <v>27</v>
      </c>
      <c r="V40" s="51" t="s">
        <v>10</v>
      </c>
    </row>
    <row r="41" spans="1:22" x14ac:dyDescent="0.2">
      <c r="A41" s="635"/>
      <c r="B41" s="635"/>
      <c r="C41" s="635"/>
      <c r="D41" s="635"/>
      <c r="E41" s="635"/>
      <c r="F41" s="635"/>
      <c r="G41" s="635"/>
      <c r="H41" s="635"/>
      <c r="I41" s="635"/>
      <c r="J41" s="635"/>
      <c r="K41" s="635"/>
      <c r="L41" s="635"/>
      <c r="M41" s="635"/>
      <c r="N41" s="635"/>
      <c r="O41" s="635"/>
      <c r="P41" s="635"/>
      <c r="Q41" s="635"/>
      <c r="R41" s="635"/>
      <c r="S41" s="635"/>
      <c r="T41" s="635"/>
      <c r="U41" s="635"/>
      <c r="V41" s="51" t="s">
        <v>10</v>
      </c>
    </row>
    <row r="42" spans="1:22" x14ac:dyDescent="0.2">
      <c r="A42" s="635"/>
      <c r="B42" s="635"/>
      <c r="C42" s="635"/>
      <c r="D42" s="635"/>
      <c r="E42" s="635"/>
      <c r="F42" s="635"/>
      <c r="G42" s="635"/>
      <c r="H42" s="635"/>
      <c r="I42" s="635"/>
      <c r="J42" s="635"/>
      <c r="K42" s="635"/>
      <c r="L42" s="635"/>
      <c r="M42" s="635"/>
      <c r="N42" s="635"/>
      <c r="O42" s="635"/>
      <c r="P42" s="635"/>
      <c r="Q42" s="635"/>
      <c r="R42" s="635"/>
      <c r="S42" s="635"/>
      <c r="T42" s="635"/>
      <c r="U42" s="635"/>
      <c r="V42" s="51" t="s">
        <v>10</v>
      </c>
    </row>
    <row r="43" spans="1:22" ht="15" x14ac:dyDescent="0.25">
      <c r="A43" s="5" t="s">
        <v>113</v>
      </c>
      <c r="V43" s="51" t="s">
        <v>10</v>
      </c>
    </row>
    <row r="44" spans="1:22" x14ac:dyDescent="0.2">
      <c r="A44" s="616" t="s">
        <v>460</v>
      </c>
      <c r="B44" s="616"/>
      <c r="C44" s="616"/>
      <c r="D44" s="616"/>
      <c r="E44" s="616"/>
      <c r="F44" s="616"/>
      <c r="G44" s="616"/>
      <c r="H44" s="616"/>
      <c r="I44" s="616"/>
      <c r="J44" s="616"/>
      <c r="K44" s="616"/>
      <c r="L44" s="616"/>
      <c r="M44" s="616"/>
      <c r="N44" s="616"/>
      <c r="O44" s="616"/>
      <c r="P44" s="616"/>
      <c r="Q44" s="616"/>
      <c r="R44" s="616"/>
      <c r="S44" s="616"/>
      <c r="T44" s="616"/>
      <c r="U44" s="616"/>
      <c r="V44" s="51" t="s">
        <v>10</v>
      </c>
    </row>
    <row r="45" spans="1:22" x14ac:dyDescent="0.2">
      <c r="A45" s="635"/>
      <c r="B45" s="635"/>
      <c r="C45" s="635"/>
      <c r="D45" s="635"/>
      <c r="E45" s="635"/>
      <c r="F45" s="635"/>
      <c r="G45" s="635"/>
      <c r="H45" s="635"/>
      <c r="I45" s="635"/>
      <c r="J45" s="635"/>
      <c r="K45" s="635"/>
      <c r="L45" s="635"/>
      <c r="M45" s="635"/>
      <c r="N45" s="635"/>
      <c r="O45" s="635"/>
      <c r="P45" s="635"/>
      <c r="Q45" s="635"/>
      <c r="R45" s="635"/>
      <c r="S45" s="635"/>
      <c r="T45" s="635"/>
      <c r="U45" s="635"/>
      <c r="V45" s="51" t="s">
        <v>10</v>
      </c>
    </row>
    <row r="46" spans="1:22" ht="15" x14ac:dyDescent="0.25">
      <c r="A46" s="5" t="s">
        <v>114</v>
      </c>
      <c r="V46" s="51" t="s">
        <v>10</v>
      </c>
    </row>
    <row r="47" spans="1:22" x14ac:dyDescent="0.2">
      <c r="A47" s="616" t="s">
        <v>649</v>
      </c>
      <c r="B47" s="616"/>
      <c r="C47" s="616"/>
      <c r="D47" s="616"/>
      <c r="E47" s="616"/>
      <c r="F47" s="616"/>
      <c r="G47" s="616"/>
      <c r="H47" s="616"/>
      <c r="I47" s="616"/>
      <c r="J47" s="616"/>
      <c r="K47" s="616"/>
      <c r="L47" s="616"/>
      <c r="M47" s="616"/>
      <c r="N47" s="616"/>
      <c r="O47" s="616"/>
      <c r="P47" s="616"/>
      <c r="Q47" s="616"/>
      <c r="R47" s="616"/>
      <c r="S47" s="616"/>
      <c r="T47" s="616"/>
      <c r="U47" s="616"/>
      <c r="V47" s="51" t="s">
        <v>10</v>
      </c>
    </row>
    <row r="48" spans="1:22" x14ac:dyDescent="0.2">
      <c r="V48" s="51" t="s">
        <v>10</v>
      </c>
    </row>
    <row r="49" spans="22:22" x14ac:dyDescent="0.2">
      <c r="V49" s="4" t="s">
        <v>11</v>
      </c>
    </row>
  </sheetData>
  <customSheetViews>
    <customSheetView guid="{EE916FE7-61FB-4021-ADDD-E082241FC03C}" scale="80" showPageBreaks="1" printArea="1" view="pageBreakPreview">
      <selection activeCell="A46" sqref="A46:U46"/>
      <pageMargins left="0.7" right="0.7" top="0.64" bottom="0.61" header="0.3" footer="0.3"/>
      <printOptions horizontalCentered="1"/>
      <pageSetup scale="50" orientation="landscape" r:id="rId1"/>
      <headerFooter>
        <oddHeader>&amp;L&amp;"Arial,Bold"&amp;12F. Crosswalk of 2013 Availability</oddHeader>
        <oddFooter>&amp;C&amp;"Arial,Regular"Exhibit F - Crosswalk of 2013 Availability</oddFooter>
      </headerFooter>
    </customSheetView>
    <customSheetView guid="{0BB5DC4B-BC2A-4489-BE17-5E267FA1EF63}" scale="80" showPageBreaks="1" printArea="1" view="pageBreakPreview">
      <selection activeCell="U34" sqref="U34"/>
      <pageMargins left="0.7" right="0.7" top="0.64" bottom="0.61" header="0.3" footer="0.3"/>
      <printOptions horizontalCentered="1"/>
      <pageSetup scale="50" orientation="landscape" r:id="rId2"/>
      <headerFooter>
        <oddHeader>&amp;L&amp;"Arial,Bold"&amp;12F. Crosswalk of 2013 Availability</oddHeader>
        <oddFooter>&amp;C&amp;"Arial,Regular"Exhibit F - Crosswalk of 2013 Availability</oddFooter>
      </headerFooter>
    </customSheetView>
    <customSheetView guid="{6C58FFE1-D756-42C4-A1BC-AA7F1DC1E56F}" scale="80" showPageBreaks="1" printArea="1" view="pageBreakPreview" topLeftCell="C53">
      <selection activeCell="M68" sqref="M68"/>
      <pageMargins left="0.7" right="0.7" top="0.64" bottom="0.61" header="0.3" footer="0.3"/>
      <printOptions horizontalCentered="1"/>
      <pageSetup scale="50" orientation="landscape" r:id="rId3"/>
      <headerFooter>
        <oddHeader>&amp;L&amp;"Arial,Bold"&amp;12F. Crosswalk of 2013 Availability</oddHeader>
        <oddFooter>&amp;C&amp;"Arial,Regular"Exhibit F - Crosswalk of 2013 Availability&amp;RResearch, Evaluation, and Statistics</oddFooter>
      </headerFooter>
    </customSheetView>
    <customSheetView guid="{CFA5D1C9-F4C9-4B8D-923D-4C71CB6E7D3B}" scale="80" showPageBreaks="1" printArea="1" view="pageBreakPreview">
      <selection activeCell="A46" sqref="A46:U46"/>
      <pageMargins left="0.7" right="0.7" top="0.64" bottom="0.61" header="0.3" footer="0.3"/>
      <printOptions horizontalCentered="1"/>
      <pageSetup scale="50" orientation="landscape" r:id="rId4"/>
      <headerFooter>
        <oddHeader>&amp;L&amp;"Arial,Bold"&amp;12F. Crosswalk of 2013 Availability</oddHeader>
        <oddFooter>&amp;C&amp;"Arial,Regular"Exhibit F - Crosswalk of 2013 Availability</oddFooter>
      </headerFooter>
    </customSheetView>
    <customSheetView guid="{A788DF77-74F1-49E4-8B34-BFBDB7664F30}" scale="70" showPageBreaks="1" printArea="1" view="pageBreakPreview">
      <selection activeCell="A48" sqref="A48:U48"/>
      <pageMargins left="0.7" right="0.7" top="0.64" bottom="0.61" header="0.3" footer="0.3"/>
      <printOptions horizontalCentered="1"/>
      <pageSetup scale="50" orientation="landscape" r:id="rId5"/>
      <headerFooter>
        <oddHeader>&amp;L&amp;"Arial,Bold"&amp;12F. Crosswalk of 2013 Availability</oddHeader>
        <oddFooter>&amp;C&amp;"Arial,Regular"Exhibit F - Crosswalk of 2013 Availability&amp;R&amp;"Arial,Regular"Research, Evaluation, and Statistics</oddFooter>
      </headerFooter>
    </customSheetView>
  </customSheetViews>
  <mergeCells count="17">
    <mergeCell ref="A47:U47"/>
    <mergeCell ref="A38:U38"/>
    <mergeCell ref="A41:U41"/>
    <mergeCell ref="A42:U42"/>
    <mergeCell ref="A44:U44"/>
    <mergeCell ref="A45:U45"/>
    <mergeCell ref="A1:U1"/>
    <mergeCell ref="A2:U2"/>
    <mergeCell ref="A3:U3"/>
    <mergeCell ref="A4:U4"/>
    <mergeCell ref="H7:J7"/>
    <mergeCell ref="K7:M7"/>
    <mergeCell ref="E7:G7"/>
    <mergeCell ref="A7:A8"/>
    <mergeCell ref="B7:D7"/>
    <mergeCell ref="N7:P7"/>
    <mergeCell ref="S7:U7"/>
  </mergeCells>
  <printOptions horizontalCentered="1"/>
  <pageMargins left="0.7" right="0.7" top="0.64" bottom="0.61" header="0.3" footer="0.3"/>
  <pageSetup scale="52" orientation="landscape" r:id="rId6"/>
  <headerFooter>
    <oddHeader>&amp;L&amp;"Arial,Bold"&amp;12F. Crosswalk of 2013 Availability</oddHeader>
    <oddFooter>&amp;C&amp;"Arial,Regular"Exhibit F - Crosswalk of 2013 Availability&amp;R&amp;"Arial,Regular"Research, Evaluation, and Statistics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1"/>
  <sheetViews>
    <sheetView view="pageBreakPreview" zoomScale="80" zoomScaleNormal="100" zoomScaleSheetLayoutView="80" workbookViewId="0">
      <selection activeCell="G23" sqref="G23"/>
    </sheetView>
  </sheetViews>
  <sheetFormatPr defaultRowHeight="14.25" x14ac:dyDescent="0.2"/>
  <cols>
    <col min="1" max="1" width="67.5703125" style="143" customWidth="1"/>
    <col min="2" max="2" width="10.140625" style="143" customWidth="1"/>
    <col min="3" max="3" width="8.28515625" style="143" customWidth="1"/>
    <col min="4" max="4" width="12.7109375" style="143" customWidth="1"/>
    <col min="5" max="5" width="12.85546875" style="143" customWidth="1"/>
    <col min="6" max="6" width="8.28515625" style="143" customWidth="1"/>
    <col min="7" max="7" width="9.85546875" style="143" customWidth="1"/>
    <col min="8" max="10" width="12.7109375" style="143" customWidth="1"/>
    <col min="11" max="11" width="8.28515625" style="143" customWidth="1"/>
    <col min="12" max="12" width="11.7109375" style="143" customWidth="1"/>
    <col min="13" max="13" width="12.7109375" style="143" customWidth="1"/>
    <col min="14" max="14" width="14" style="4" bestFit="1" customWidth="1"/>
    <col min="15" max="15" width="4.5703125" style="143" customWidth="1"/>
    <col min="16" max="16" width="116.7109375" style="143" customWidth="1"/>
    <col min="17" max="18" width="8.28515625" style="143" customWidth="1"/>
    <col min="19" max="19" width="12.7109375" style="143" customWidth="1"/>
    <col min="20" max="21" width="8.28515625" style="143" customWidth="1"/>
    <col min="22" max="22" width="12.7109375" style="143" customWidth="1"/>
    <col min="23" max="16384" width="9.140625" style="143"/>
  </cols>
  <sheetData>
    <row r="1" spans="1:22" ht="18" x14ac:dyDescent="0.25">
      <c r="A1" s="577" t="s">
        <v>134</v>
      </c>
      <c r="B1" s="577"/>
      <c r="C1" s="577"/>
      <c r="D1" s="577"/>
      <c r="E1" s="577"/>
      <c r="F1" s="577"/>
      <c r="G1" s="577"/>
      <c r="H1" s="577"/>
      <c r="I1" s="577"/>
      <c r="J1" s="577"/>
      <c r="K1" s="577"/>
      <c r="L1" s="577"/>
      <c r="M1" s="6"/>
      <c r="N1" s="51" t="s">
        <v>10</v>
      </c>
      <c r="O1" s="6"/>
      <c r="P1" s="199"/>
      <c r="Q1" s="6"/>
      <c r="R1" s="6"/>
      <c r="S1" s="6"/>
      <c r="T1" s="6"/>
      <c r="U1" s="6"/>
      <c r="V1" s="6"/>
    </row>
    <row r="2" spans="1:22" ht="15" x14ac:dyDescent="0.2">
      <c r="A2" s="578" t="s">
        <v>152</v>
      </c>
      <c r="B2" s="578"/>
      <c r="C2" s="578"/>
      <c r="D2" s="578"/>
      <c r="E2" s="578"/>
      <c r="F2" s="578"/>
      <c r="G2" s="578"/>
      <c r="H2" s="578"/>
      <c r="I2" s="578"/>
      <c r="J2" s="578"/>
      <c r="K2" s="578"/>
      <c r="L2" s="578"/>
      <c r="M2" s="7"/>
      <c r="N2" s="51" t="s">
        <v>10</v>
      </c>
      <c r="O2" s="7"/>
      <c r="P2" s="198"/>
      <c r="Q2" s="7"/>
      <c r="R2" s="7"/>
      <c r="S2" s="7"/>
      <c r="T2" s="7"/>
      <c r="U2" s="7"/>
      <c r="V2" s="7"/>
    </row>
    <row r="3" spans="1:22" x14ac:dyDescent="0.2">
      <c r="A3" s="579" t="s">
        <v>188</v>
      </c>
      <c r="B3" s="579"/>
      <c r="C3" s="579"/>
      <c r="D3" s="579"/>
      <c r="E3" s="579"/>
      <c r="F3" s="579"/>
      <c r="G3" s="579"/>
      <c r="H3" s="579"/>
      <c r="I3" s="579"/>
      <c r="J3" s="579"/>
      <c r="K3" s="579"/>
      <c r="L3" s="579"/>
      <c r="M3" s="163"/>
      <c r="N3" s="51" t="s">
        <v>10</v>
      </c>
      <c r="O3" s="163"/>
      <c r="P3" s="198"/>
      <c r="Q3" s="163"/>
      <c r="R3" s="163"/>
      <c r="S3" s="163"/>
      <c r="T3" s="163"/>
      <c r="U3" s="163"/>
      <c r="V3" s="163"/>
    </row>
    <row r="4" spans="1:22" x14ac:dyDescent="0.2">
      <c r="A4" s="608" t="s">
        <v>1</v>
      </c>
      <c r="B4" s="608"/>
      <c r="C4" s="608"/>
      <c r="D4" s="608"/>
      <c r="E4" s="608"/>
      <c r="F4" s="608"/>
      <c r="G4" s="608"/>
      <c r="H4" s="608"/>
      <c r="I4" s="608"/>
      <c r="J4" s="608"/>
      <c r="K4" s="608"/>
      <c r="L4" s="608"/>
      <c r="M4" s="162"/>
      <c r="N4" s="51" t="s">
        <v>10</v>
      </c>
      <c r="O4" s="162"/>
      <c r="P4" s="198"/>
      <c r="Q4" s="162"/>
      <c r="R4" s="162"/>
      <c r="S4" s="162"/>
      <c r="T4" s="162"/>
      <c r="U4" s="162"/>
      <c r="V4" s="162"/>
    </row>
    <row r="5" spans="1:22" ht="15" x14ac:dyDescent="0.25">
      <c r="A5" s="162"/>
      <c r="B5" s="162"/>
      <c r="C5" s="162"/>
      <c r="D5" s="162"/>
      <c r="E5" s="162"/>
      <c r="F5" s="162"/>
      <c r="G5" s="162"/>
      <c r="H5" s="162"/>
      <c r="I5" s="162"/>
      <c r="J5" s="162"/>
      <c r="K5" s="162"/>
      <c r="L5" s="162"/>
      <c r="M5" s="162"/>
      <c r="N5" s="51" t="s">
        <v>10</v>
      </c>
      <c r="O5" s="162"/>
      <c r="P5" s="241"/>
      <c r="Q5" s="162"/>
      <c r="R5" s="162"/>
      <c r="S5" s="162"/>
      <c r="T5" s="162"/>
      <c r="U5" s="162"/>
      <c r="V5" s="162"/>
    </row>
    <row r="6" spans="1:22" ht="15" thickBot="1" x14ac:dyDescent="0.25">
      <c r="A6" s="287"/>
      <c r="B6" s="287"/>
      <c r="C6" s="287"/>
      <c r="D6" s="287"/>
      <c r="E6" s="287"/>
      <c r="F6" s="287"/>
      <c r="G6" s="287"/>
      <c r="H6" s="287"/>
      <c r="I6" s="287"/>
      <c r="J6" s="287"/>
      <c r="K6" s="287"/>
      <c r="L6" s="287"/>
      <c r="M6" s="276"/>
      <c r="N6" s="51" t="s">
        <v>10</v>
      </c>
      <c r="O6" s="162"/>
      <c r="P6" s="276"/>
      <c r="Q6" s="162"/>
      <c r="R6" s="162"/>
      <c r="S6" s="162"/>
      <c r="T6" s="162"/>
      <c r="U6" s="162"/>
      <c r="V6" s="162"/>
    </row>
    <row r="7" spans="1:22" ht="47.25" customHeight="1" x14ac:dyDescent="0.25">
      <c r="A7" s="585" t="s">
        <v>101</v>
      </c>
      <c r="B7" s="588" t="s">
        <v>150</v>
      </c>
      <c r="C7" s="588"/>
      <c r="D7" s="588"/>
      <c r="E7" s="588" t="s">
        <v>27</v>
      </c>
      <c r="F7" s="588"/>
      <c r="G7" s="588"/>
      <c r="H7" s="520" t="s">
        <v>28</v>
      </c>
      <c r="I7" s="520" t="s">
        <v>104</v>
      </c>
      <c r="J7" s="588" t="s">
        <v>135</v>
      </c>
      <c r="K7" s="588"/>
      <c r="L7" s="589"/>
      <c r="M7" s="51" t="s">
        <v>10</v>
      </c>
      <c r="N7" s="143"/>
      <c r="O7" s="5"/>
    </row>
    <row r="8" spans="1:22" ht="28.5" x14ac:dyDescent="0.25">
      <c r="A8" s="586"/>
      <c r="B8" s="235" t="s">
        <v>2</v>
      </c>
      <c r="C8" s="235" t="s">
        <v>96</v>
      </c>
      <c r="D8" s="235" t="s">
        <v>3</v>
      </c>
      <c r="E8" s="235" t="s">
        <v>2</v>
      </c>
      <c r="F8" s="235" t="s">
        <v>96</v>
      </c>
      <c r="G8" s="235" t="s">
        <v>3</v>
      </c>
      <c r="H8" s="235" t="s">
        <v>3</v>
      </c>
      <c r="I8" s="235" t="s">
        <v>3</v>
      </c>
      <c r="J8" s="235" t="s">
        <v>2</v>
      </c>
      <c r="K8" s="235" t="s">
        <v>96</v>
      </c>
      <c r="L8" s="234" t="s">
        <v>3</v>
      </c>
      <c r="M8" s="51" t="s">
        <v>10</v>
      </c>
      <c r="N8" s="143"/>
      <c r="O8" s="5"/>
    </row>
    <row r="9" spans="1:22" x14ac:dyDescent="0.2">
      <c r="A9" s="413" t="s">
        <v>184</v>
      </c>
      <c r="B9" s="232">
        <v>0</v>
      </c>
      <c r="C9" s="232">
        <v>0</v>
      </c>
      <c r="D9" s="488">
        <v>45000</v>
      </c>
      <c r="E9" s="232">
        <v>0</v>
      </c>
      <c r="F9" s="232">
        <v>0</v>
      </c>
      <c r="G9" s="232">
        <v>0</v>
      </c>
      <c r="H9" s="481">
        <v>515</v>
      </c>
      <c r="I9" s="488">
        <v>26</v>
      </c>
      <c r="J9" s="232">
        <v>0</v>
      </c>
      <c r="K9" s="232">
        <v>0</v>
      </c>
      <c r="L9" s="415">
        <f t="shared" ref="L9:L19" si="0">D9+G9+H9+I9</f>
        <v>45541</v>
      </c>
      <c r="M9" s="51" t="s">
        <v>10</v>
      </c>
      <c r="N9" s="143"/>
      <c r="O9" s="284"/>
    </row>
    <row r="10" spans="1:22" x14ac:dyDescent="0.2">
      <c r="A10" s="207" t="s">
        <v>242</v>
      </c>
      <c r="B10" s="224">
        <v>0</v>
      </c>
      <c r="C10" s="224">
        <v>0</v>
      </c>
      <c r="D10" s="482" t="s">
        <v>612</v>
      </c>
      <c r="E10" s="224">
        <v>0</v>
      </c>
      <c r="F10" s="224">
        <v>0</v>
      </c>
      <c r="G10" s="499">
        <v>0</v>
      </c>
      <c r="H10" s="476">
        <v>0</v>
      </c>
      <c r="I10" s="482">
        <v>0</v>
      </c>
      <c r="J10" s="224">
        <v>0</v>
      </c>
      <c r="K10" s="224">
        <v>0</v>
      </c>
      <c r="L10" s="524" t="s">
        <v>612</v>
      </c>
      <c r="M10" s="51" t="s">
        <v>10</v>
      </c>
      <c r="N10" s="143"/>
      <c r="O10" s="284"/>
    </row>
    <row r="11" spans="1:22" x14ac:dyDescent="0.2">
      <c r="A11" s="207" t="s">
        <v>165</v>
      </c>
      <c r="B11" s="224">
        <v>0</v>
      </c>
      <c r="C11" s="224">
        <v>0</v>
      </c>
      <c r="D11" s="498">
        <v>30000</v>
      </c>
      <c r="E11" s="224">
        <v>0</v>
      </c>
      <c r="F11" s="224">
        <v>0</v>
      </c>
      <c r="G11" s="224">
        <v>0</v>
      </c>
      <c r="H11" s="483">
        <v>0</v>
      </c>
      <c r="I11" s="487">
        <v>0</v>
      </c>
      <c r="J11" s="224">
        <v>0</v>
      </c>
      <c r="K11" s="224">
        <v>0</v>
      </c>
      <c r="L11" s="524">
        <f t="shared" si="0"/>
        <v>30000</v>
      </c>
      <c r="M11" s="51" t="s">
        <v>10</v>
      </c>
      <c r="N11" s="143"/>
      <c r="O11" s="284"/>
    </row>
    <row r="12" spans="1:22" x14ac:dyDescent="0.2">
      <c r="A12" s="207" t="s">
        <v>241</v>
      </c>
      <c r="B12" s="224">
        <v>0</v>
      </c>
      <c r="C12" s="224">
        <v>0</v>
      </c>
      <c r="D12" s="487">
        <v>40000</v>
      </c>
      <c r="E12" s="224">
        <v>0</v>
      </c>
      <c r="F12" s="224">
        <v>0</v>
      </c>
      <c r="G12" s="224">
        <v>0</v>
      </c>
      <c r="H12" s="483">
        <v>339</v>
      </c>
      <c r="I12" s="487">
        <v>339</v>
      </c>
      <c r="J12" s="224">
        <v>0</v>
      </c>
      <c r="K12" s="224">
        <v>0</v>
      </c>
      <c r="L12" s="237">
        <f t="shared" si="0"/>
        <v>40678</v>
      </c>
      <c r="M12" s="51" t="s">
        <v>10</v>
      </c>
      <c r="N12" s="143"/>
      <c r="O12" s="284"/>
    </row>
    <row r="13" spans="1:22" x14ac:dyDescent="0.2">
      <c r="A13" s="206" t="s">
        <v>240</v>
      </c>
      <c r="B13" s="224">
        <v>0</v>
      </c>
      <c r="C13" s="224">
        <v>0</v>
      </c>
      <c r="D13" s="487" t="s">
        <v>611</v>
      </c>
      <c r="E13" s="224">
        <v>0</v>
      </c>
      <c r="F13" s="224">
        <v>0</v>
      </c>
      <c r="G13" s="499">
        <v>0</v>
      </c>
      <c r="H13" s="483">
        <v>0</v>
      </c>
      <c r="I13" s="487">
        <v>0</v>
      </c>
      <c r="J13" s="224">
        <v>0</v>
      </c>
      <c r="K13" s="224">
        <v>0</v>
      </c>
      <c r="L13" s="524" t="s">
        <v>611</v>
      </c>
      <c r="M13" s="51" t="s">
        <v>10</v>
      </c>
      <c r="N13" s="143"/>
      <c r="O13" s="284"/>
    </row>
    <row r="14" spans="1:22" x14ac:dyDescent="0.2">
      <c r="A14" s="205" t="s">
        <v>168</v>
      </c>
      <c r="B14" s="478">
        <v>0</v>
      </c>
      <c r="C14" s="478">
        <v>0</v>
      </c>
      <c r="D14" s="489">
        <v>4000</v>
      </c>
      <c r="E14" s="478">
        <v>0</v>
      </c>
      <c r="F14" s="478">
        <v>0</v>
      </c>
      <c r="G14" s="478">
        <v>0</v>
      </c>
      <c r="H14" s="484">
        <v>0</v>
      </c>
      <c r="I14" s="489">
        <v>0</v>
      </c>
      <c r="J14" s="478">
        <v>0</v>
      </c>
      <c r="K14" s="478">
        <v>0</v>
      </c>
      <c r="L14" s="237">
        <f t="shared" si="0"/>
        <v>4000</v>
      </c>
      <c r="M14" s="51" t="s">
        <v>10</v>
      </c>
      <c r="N14" s="143"/>
      <c r="O14" s="284"/>
    </row>
    <row r="15" spans="1:22" x14ac:dyDescent="0.2">
      <c r="A15" s="210" t="s">
        <v>457</v>
      </c>
      <c r="B15" s="479">
        <v>0</v>
      </c>
      <c r="C15" s="479">
        <v>0</v>
      </c>
      <c r="D15" s="490">
        <v>0</v>
      </c>
      <c r="E15" s="479">
        <v>0</v>
      </c>
      <c r="F15" s="479">
        <v>0</v>
      </c>
      <c r="G15" s="479">
        <v>0</v>
      </c>
      <c r="H15" s="485">
        <v>24</v>
      </c>
      <c r="I15" s="490">
        <v>0</v>
      </c>
      <c r="J15" s="479">
        <v>0</v>
      </c>
      <c r="K15" s="479">
        <v>0</v>
      </c>
      <c r="L15" s="237">
        <f t="shared" si="0"/>
        <v>24</v>
      </c>
      <c r="M15" s="51" t="s">
        <v>10</v>
      </c>
      <c r="N15" s="143"/>
      <c r="O15" s="284"/>
    </row>
    <row r="16" spans="1:22" x14ac:dyDescent="0.2">
      <c r="A16" s="207" t="s">
        <v>153</v>
      </c>
      <c r="B16" s="224">
        <v>0</v>
      </c>
      <c r="C16" s="224">
        <v>0</v>
      </c>
      <c r="D16" s="487">
        <v>0</v>
      </c>
      <c r="E16" s="224">
        <v>0</v>
      </c>
      <c r="F16" s="224">
        <v>0</v>
      </c>
      <c r="G16" s="224">
        <v>0</v>
      </c>
      <c r="H16" s="483">
        <v>2258</v>
      </c>
      <c r="I16" s="487">
        <v>0</v>
      </c>
      <c r="J16" s="224">
        <v>0</v>
      </c>
      <c r="K16" s="224">
        <v>0</v>
      </c>
      <c r="L16" s="237">
        <f t="shared" si="0"/>
        <v>2258</v>
      </c>
      <c r="M16" s="51" t="s">
        <v>10</v>
      </c>
      <c r="N16" s="143"/>
      <c r="O16" s="284"/>
    </row>
    <row r="17" spans="1:15" x14ac:dyDescent="0.2">
      <c r="A17" s="207" t="s">
        <v>226</v>
      </c>
      <c r="B17" s="224">
        <v>0</v>
      </c>
      <c r="C17" s="224">
        <v>0</v>
      </c>
      <c r="D17" s="487">
        <v>0</v>
      </c>
      <c r="E17" s="224">
        <v>0</v>
      </c>
      <c r="F17" s="224">
        <v>0</v>
      </c>
      <c r="G17" s="224">
        <v>0</v>
      </c>
      <c r="H17" s="483">
        <v>504</v>
      </c>
      <c r="I17" s="487">
        <v>411</v>
      </c>
      <c r="J17" s="224">
        <v>0</v>
      </c>
      <c r="K17" s="224">
        <v>0</v>
      </c>
      <c r="L17" s="237">
        <f t="shared" si="0"/>
        <v>915</v>
      </c>
      <c r="M17" s="51" t="s">
        <v>10</v>
      </c>
      <c r="N17" s="143"/>
      <c r="O17" s="284"/>
    </row>
    <row r="18" spans="1:15" x14ac:dyDescent="0.2">
      <c r="A18" s="207" t="s">
        <v>104</v>
      </c>
      <c r="B18" s="224">
        <v>0</v>
      </c>
      <c r="C18" s="224">
        <v>0</v>
      </c>
      <c r="D18" s="487">
        <v>0</v>
      </c>
      <c r="E18" s="224">
        <v>0</v>
      </c>
      <c r="F18" s="224">
        <v>0</v>
      </c>
      <c r="G18" s="224">
        <v>0</v>
      </c>
      <c r="H18" s="483">
        <v>0</v>
      </c>
      <c r="I18" s="487">
        <v>3224</v>
      </c>
      <c r="J18" s="224">
        <v>0</v>
      </c>
      <c r="K18" s="224">
        <v>0</v>
      </c>
      <c r="L18" s="237">
        <f t="shared" si="0"/>
        <v>3224</v>
      </c>
      <c r="M18" s="51" t="s">
        <v>10</v>
      </c>
      <c r="N18" s="143"/>
      <c r="O18" s="284"/>
    </row>
    <row r="19" spans="1:15" ht="28.5" x14ac:dyDescent="0.2">
      <c r="A19" s="477" t="s">
        <v>239</v>
      </c>
      <c r="B19" s="480">
        <v>0</v>
      </c>
      <c r="C19" s="480">
        <v>0</v>
      </c>
      <c r="D19" s="491">
        <v>1000</v>
      </c>
      <c r="E19" s="480">
        <v>0</v>
      </c>
      <c r="F19" s="480">
        <v>0</v>
      </c>
      <c r="G19" s="480">
        <v>0</v>
      </c>
      <c r="H19" s="486">
        <v>0</v>
      </c>
      <c r="I19" s="491">
        <v>0</v>
      </c>
      <c r="J19" s="480">
        <v>0</v>
      </c>
      <c r="K19" s="480">
        <v>0</v>
      </c>
      <c r="L19" s="237">
        <f t="shared" si="0"/>
        <v>1000</v>
      </c>
      <c r="M19" s="51" t="s">
        <v>10</v>
      </c>
      <c r="N19" s="143"/>
      <c r="O19" s="284"/>
    </row>
    <row r="20" spans="1:15" ht="15" x14ac:dyDescent="0.25">
      <c r="A20" s="13" t="s">
        <v>98</v>
      </c>
      <c r="B20" s="118">
        <f>SUM(B9:B19)</f>
        <v>0</v>
      </c>
      <c r="C20" s="118">
        <f>SUM(C9:C19)</f>
        <v>0</v>
      </c>
      <c r="D20" s="118">
        <f>D9+D11+D12+D14+D19</f>
        <v>120000</v>
      </c>
      <c r="E20" s="118">
        <f t="shared" ref="E20:K20" si="1">SUM(E9:E19)</f>
        <v>0</v>
      </c>
      <c r="F20" s="118">
        <f t="shared" si="1"/>
        <v>0</v>
      </c>
      <c r="G20" s="374">
        <f t="shared" si="1"/>
        <v>0</v>
      </c>
      <c r="H20" s="118">
        <f>SUM(H9:H19)</f>
        <v>3640</v>
      </c>
      <c r="I20" s="118">
        <f t="shared" si="1"/>
        <v>4000</v>
      </c>
      <c r="J20" s="118">
        <f t="shared" si="1"/>
        <v>0</v>
      </c>
      <c r="K20" s="118">
        <f t="shared" si="1"/>
        <v>0</v>
      </c>
      <c r="L20" s="119">
        <f>D20+G20+H20+I20</f>
        <v>127640</v>
      </c>
      <c r="M20" s="51" t="s">
        <v>10</v>
      </c>
      <c r="N20" s="143"/>
      <c r="O20" s="5"/>
    </row>
    <row r="21" spans="1:15" x14ac:dyDescent="0.2">
      <c r="A21" s="290" t="s">
        <v>97</v>
      </c>
      <c r="B21" s="414"/>
      <c r="C21" s="414"/>
      <c r="D21" s="216">
        <v>-4000</v>
      </c>
      <c r="E21" s="414"/>
      <c r="F21" s="414"/>
      <c r="G21" s="414"/>
      <c r="H21" s="414"/>
      <c r="I21" s="414"/>
      <c r="J21" s="414"/>
      <c r="K21" s="414"/>
      <c r="L21" s="215">
        <f>D21</f>
        <v>-4000</v>
      </c>
      <c r="M21" s="51" t="s">
        <v>10</v>
      </c>
      <c r="N21" s="143"/>
    </row>
    <row r="22" spans="1:15" ht="15" x14ac:dyDescent="0.25">
      <c r="A22" s="289" t="s">
        <v>111</v>
      </c>
      <c r="B22" s="213"/>
      <c r="C22" s="213"/>
      <c r="D22" s="213">
        <f>SUM(D20:D21)</f>
        <v>116000</v>
      </c>
      <c r="E22" s="213"/>
      <c r="F22" s="213"/>
      <c r="G22" s="213"/>
      <c r="H22" s="213"/>
      <c r="I22" s="213"/>
      <c r="J22" s="213"/>
      <c r="K22" s="213"/>
      <c r="L22" s="211">
        <f>L20+L21</f>
        <v>123640</v>
      </c>
      <c r="M22" s="51" t="s">
        <v>10</v>
      </c>
      <c r="N22" s="143"/>
      <c r="O22" s="240"/>
    </row>
    <row r="23" spans="1:15" x14ac:dyDescent="0.2">
      <c r="A23" s="210" t="s">
        <v>13</v>
      </c>
      <c r="B23" s="209"/>
      <c r="C23" s="209">
        <v>0</v>
      </c>
      <c r="D23" s="209"/>
      <c r="E23" s="209"/>
      <c r="F23" s="209">
        <v>0</v>
      </c>
      <c r="G23" s="209"/>
      <c r="H23" s="209">
        <v>0</v>
      </c>
      <c r="I23" s="209"/>
      <c r="J23" s="209"/>
      <c r="K23" s="209">
        <f>C23+F23</f>
        <v>0</v>
      </c>
      <c r="L23" s="208"/>
      <c r="M23" s="51" t="s">
        <v>10</v>
      </c>
      <c r="N23" s="143"/>
    </row>
    <row r="24" spans="1:15" x14ac:dyDescent="0.2">
      <c r="A24" s="207" t="s">
        <v>99</v>
      </c>
      <c r="B24" s="154"/>
      <c r="C24" s="154">
        <f>C20+C23</f>
        <v>0</v>
      </c>
      <c r="D24" s="154"/>
      <c r="E24" s="154"/>
      <c r="F24" s="154">
        <f>F20+F23</f>
        <v>0</v>
      </c>
      <c r="G24" s="154"/>
      <c r="H24" s="154">
        <f>H20+H23</f>
        <v>3640</v>
      </c>
      <c r="I24" s="154"/>
      <c r="J24" s="154"/>
      <c r="K24" s="154">
        <f>K20+K23</f>
        <v>0</v>
      </c>
      <c r="L24" s="151"/>
      <c r="M24" s="51" t="s">
        <v>10</v>
      </c>
      <c r="N24" s="143"/>
    </row>
    <row r="25" spans="1:15" x14ac:dyDescent="0.2">
      <c r="A25" s="207"/>
      <c r="B25" s="154"/>
      <c r="C25" s="154"/>
      <c r="D25" s="154"/>
      <c r="E25" s="154"/>
      <c r="F25" s="154"/>
      <c r="G25" s="154"/>
      <c r="H25" s="154"/>
      <c r="I25" s="154"/>
      <c r="J25" s="154"/>
      <c r="K25" s="154"/>
      <c r="L25" s="151"/>
      <c r="M25" s="51" t="s">
        <v>10</v>
      </c>
      <c r="N25" s="143"/>
    </row>
    <row r="26" spans="1:15" x14ac:dyDescent="0.2">
      <c r="A26" s="207" t="s">
        <v>14</v>
      </c>
      <c r="B26" s="154"/>
      <c r="C26" s="154"/>
      <c r="D26" s="154"/>
      <c r="E26" s="154"/>
      <c r="F26" s="154"/>
      <c r="G26" s="154"/>
      <c r="H26" s="154"/>
      <c r="I26" s="154"/>
      <c r="J26" s="154"/>
      <c r="K26" s="154"/>
      <c r="L26" s="151"/>
      <c r="M26" s="51" t="s">
        <v>10</v>
      </c>
      <c r="N26" s="143"/>
    </row>
    <row r="27" spans="1:15" x14ac:dyDescent="0.2">
      <c r="A27" s="206" t="s">
        <v>15</v>
      </c>
      <c r="B27" s="154"/>
      <c r="C27" s="154">
        <v>0</v>
      </c>
      <c r="D27" s="154"/>
      <c r="E27" s="154"/>
      <c r="F27" s="154">
        <v>0</v>
      </c>
      <c r="G27" s="154"/>
      <c r="H27" s="154">
        <v>0</v>
      </c>
      <c r="I27" s="154"/>
      <c r="J27" s="154"/>
      <c r="K27" s="154">
        <f>C27+F27</f>
        <v>0</v>
      </c>
      <c r="L27" s="151"/>
      <c r="M27" s="51" t="s">
        <v>10</v>
      </c>
      <c r="N27" s="143"/>
    </row>
    <row r="28" spans="1:15" x14ac:dyDescent="0.2">
      <c r="A28" s="205" t="s">
        <v>16</v>
      </c>
      <c r="B28" s="204"/>
      <c r="C28" s="204">
        <v>0</v>
      </c>
      <c r="D28" s="204"/>
      <c r="E28" s="204"/>
      <c r="F28" s="204">
        <v>0</v>
      </c>
      <c r="G28" s="204"/>
      <c r="H28" s="204">
        <v>0</v>
      </c>
      <c r="I28" s="204"/>
      <c r="J28" s="204"/>
      <c r="K28" s="204">
        <f>C28+F28</f>
        <v>0</v>
      </c>
      <c r="L28" s="203"/>
      <c r="M28" s="51" t="s">
        <v>10</v>
      </c>
      <c r="N28" s="143"/>
    </row>
    <row r="29" spans="1:15" ht="15" thickBot="1" x14ac:dyDescent="0.25">
      <c r="A29" s="202" t="s">
        <v>100</v>
      </c>
      <c r="B29" s="201"/>
      <c r="C29" s="201">
        <f>C24+C27+C28</f>
        <v>0</v>
      </c>
      <c r="D29" s="201"/>
      <c r="E29" s="201"/>
      <c r="F29" s="201">
        <f>F24+F27+F28</f>
        <v>0</v>
      </c>
      <c r="G29" s="201"/>
      <c r="H29" s="201">
        <f>H24+H27+H28</f>
        <v>3640</v>
      </c>
      <c r="I29" s="201"/>
      <c r="J29" s="201"/>
      <c r="K29" s="201">
        <f>SUM(K24,K27:K28)</f>
        <v>0</v>
      </c>
      <c r="L29" s="200"/>
      <c r="M29" s="51" t="s">
        <v>10</v>
      </c>
      <c r="N29" s="143"/>
    </row>
    <row r="30" spans="1:15" x14ac:dyDescent="0.2">
      <c r="M30" s="51" t="s">
        <v>10</v>
      </c>
    </row>
    <row r="31" spans="1:15" x14ac:dyDescent="0.2">
      <c r="M31" s="51" t="s">
        <v>10</v>
      </c>
    </row>
    <row r="32" spans="1:15" ht="15" x14ac:dyDescent="0.25">
      <c r="A32" s="5" t="s">
        <v>27</v>
      </c>
      <c r="M32" s="51" t="s">
        <v>10</v>
      </c>
    </row>
    <row r="33" spans="1:14" x14ac:dyDescent="0.2">
      <c r="A33" s="176"/>
      <c r="B33" s="176"/>
      <c r="C33" s="176"/>
      <c r="D33" s="176"/>
      <c r="E33" s="176"/>
      <c r="F33" s="176"/>
      <c r="G33" s="176"/>
      <c r="H33" s="176"/>
      <c r="I33" s="176"/>
      <c r="J33" s="176"/>
      <c r="K33" s="176"/>
      <c r="L33" s="176"/>
      <c r="M33" s="51" t="s">
        <v>10</v>
      </c>
    </row>
    <row r="34" spans="1:14" x14ac:dyDescent="0.2">
      <c r="A34" s="176"/>
      <c r="B34" s="176"/>
      <c r="C34" s="176"/>
      <c r="D34" s="176"/>
      <c r="E34" s="176"/>
      <c r="F34" s="176"/>
      <c r="G34" s="176"/>
      <c r="H34" s="176"/>
      <c r="I34" s="176"/>
      <c r="J34" s="176"/>
      <c r="K34" s="176"/>
      <c r="L34" s="176"/>
      <c r="M34" s="51" t="s">
        <v>10</v>
      </c>
    </row>
    <row r="35" spans="1:14" ht="15" x14ac:dyDescent="0.25">
      <c r="A35" s="5" t="s">
        <v>113</v>
      </c>
      <c r="M35" s="51" t="s">
        <v>10</v>
      </c>
    </row>
    <row r="36" spans="1:14" x14ac:dyDescent="0.2">
      <c r="A36" s="176" t="s">
        <v>477</v>
      </c>
      <c r="B36" s="176"/>
      <c r="C36" s="176"/>
      <c r="D36" s="176"/>
      <c r="E36" s="176"/>
      <c r="F36" s="176"/>
      <c r="G36" s="176"/>
      <c r="H36" s="176"/>
      <c r="I36" s="176"/>
      <c r="J36" s="176"/>
      <c r="K36" s="176"/>
      <c r="L36" s="176"/>
      <c r="M36" s="51" t="s">
        <v>10</v>
      </c>
    </row>
    <row r="37" spans="1:14" x14ac:dyDescent="0.2">
      <c r="A37" s="288"/>
      <c r="B37" s="288"/>
      <c r="C37" s="288"/>
      <c r="D37" s="288"/>
      <c r="E37" s="288"/>
      <c r="F37" s="288"/>
      <c r="G37" s="288"/>
      <c r="H37" s="288"/>
      <c r="I37" s="288"/>
      <c r="J37" s="288"/>
      <c r="K37" s="288"/>
      <c r="L37" s="288"/>
      <c r="M37" s="51" t="s">
        <v>10</v>
      </c>
    </row>
    <row r="38" spans="1:14" ht="15" x14ac:dyDescent="0.25">
      <c r="A38" s="5" t="s">
        <v>114</v>
      </c>
      <c r="M38" s="51" t="s">
        <v>10</v>
      </c>
    </row>
    <row r="39" spans="1:14" x14ac:dyDescent="0.2">
      <c r="A39" s="176" t="s">
        <v>478</v>
      </c>
      <c r="B39" s="176"/>
      <c r="C39" s="176"/>
      <c r="D39" s="176"/>
      <c r="E39" s="176"/>
      <c r="F39" s="176"/>
      <c r="G39" s="176"/>
      <c r="H39" s="176"/>
      <c r="I39" s="176"/>
      <c r="J39" s="176"/>
      <c r="K39" s="176"/>
      <c r="L39" s="176"/>
      <c r="M39" s="51" t="s">
        <v>10</v>
      </c>
    </row>
    <row r="40" spans="1:14" x14ac:dyDescent="0.2">
      <c r="M40" s="4" t="s">
        <v>11</v>
      </c>
    </row>
    <row r="41" spans="1:14" x14ac:dyDescent="0.2">
      <c r="M41" s="4"/>
      <c r="N41" s="51"/>
    </row>
  </sheetData>
  <customSheetViews>
    <customSheetView guid="{EE916FE7-61FB-4021-ADDD-E082241FC03C}" scale="80" showPageBreaks="1" printArea="1" view="pageBreakPreview" topLeftCell="A7">
      <selection activeCell="A27" sqref="A27:XFD27"/>
      <pageMargins left="0.7" right="0.7" top="0.66" bottom="0.66" header="0.3" footer="0.3"/>
      <printOptions horizontalCentered="1"/>
      <pageSetup scale="67" orientation="landscape" r:id="rId1"/>
      <headerFooter>
        <oddHeader>&amp;L&amp;"Arial,Bold"&amp;12G. Crosswalk of 2014 Availability</oddHeader>
        <oddFooter>&amp;C&amp;"Arial,Regular"Exhibit G - Crosswalk of 2014 Availability</oddFooter>
      </headerFooter>
    </customSheetView>
    <customSheetView guid="{0BB5DC4B-BC2A-4489-BE17-5E267FA1EF63}" scale="80" showPageBreaks="1" printArea="1" view="pageBreakPreview" topLeftCell="A8">
      <selection activeCell="I35" sqref="I35"/>
      <pageMargins left="0.7" right="0.7" top="0.66" bottom="0.66" header="0.3" footer="0.3"/>
      <printOptions horizontalCentered="1"/>
      <pageSetup scale="66" orientation="landscape" r:id="rId2"/>
      <headerFooter>
        <oddHeader>&amp;L&amp;"Arial,Bold"&amp;12G. Crosswalk of 2014 Availability</oddHeader>
        <oddFooter>&amp;C&amp;"Arial,Regular"Exhibit G - Crosswalk of 2014 Availability</oddFooter>
      </headerFooter>
    </customSheetView>
    <customSheetView guid="{6C58FFE1-D756-42C4-A1BC-AA7F1DC1E56F}" scale="80" showPageBreaks="1" printArea="1" view="pageBreakPreview" topLeftCell="B35">
      <selection activeCell="K60" sqref="K60"/>
      <pageMargins left="0.7" right="0.7" top="0.66" bottom="0.66" header="0.3" footer="0.3"/>
      <printOptions horizontalCentered="1"/>
      <pageSetup scale="67" orientation="landscape" r:id="rId3"/>
      <headerFooter>
        <oddHeader>&amp;L&amp;"Arial,Bold"&amp;12G. Crosswalk of 2014 Availability</oddHeader>
        <oddFooter>&amp;C&amp;"Arial,Regular"Exhibit G - Crosswalk of 2014 Availability&amp;RResearch, Evaluation, and Statistics</oddFooter>
      </headerFooter>
    </customSheetView>
    <customSheetView guid="{CFA5D1C9-F4C9-4B8D-923D-4C71CB6E7D3B}" scale="80" showPageBreaks="1" printArea="1" view="pageBreakPreview" topLeftCell="A7">
      <selection activeCell="A27" sqref="A27:XFD27"/>
      <pageMargins left="0.7" right="0.7" top="0.66" bottom="0.66" header="0.3" footer="0.3"/>
      <printOptions horizontalCentered="1"/>
      <pageSetup scale="67" orientation="landscape" r:id="rId4"/>
      <headerFooter>
        <oddHeader>&amp;L&amp;"Arial,Bold"&amp;12G. Crosswalk of 2014 Availability</oddHeader>
        <oddFooter>&amp;C&amp;"Arial,Regular"Exhibit G - Crosswalk of 2014 Availability</oddFooter>
      </headerFooter>
    </customSheetView>
    <customSheetView guid="{A788DF77-74F1-49E4-8B34-BFBDB7664F30}" scale="80" showPageBreaks="1" printArea="1" view="pageBreakPreview">
      <selection activeCell="E22" sqref="E22"/>
      <pageMargins left="0.7" right="0.7" top="0.66" bottom="0.66" header="0.3" footer="0.3"/>
      <printOptions horizontalCentered="1"/>
      <pageSetup scale="67" orientation="landscape" r:id="rId5"/>
      <headerFooter>
        <oddHeader>&amp;L&amp;"Arial,Bold"&amp;12G. Crosswalk of 2014 Availability</oddHeader>
        <oddFooter>&amp;C&amp;"Arial,Regular"Exhibit G - Crosswalk of 2014 Availability&amp;R&amp;"Arial,Regular"Research, Evaluation, and Statistics</oddFooter>
      </headerFooter>
    </customSheetView>
  </customSheetViews>
  <mergeCells count="8">
    <mergeCell ref="A7:A8"/>
    <mergeCell ref="B7:D7"/>
    <mergeCell ref="E7:G7"/>
    <mergeCell ref="J7:L7"/>
    <mergeCell ref="A1:L1"/>
    <mergeCell ref="A2:L2"/>
    <mergeCell ref="A3:L3"/>
    <mergeCell ref="A4:L4"/>
  </mergeCells>
  <printOptions horizontalCentered="1"/>
  <pageMargins left="0.7" right="0.7" top="0.66" bottom="0.66" header="0.3" footer="0.3"/>
  <pageSetup scale="65" orientation="landscape" r:id="rId6"/>
  <headerFooter>
    <oddHeader>&amp;L&amp;"Arial,Bold"&amp;12G. Crosswalk of 2014 Availability</oddHeader>
    <oddFooter>&amp;C&amp;"Arial,Regular"Exhibit G - Crosswalk of 2014 Availability&amp;R&amp;"Arial,Regular"Research, Evaluation, and Statistics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view="pageBreakPreview" zoomScale="80" zoomScaleNormal="100" zoomScaleSheetLayoutView="80" workbookViewId="0">
      <selection activeCell="P44" sqref="P44"/>
    </sheetView>
  </sheetViews>
  <sheetFormatPr defaultRowHeight="14.25" x14ac:dyDescent="0.2"/>
  <cols>
    <col min="1" max="1" width="54.5703125" style="143" customWidth="1"/>
    <col min="2" max="3" width="8.28515625" style="143" customWidth="1"/>
    <col min="4" max="4" width="12.7109375" style="143" customWidth="1"/>
    <col min="5" max="6" width="8.28515625" style="143" customWidth="1"/>
    <col min="7" max="7" width="12.7109375" style="143" customWidth="1"/>
    <col min="8" max="9" width="8.28515625" style="143" customWidth="1"/>
    <col min="10" max="10" width="12.7109375" style="143" customWidth="1"/>
    <col min="11" max="12" width="8.28515625" style="143" customWidth="1"/>
    <col min="13" max="13" width="12.7109375" style="143" customWidth="1"/>
    <col min="14" max="14" width="14" style="4" bestFit="1" customWidth="1"/>
    <col min="15" max="15" width="4.5703125" style="143" customWidth="1"/>
    <col min="16" max="16" width="116.7109375" style="143" customWidth="1"/>
    <col min="17" max="18" width="8.28515625" style="143" customWidth="1"/>
    <col min="19" max="19" width="12.7109375" style="143" customWidth="1"/>
    <col min="20" max="21" width="8.28515625" style="143" customWidth="1"/>
    <col min="22" max="22" width="12.7109375" style="143" customWidth="1"/>
    <col min="23" max="16384" width="9.140625" style="143"/>
  </cols>
  <sheetData>
    <row r="1" spans="1:22" ht="18" x14ac:dyDescent="0.25">
      <c r="A1" s="577" t="s">
        <v>30</v>
      </c>
      <c r="B1" s="577"/>
      <c r="C1" s="577"/>
      <c r="D1" s="577"/>
      <c r="E1" s="577"/>
      <c r="F1" s="577"/>
      <c r="G1" s="577"/>
      <c r="H1" s="577"/>
      <c r="I1" s="577"/>
      <c r="J1" s="577"/>
      <c r="K1" s="577"/>
      <c r="L1" s="577"/>
      <c r="M1" s="577"/>
      <c r="N1" s="51" t="s">
        <v>10</v>
      </c>
      <c r="O1" s="6"/>
      <c r="P1" s="199"/>
      <c r="Q1" s="6"/>
      <c r="R1" s="6"/>
      <c r="S1" s="6"/>
      <c r="T1" s="6"/>
      <c r="U1" s="6"/>
      <c r="V1" s="6"/>
    </row>
    <row r="2" spans="1:22" ht="15" x14ac:dyDescent="0.2">
      <c r="A2" s="578" t="s">
        <v>152</v>
      </c>
      <c r="B2" s="578"/>
      <c r="C2" s="578"/>
      <c r="D2" s="578"/>
      <c r="E2" s="578"/>
      <c r="F2" s="578"/>
      <c r="G2" s="578"/>
      <c r="H2" s="578"/>
      <c r="I2" s="578"/>
      <c r="J2" s="578"/>
      <c r="K2" s="578"/>
      <c r="L2" s="578"/>
      <c r="M2" s="578"/>
      <c r="N2" s="51" t="s">
        <v>10</v>
      </c>
      <c r="O2" s="7"/>
      <c r="P2" s="198"/>
      <c r="Q2" s="7"/>
      <c r="R2" s="7"/>
      <c r="S2" s="7"/>
      <c r="T2" s="7"/>
      <c r="U2" s="7"/>
      <c r="V2" s="7"/>
    </row>
    <row r="3" spans="1:22" x14ac:dyDescent="0.2">
      <c r="A3" s="579" t="s">
        <v>188</v>
      </c>
      <c r="B3" s="579"/>
      <c r="C3" s="579"/>
      <c r="D3" s="579"/>
      <c r="E3" s="579"/>
      <c r="F3" s="579"/>
      <c r="G3" s="579"/>
      <c r="H3" s="579"/>
      <c r="I3" s="579"/>
      <c r="J3" s="579"/>
      <c r="K3" s="579"/>
      <c r="L3" s="579"/>
      <c r="M3" s="579"/>
      <c r="N3" s="51" t="s">
        <v>10</v>
      </c>
      <c r="O3" s="163"/>
      <c r="P3" s="198"/>
      <c r="Q3" s="163"/>
      <c r="R3" s="163"/>
      <c r="S3" s="163"/>
      <c r="T3" s="163"/>
      <c r="U3" s="163"/>
      <c r="V3" s="163"/>
    </row>
    <row r="4" spans="1:22" x14ac:dyDescent="0.2">
      <c r="A4" s="608" t="s">
        <v>1</v>
      </c>
      <c r="B4" s="608"/>
      <c r="C4" s="608"/>
      <c r="D4" s="608"/>
      <c r="E4" s="608"/>
      <c r="F4" s="608"/>
      <c r="G4" s="608"/>
      <c r="H4" s="608"/>
      <c r="I4" s="608"/>
      <c r="J4" s="608"/>
      <c r="K4" s="608"/>
      <c r="L4" s="608"/>
      <c r="M4" s="608"/>
      <c r="N4" s="51" t="s">
        <v>10</v>
      </c>
      <c r="O4" s="162"/>
      <c r="P4" s="198"/>
      <c r="Q4" s="162"/>
      <c r="R4" s="162"/>
      <c r="S4" s="162"/>
      <c r="T4" s="162"/>
      <c r="U4" s="162"/>
      <c r="V4" s="162"/>
    </row>
    <row r="5" spans="1:22" ht="15" x14ac:dyDescent="0.25">
      <c r="A5" s="608"/>
      <c r="B5" s="608"/>
      <c r="C5" s="608"/>
      <c r="D5" s="608"/>
      <c r="E5" s="608"/>
      <c r="F5" s="608"/>
      <c r="G5" s="608"/>
      <c r="H5" s="608"/>
      <c r="I5" s="608"/>
      <c r="J5" s="608"/>
      <c r="K5" s="608"/>
      <c r="L5" s="608"/>
      <c r="M5" s="608"/>
      <c r="N5" s="51" t="s">
        <v>10</v>
      </c>
      <c r="O5" s="162"/>
      <c r="P5" s="241"/>
      <c r="Q5" s="162"/>
      <c r="R5" s="162"/>
      <c r="S5" s="162"/>
      <c r="T5" s="162"/>
      <c r="U5" s="162"/>
      <c r="V5" s="162"/>
    </row>
    <row r="6" spans="1:22" ht="15" thickBot="1" x14ac:dyDescent="0.25">
      <c r="A6" s="608"/>
      <c r="B6" s="608"/>
      <c r="C6" s="608"/>
      <c r="D6" s="608"/>
      <c r="E6" s="608"/>
      <c r="F6" s="608"/>
      <c r="G6" s="608"/>
      <c r="H6" s="608"/>
      <c r="I6" s="608"/>
      <c r="J6" s="608"/>
      <c r="K6" s="608"/>
      <c r="L6" s="608"/>
      <c r="M6" s="608"/>
      <c r="N6" s="51" t="s">
        <v>10</v>
      </c>
      <c r="O6" s="162"/>
      <c r="P6" s="162"/>
      <c r="Q6" s="162"/>
      <c r="R6" s="162"/>
      <c r="S6" s="162"/>
      <c r="T6" s="162"/>
      <c r="U6" s="162"/>
      <c r="V6" s="162"/>
    </row>
    <row r="7" spans="1:22" ht="15" x14ac:dyDescent="0.25">
      <c r="A7" s="585" t="s">
        <v>116</v>
      </c>
      <c r="B7" s="588" t="s">
        <v>133</v>
      </c>
      <c r="C7" s="588"/>
      <c r="D7" s="588"/>
      <c r="E7" s="588" t="s">
        <v>136</v>
      </c>
      <c r="F7" s="588"/>
      <c r="G7" s="588"/>
      <c r="H7" s="588" t="s">
        <v>130</v>
      </c>
      <c r="I7" s="588"/>
      <c r="J7" s="588"/>
      <c r="K7" s="588" t="s">
        <v>31</v>
      </c>
      <c r="L7" s="588"/>
      <c r="M7" s="589"/>
      <c r="N7" s="51" t="s">
        <v>10</v>
      </c>
      <c r="P7" s="5"/>
    </row>
    <row r="8" spans="1:22" ht="28.5" x14ac:dyDescent="0.2">
      <c r="A8" s="586"/>
      <c r="B8" s="235" t="s">
        <v>32</v>
      </c>
      <c r="C8" s="235" t="s">
        <v>33</v>
      </c>
      <c r="D8" s="235" t="s">
        <v>3</v>
      </c>
      <c r="E8" s="235" t="s">
        <v>32</v>
      </c>
      <c r="F8" s="235" t="s">
        <v>33</v>
      </c>
      <c r="G8" s="235" t="s">
        <v>3</v>
      </c>
      <c r="H8" s="235" t="s">
        <v>32</v>
      </c>
      <c r="I8" s="235" t="s">
        <v>33</v>
      </c>
      <c r="J8" s="235" t="s">
        <v>3</v>
      </c>
      <c r="K8" s="235" t="s">
        <v>32</v>
      </c>
      <c r="L8" s="235" t="s">
        <v>33</v>
      </c>
      <c r="M8" s="234" t="s">
        <v>3</v>
      </c>
      <c r="N8" s="51" t="s">
        <v>10</v>
      </c>
      <c r="P8" s="176"/>
    </row>
    <row r="9" spans="1:22" ht="15" x14ac:dyDescent="0.25">
      <c r="A9" s="413" t="s">
        <v>249</v>
      </c>
      <c r="B9" s="414">
        <v>0</v>
      </c>
      <c r="C9" s="414">
        <v>0</v>
      </c>
      <c r="D9" s="414">
        <v>3271</v>
      </c>
      <c r="E9" s="414">
        <v>0</v>
      </c>
      <c r="F9" s="414">
        <v>0</v>
      </c>
      <c r="G9" s="414">
        <v>3271</v>
      </c>
      <c r="H9" s="414">
        <v>0</v>
      </c>
      <c r="I9" s="414">
        <v>0</v>
      </c>
      <c r="J9" s="414">
        <v>3271</v>
      </c>
      <c r="K9" s="414">
        <f t="shared" ref="K9:M13" si="0">H9-E9</f>
        <v>0</v>
      </c>
      <c r="L9" s="414">
        <f t="shared" si="0"/>
        <v>0</v>
      </c>
      <c r="M9" s="415">
        <f t="shared" si="0"/>
        <v>0</v>
      </c>
      <c r="N9" s="51" t="s">
        <v>10</v>
      </c>
      <c r="P9" s="5"/>
    </row>
    <row r="10" spans="1:22" x14ac:dyDescent="0.2">
      <c r="A10" s="207" t="s">
        <v>248</v>
      </c>
      <c r="B10" s="154">
        <v>0</v>
      </c>
      <c r="C10" s="154">
        <v>0</v>
      </c>
      <c r="D10" s="154">
        <v>1207</v>
      </c>
      <c r="E10" s="154">
        <v>0</v>
      </c>
      <c r="F10" s="154">
        <v>0</v>
      </c>
      <c r="G10" s="154">
        <v>1207</v>
      </c>
      <c r="H10" s="154">
        <v>0</v>
      </c>
      <c r="I10" s="154">
        <v>0</v>
      </c>
      <c r="J10" s="154">
        <v>1207</v>
      </c>
      <c r="K10" s="154">
        <f t="shared" si="0"/>
        <v>0</v>
      </c>
      <c r="L10" s="154">
        <f t="shared" si="0"/>
        <v>0</v>
      </c>
      <c r="M10" s="151">
        <f t="shared" si="0"/>
        <v>0</v>
      </c>
      <c r="N10" s="51" t="s">
        <v>10</v>
      </c>
    </row>
    <row r="11" spans="1:22" x14ac:dyDescent="0.2">
      <c r="A11" s="207" t="s">
        <v>247</v>
      </c>
      <c r="B11" s="154">
        <v>0</v>
      </c>
      <c r="C11" s="154">
        <v>0</v>
      </c>
      <c r="D11" s="154">
        <v>3533</v>
      </c>
      <c r="E11" s="154">
        <v>0</v>
      </c>
      <c r="F11" s="154">
        <v>0</v>
      </c>
      <c r="G11" s="154">
        <v>3533</v>
      </c>
      <c r="H11" s="154">
        <v>0</v>
      </c>
      <c r="I11" s="154">
        <v>0</v>
      </c>
      <c r="J11" s="154">
        <v>3533</v>
      </c>
      <c r="K11" s="154">
        <f t="shared" si="0"/>
        <v>0</v>
      </c>
      <c r="L11" s="154">
        <f t="shared" si="0"/>
        <v>0</v>
      </c>
      <c r="M11" s="151">
        <f t="shared" si="0"/>
        <v>0</v>
      </c>
      <c r="N11" s="51" t="s">
        <v>10</v>
      </c>
    </row>
    <row r="12" spans="1:22" x14ac:dyDescent="0.2">
      <c r="A12" s="353" t="s">
        <v>153</v>
      </c>
      <c r="B12" s="204">
        <v>0</v>
      </c>
      <c r="C12" s="204">
        <v>0</v>
      </c>
      <c r="D12" s="204">
        <v>181045</v>
      </c>
      <c r="E12" s="204">
        <v>0</v>
      </c>
      <c r="F12" s="204">
        <v>0</v>
      </c>
      <c r="G12" s="204">
        <v>182000</v>
      </c>
      <c r="H12" s="204">
        <v>0</v>
      </c>
      <c r="I12" s="204">
        <v>0</v>
      </c>
      <c r="J12" s="204">
        <v>186000</v>
      </c>
      <c r="K12" s="204">
        <f t="shared" ref="K12" si="1">H12-E12</f>
        <v>0</v>
      </c>
      <c r="L12" s="204">
        <f t="shared" ref="L12" si="2">I12-F12</f>
        <v>0</v>
      </c>
      <c r="M12" s="203">
        <f>J12-G12</f>
        <v>4000</v>
      </c>
      <c r="N12" s="51" t="s">
        <v>10</v>
      </c>
    </row>
    <row r="13" spans="1:22" x14ac:dyDescent="0.2">
      <c r="A13" s="222" t="s">
        <v>246</v>
      </c>
      <c r="B13" s="213">
        <v>0</v>
      </c>
      <c r="C13" s="213">
        <v>0</v>
      </c>
      <c r="D13" s="213">
        <v>27</v>
      </c>
      <c r="E13" s="213">
        <v>0</v>
      </c>
      <c r="F13" s="213">
        <v>0</v>
      </c>
      <c r="G13" s="213">
        <v>27</v>
      </c>
      <c r="H13" s="213">
        <v>0</v>
      </c>
      <c r="I13" s="213">
        <v>0</v>
      </c>
      <c r="J13" s="213">
        <v>27</v>
      </c>
      <c r="K13" s="213">
        <f t="shared" si="0"/>
        <v>0</v>
      </c>
      <c r="L13" s="213">
        <f t="shared" si="0"/>
        <v>0</v>
      </c>
      <c r="M13" s="211">
        <f t="shared" si="0"/>
        <v>0</v>
      </c>
      <c r="N13" s="51" t="s">
        <v>10</v>
      </c>
    </row>
    <row r="14" spans="1:22" ht="15.75" thickBot="1" x14ac:dyDescent="0.3">
      <c r="A14" s="21" t="s">
        <v>109</v>
      </c>
      <c r="B14" s="27">
        <f t="shared" ref="B14:M14" si="3">SUM(B9:B13)</f>
        <v>0</v>
      </c>
      <c r="C14" s="27">
        <f t="shared" si="3"/>
        <v>0</v>
      </c>
      <c r="D14" s="27">
        <f t="shared" si="3"/>
        <v>189083</v>
      </c>
      <c r="E14" s="27">
        <f t="shared" si="3"/>
        <v>0</v>
      </c>
      <c r="F14" s="27">
        <f t="shared" si="3"/>
        <v>0</v>
      </c>
      <c r="G14" s="27">
        <f t="shared" si="3"/>
        <v>190038</v>
      </c>
      <c r="H14" s="27">
        <f t="shared" si="3"/>
        <v>0</v>
      </c>
      <c r="I14" s="27">
        <f t="shared" si="3"/>
        <v>0</v>
      </c>
      <c r="J14" s="27">
        <f t="shared" si="3"/>
        <v>194038</v>
      </c>
      <c r="K14" s="27">
        <f t="shared" si="3"/>
        <v>0</v>
      </c>
      <c r="L14" s="27">
        <f t="shared" si="3"/>
        <v>0</v>
      </c>
      <c r="M14" s="251">
        <f t="shared" si="3"/>
        <v>4000</v>
      </c>
      <c r="N14" s="51" t="s">
        <v>10</v>
      </c>
    </row>
    <row r="15" spans="1:22" ht="15" thickBot="1" x14ac:dyDescent="0.25">
      <c r="N15" s="51" t="s">
        <v>10</v>
      </c>
    </row>
    <row r="16" spans="1:22" ht="18" customHeight="1" x14ac:dyDescent="0.2">
      <c r="A16" s="585" t="s">
        <v>105</v>
      </c>
      <c r="B16" s="588" t="s">
        <v>133</v>
      </c>
      <c r="C16" s="588"/>
      <c r="D16" s="588"/>
      <c r="E16" s="588" t="s">
        <v>136</v>
      </c>
      <c r="F16" s="588"/>
      <c r="G16" s="588"/>
      <c r="H16" s="588" t="s">
        <v>130</v>
      </c>
      <c r="I16" s="588"/>
      <c r="J16" s="588"/>
      <c r="K16" s="588" t="s">
        <v>31</v>
      </c>
      <c r="L16" s="588"/>
      <c r="M16" s="589"/>
      <c r="N16" s="51" t="s">
        <v>10</v>
      </c>
    </row>
    <row r="17" spans="1:16" ht="28.5" x14ac:dyDescent="0.25">
      <c r="A17" s="586"/>
      <c r="B17" s="235" t="s">
        <v>32</v>
      </c>
      <c r="C17" s="235" t="s">
        <v>33</v>
      </c>
      <c r="D17" s="235" t="s">
        <v>3</v>
      </c>
      <c r="E17" s="235" t="s">
        <v>32</v>
      </c>
      <c r="F17" s="235" t="s">
        <v>33</v>
      </c>
      <c r="G17" s="235" t="s">
        <v>3</v>
      </c>
      <c r="H17" s="235" t="s">
        <v>32</v>
      </c>
      <c r="I17" s="235" t="s">
        <v>33</v>
      </c>
      <c r="J17" s="235" t="s">
        <v>3</v>
      </c>
      <c r="K17" s="235" t="s">
        <v>32</v>
      </c>
      <c r="L17" s="235" t="s">
        <v>33</v>
      </c>
      <c r="M17" s="234" t="s">
        <v>3</v>
      </c>
      <c r="N17" s="51" t="s">
        <v>10</v>
      </c>
      <c r="P17" s="293"/>
    </row>
    <row r="18" spans="1:16" ht="15" x14ac:dyDescent="0.25">
      <c r="A18" s="413" t="s">
        <v>245</v>
      </c>
      <c r="B18" s="414">
        <v>0</v>
      </c>
      <c r="C18" s="414">
        <v>0</v>
      </c>
      <c r="D18" s="414">
        <v>545</v>
      </c>
      <c r="E18" s="414">
        <v>0</v>
      </c>
      <c r="F18" s="414">
        <v>0</v>
      </c>
      <c r="G18" s="414">
        <v>545</v>
      </c>
      <c r="H18" s="414">
        <v>0</v>
      </c>
      <c r="I18" s="414">
        <v>0</v>
      </c>
      <c r="J18" s="414">
        <v>545</v>
      </c>
      <c r="K18" s="414">
        <f t="shared" ref="K18:M21" si="4">H18-E18</f>
        <v>0</v>
      </c>
      <c r="L18" s="414">
        <f t="shared" si="4"/>
        <v>0</v>
      </c>
      <c r="M18" s="415">
        <f>J18-G18</f>
        <v>0</v>
      </c>
      <c r="N18" s="51" t="s">
        <v>10</v>
      </c>
      <c r="P18" s="5"/>
    </row>
    <row r="19" spans="1:16" ht="15" x14ac:dyDescent="0.25">
      <c r="A19" s="210" t="s">
        <v>153</v>
      </c>
      <c r="B19" s="209">
        <v>0</v>
      </c>
      <c r="C19" s="209">
        <v>0</v>
      </c>
      <c r="D19" s="209">
        <v>181045</v>
      </c>
      <c r="E19" s="209">
        <v>0</v>
      </c>
      <c r="F19" s="209">
        <v>0</v>
      </c>
      <c r="G19" s="209">
        <v>182000</v>
      </c>
      <c r="H19" s="209">
        <v>0</v>
      </c>
      <c r="I19" s="209">
        <v>0</v>
      </c>
      <c r="J19" s="209">
        <v>186000</v>
      </c>
      <c r="K19" s="209">
        <f t="shared" ref="K19" si="5">H19-E19</f>
        <v>0</v>
      </c>
      <c r="L19" s="209">
        <f t="shared" ref="L19" si="6">I19-F19</f>
        <v>0</v>
      </c>
      <c r="M19" s="208">
        <f>J19-G19</f>
        <v>4000</v>
      </c>
      <c r="N19" s="51" t="s">
        <v>10</v>
      </c>
      <c r="P19" s="5"/>
    </row>
    <row r="20" spans="1:16" x14ac:dyDescent="0.2">
      <c r="A20" s="207" t="s">
        <v>244</v>
      </c>
      <c r="B20" s="154">
        <v>0</v>
      </c>
      <c r="C20" s="154">
        <v>0</v>
      </c>
      <c r="D20" s="154">
        <v>6086</v>
      </c>
      <c r="E20" s="154">
        <v>0</v>
      </c>
      <c r="F20" s="154">
        <v>0</v>
      </c>
      <c r="G20" s="154">
        <v>6086</v>
      </c>
      <c r="H20" s="154">
        <v>0</v>
      </c>
      <c r="I20" s="154">
        <v>0</v>
      </c>
      <c r="J20" s="154">
        <v>6086</v>
      </c>
      <c r="K20" s="154">
        <f t="shared" si="4"/>
        <v>0</v>
      </c>
      <c r="L20" s="154">
        <f t="shared" si="4"/>
        <v>0</v>
      </c>
      <c r="M20" s="151">
        <f t="shared" si="4"/>
        <v>0</v>
      </c>
      <c r="N20" s="51" t="s">
        <v>10</v>
      </c>
    </row>
    <row r="21" spans="1:16" x14ac:dyDescent="0.2">
      <c r="A21" s="207" t="s">
        <v>243</v>
      </c>
      <c r="B21" s="154">
        <v>0</v>
      </c>
      <c r="C21" s="154">
        <v>0</v>
      </c>
      <c r="D21" s="154">
        <v>1407</v>
      </c>
      <c r="E21" s="154">
        <v>0</v>
      </c>
      <c r="F21" s="154">
        <v>0</v>
      </c>
      <c r="G21" s="154">
        <v>1407</v>
      </c>
      <c r="H21" s="154">
        <v>0</v>
      </c>
      <c r="I21" s="154">
        <v>0</v>
      </c>
      <c r="J21" s="154">
        <v>1407</v>
      </c>
      <c r="K21" s="154">
        <f t="shared" si="4"/>
        <v>0</v>
      </c>
      <c r="L21" s="154">
        <f t="shared" si="4"/>
        <v>0</v>
      </c>
      <c r="M21" s="151">
        <f t="shared" si="4"/>
        <v>0</v>
      </c>
      <c r="N21" s="51" t="s">
        <v>10</v>
      </c>
    </row>
    <row r="22" spans="1:16" ht="15.75" thickBot="1" x14ac:dyDescent="0.3">
      <c r="A22" s="21" t="s">
        <v>109</v>
      </c>
      <c r="B22" s="27">
        <f t="shared" ref="B22:M22" si="7">SUM(B18:B21)</f>
        <v>0</v>
      </c>
      <c r="C22" s="27">
        <f t="shared" si="7"/>
        <v>0</v>
      </c>
      <c r="D22" s="27">
        <f t="shared" si="7"/>
        <v>189083</v>
      </c>
      <c r="E22" s="27">
        <f t="shared" si="7"/>
        <v>0</v>
      </c>
      <c r="F22" s="27">
        <f t="shared" si="7"/>
        <v>0</v>
      </c>
      <c r="G22" s="27">
        <f t="shared" si="7"/>
        <v>190038</v>
      </c>
      <c r="H22" s="27">
        <f t="shared" si="7"/>
        <v>0</v>
      </c>
      <c r="I22" s="27">
        <f t="shared" si="7"/>
        <v>0</v>
      </c>
      <c r="J22" s="27">
        <f t="shared" si="7"/>
        <v>194038</v>
      </c>
      <c r="K22" s="27">
        <f t="shared" si="7"/>
        <v>0</v>
      </c>
      <c r="L22" s="27">
        <f t="shared" si="7"/>
        <v>0</v>
      </c>
      <c r="M22" s="251">
        <f t="shared" si="7"/>
        <v>4000</v>
      </c>
      <c r="N22" s="51" t="s">
        <v>10</v>
      </c>
      <c r="P22" s="5"/>
    </row>
    <row r="23" spans="1:16" x14ac:dyDescent="0.2">
      <c r="N23" s="51" t="s">
        <v>11</v>
      </c>
    </row>
    <row r="24" spans="1:16" x14ac:dyDescent="0.2">
      <c r="N24" s="51"/>
    </row>
  </sheetData>
  <customSheetViews>
    <customSheetView guid="{EE916FE7-61FB-4021-ADDD-E082241FC03C}" scale="80" showPageBreaks="1" printArea="1" view="pageBreakPreview">
      <selection activeCell="D8" sqref="D8:D9"/>
      <pageMargins left="0.7" right="0.7" top="0.75" bottom="0.75" header="0.3" footer="0.3"/>
      <printOptions horizontalCentered="1"/>
      <pageSetup scale="71" orientation="landscape" r:id="rId1"/>
      <headerFooter>
        <oddHeader>&amp;L&amp;"Arial,Bold"&amp;12H. Summary of Reimbursable Resources</oddHeader>
        <oddFooter>&amp;C&amp;"Arial,Regular"Exhibit H - Summary of Reimbursable Resources</oddFooter>
      </headerFooter>
    </customSheetView>
    <customSheetView guid="{0BB5DC4B-BC2A-4489-BE17-5E267FA1EF63}" scale="80" showPageBreaks="1" printArea="1" view="pageBreakPreview">
      <selection activeCell="D8" sqref="D8:D9"/>
      <pageMargins left="0.7" right="0.7" top="0.75" bottom="0.75" header="0.3" footer="0.3"/>
      <printOptions horizontalCentered="1"/>
      <pageSetup scale="71" orientation="landscape" r:id="rId2"/>
      <headerFooter>
        <oddHeader>&amp;L&amp;"Arial,Bold"&amp;12H. Summary of Reimbursable Resources</oddHeader>
        <oddFooter>&amp;C&amp;"Arial,Regular"Exhibit H - Summary of Reimbursable Resources</oddFooter>
      </headerFooter>
    </customSheetView>
    <customSheetView guid="{6C58FFE1-D756-42C4-A1BC-AA7F1DC1E56F}" scale="80" showPageBreaks="1" printArea="1" view="pageBreakPreview" topLeftCell="B18">
      <selection activeCell="G33" sqref="G33"/>
      <pageMargins left="0.7" right="0.7" top="0.75" bottom="0.75" header="0.3" footer="0.3"/>
      <printOptions horizontalCentered="1"/>
      <pageSetup scale="71" orientation="landscape" r:id="rId3"/>
      <headerFooter>
        <oddHeader>&amp;L&amp;"Arial,Bold"&amp;12H. Summary of Reimbursable Resources</oddHeader>
        <oddFooter>&amp;C&amp;"Arial,Regular"Exhibit H - Summary of Reimbursable Resources&amp;RResearch, Evaluation, and Statistics</oddFooter>
      </headerFooter>
    </customSheetView>
    <customSheetView guid="{CFA5D1C9-F4C9-4B8D-923D-4C71CB6E7D3B}" scale="80" showPageBreaks="1" printArea="1" view="pageBreakPreview">
      <selection activeCell="D8" sqref="D8:D9"/>
      <pageMargins left="0.7" right="0.7" top="0.75" bottom="0.75" header="0.3" footer="0.3"/>
      <printOptions horizontalCentered="1"/>
      <pageSetup scale="71" orientation="landscape" r:id="rId4"/>
      <headerFooter>
        <oddHeader>&amp;L&amp;"Arial,Bold"&amp;12H. Summary of Reimbursable Resources</oddHeader>
        <oddFooter>&amp;C&amp;"Arial,Regular"Exhibit H - Summary of Reimbursable Resources</oddFooter>
      </headerFooter>
    </customSheetView>
    <customSheetView guid="{A788DF77-74F1-49E4-8B34-BFBDB7664F30}" scale="80" showPageBreaks="1" printArea="1" view="pageBreakPreview">
      <selection activeCell="G33" sqref="G33"/>
      <pageMargins left="0.7" right="0.7" top="0.75" bottom="0.75" header="0.3" footer="0.3"/>
      <printOptions horizontalCentered="1"/>
      <pageSetup scale="71" orientation="landscape" r:id="rId5"/>
      <headerFooter>
        <oddHeader>&amp;L&amp;"Arial,Bold"&amp;12H. Summary of Reimbursable Resources</oddHeader>
        <oddFooter>&amp;C&amp;"Arial,Regular"Exhibit H - Summary of Reimbursable Resources&amp;R&amp;"Arial,Regular"Research, Evaluation, and Statistics</oddFooter>
      </headerFooter>
    </customSheetView>
  </customSheetViews>
  <mergeCells count="16">
    <mergeCell ref="A7:A8"/>
    <mergeCell ref="B7:D7"/>
    <mergeCell ref="E7:G7"/>
    <mergeCell ref="H7:J7"/>
    <mergeCell ref="K7:M7"/>
    <mergeCell ref="A16:A17"/>
    <mergeCell ref="B16:D16"/>
    <mergeCell ref="E16:G16"/>
    <mergeCell ref="H16:J16"/>
    <mergeCell ref="K16:M16"/>
    <mergeCell ref="A6:M6"/>
    <mergeCell ref="A1:M1"/>
    <mergeCell ref="A2:M2"/>
    <mergeCell ref="A3:M3"/>
    <mergeCell ref="A4:M4"/>
    <mergeCell ref="A5:M5"/>
  </mergeCells>
  <printOptions horizontalCentered="1"/>
  <pageMargins left="0.7" right="0.7" top="0.75" bottom="0.75" header="0.3" footer="0.3"/>
  <pageSetup scale="71" orientation="landscape" r:id="rId6"/>
  <headerFooter>
    <oddHeader>&amp;L&amp;"Arial,Bold"&amp;12H. Summary of Reimbursable Resources</oddHeader>
    <oddFooter>&amp;C&amp;"Arial,Regular"Exhibit H - Summary of Reimbursable Resources&amp;R&amp;"Arial,Regular"Research, Evaluation, and Statistics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view="pageBreakPreview" zoomScale="80" zoomScaleNormal="100" zoomScaleSheetLayoutView="80" workbookViewId="0">
      <selection activeCell="G32" sqref="G32"/>
    </sheetView>
  </sheetViews>
  <sheetFormatPr defaultRowHeight="14.25" x14ac:dyDescent="0.2"/>
  <cols>
    <col min="1" max="1" width="63.5703125" style="143" customWidth="1"/>
    <col min="2" max="2" width="8.7109375" style="143" customWidth="1"/>
    <col min="3" max="3" width="12.7109375" style="143" customWidth="1"/>
    <col min="4" max="4" width="8.7109375" style="143" customWidth="1"/>
    <col min="5" max="5" width="12.7109375" style="143" customWidth="1"/>
    <col min="6" max="6" width="8.7109375" style="143" customWidth="1"/>
    <col min="7" max="7" width="12.7109375" style="143" customWidth="1"/>
    <col min="8" max="8" width="8.7109375" style="143" customWidth="1"/>
    <col min="9" max="9" width="12.7109375" style="143" customWidth="1"/>
    <col min="10" max="10" width="8.7109375" style="143" customWidth="1"/>
    <col min="11" max="11" width="12.7109375" style="143" customWidth="1"/>
    <col min="12" max="12" width="8.7109375" style="143" customWidth="1"/>
    <col min="13" max="13" width="12.7109375" style="143" customWidth="1"/>
    <col min="14" max="14" width="14" style="4" bestFit="1" customWidth="1"/>
    <col min="15" max="15" width="4.5703125" style="143" customWidth="1"/>
    <col min="16" max="16" width="122.85546875" style="143" customWidth="1"/>
    <col min="17" max="18" width="8.28515625" style="143" customWidth="1"/>
    <col min="19" max="19" width="12.7109375" style="143" customWidth="1"/>
    <col min="20" max="21" width="8.28515625" style="143" customWidth="1"/>
    <col min="22" max="22" width="12.7109375" style="143" customWidth="1"/>
    <col min="23" max="16384" width="9.140625" style="143"/>
  </cols>
  <sheetData>
    <row r="1" spans="1:22" ht="18" x14ac:dyDescent="0.25">
      <c r="A1" s="577" t="s">
        <v>253</v>
      </c>
      <c r="B1" s="577"/>
      <c r="C1" s="577"/>
      <c r="D1" s="577"/>
      <c r="E1" s="577"/>
      <c r="F1" s="577"/>
      <c r="G1" s="577"/>
      <c r="H1" s="577"/>
      <c r="I1" s="577"/>
      <c r="J1" s="577"/>
      <c r="K1" s="577"/>
      <c r="L1" s="577"/>
      <c r="M1" s="577"/>
      <c r="N1" s="51" t="s">
        <v>10</v>
      </c>
      <c r="O1" s="6"/>
      <c r="P1" s="199"/>
      <c r="Q1" s="6"/>
      <c r="R1" s="6"/>
      <c r="S1" s="6"/>
      <c r="T1" s="6"/>
      <c r="U1" s="6"/>
      <c r="V1" s="6"/>
    </row>
    <row r="2" spans="1:22" ht="15" x14ac:dyDescent="0.2">
      <c r="A2" s="578" t="s">
        <v>152</v>
      </c>
      <c r="B2" s="578"/>
      <c r="C2" s="578"/>
      <c r="D2" s="578"/>
      <c r="E2" s="578"/>
      <c r="F2" s="578"/>
      <c r="G2" s="578"/>
      <c r="H2" s="578"/>
      <c r="I2" s="578"/>
      <c r="J2" s="578"/>
      <c r="K2" s="578"/>
      <c r="L2" s="578"/>
      <c r="M2" s="578"/>
      <c r="N2" s="51" t="s">
        <v>10</v>
      </c>
      <c r="O2" s="7"/>
      <c r="P2" s="198"/>
      <c r="Q2" s="7"/>
      <c r="R2" s="7"/>
      <c r="S2" s="7"/>
      <c r="T2" s="7"/>
      <c r="U2" s="7"/>
      <c r="V2" s="7"/>
    </row>
    <row r="3" spans="1:22" x14ac:dyDescent="0.2">
      <c r="A3" s="579" t="s">
        <v>188</v>
      </c>
      <c r="B3" s="579"/>
      <c r="C3" s="579"/>
      <c r="D3" s="579"/>
      <c r="E3" s="579"/>
      <c r="F3" s="579"/>
      <c r="G3" s="579"/>
      <c r="H3" s="579"/>
      <c r="I3" s="579"/>
      <c r="J3" s="579"/>
      <c r="K3" s="579"/>
      <c r="L3" s="579"/>
      <c r="M3" s="579"/>
      <c r="N3" s="51" t="s">
        <v>10</v>
      </c>
      <c r="O3" s="163"/>
      <c r="P3" s="198"/>
      <c r="Q3" s="163"/>
      <c r="R3" s="163"/>
      <c r="S3" s="163"/>
      <c r="T3" s="163"/>
      <c r="U3" s="163"/>
      <c r="V3" s="163"/>
    </row>
    <row r="4" spans="1:22" x14ac:dyDescent="0.2">
      <c r="A4" s="608" t="s">
        <v>1</v>
      </c>
      <c r="B4" s="608"/>
      <c r="C4" s="608"/>
      <c r="D4" s="608"/>
      <c r="E4" s="608"/>
      <c r="F4" s="608"/>
      <c r="G4" s="608"/>
      <c r="H4" s="608"/>
      <c r="I4" s="608"/>
      <c r="J4" s="608"/>
      <c r="K4" s="608"/>
      <c r="L4" s="608"/>
      <c r="M4" s="608"/>
      <c r="N4" s="51" t="s">
        <v>10</v>
      </c>
      <c r="O4" s="162"/>
      <c r="P4" s="198"/>
      <c r="Q4" s="162"/>
      <c r="R4" s="162"/>
      <c r="S4" s="162"/>
      <c r="T4" s="162"/>
      <c r="U4" s="162"/>
      <c r="V4" s="162"/>
    </row>
    <row r="5" spans="1:22" ht="15.75" thickBot="1" x14ac:dyDescent="0.3">
      <c r="A5" s="640"/>
      <c r="B5" s="640"/>
      <c r="C5" s="640"/>
      <c r="D5" s="640"/>
      <c r="E5" s="640"/>
      <c r="F5" s="640"/>
      <c r="G5" s="640"/>
      <c r="H5" s="640"/>
      <c r="I5" s="640"/>
      <c r="J5" s="640"/>
      <c r="K5" s="640"/>
      <c r="L5" s="640"/>
      <c r="M5" s="640"/>
      <c r="N5" s="51" t="s">
        <v>10</v>
      </c>
      <c r="O5" s="162"/>
      <c r="P5" s="241"/>
      <c r="Q5" s="162"/>
      <c r="R5" s="162"/>
      <c r="S5" s="162"/>
      <c r="T5" s="162"/>
      <c r="U5" s="162"/>
      <c r="V5" s="162"/>
    </row>
    <row r="6" spans="1:22" ht="15" customHeight="1" x14ac:dyDescent="0.2">
      <c r="A6" s="585"/>
      <c r="B6" s="621" t="s">
        <v>188</v>
      </c>
      <c r="C6" s="646"/>
      <c r="D6" s="646"/>
      <c r="E6" s="646"/>
      <c r="F6" s="646"/>
      <c r="G6" s="646"/>
      <c r="H6" s="646"/>
      <c r="I6" s="646"/>
      <c r="J6" s="646"/>
      <c r="K6" s="647"/>
      <c r="L6" s="620" t="s">
        <v>9</v>
      </c>
      <c r="M6" s="641"/>
      <c r="N6" s="51" t="s">
        <v>10</v>
      </c>
      <c r="P6" s="247"/>
    </row>
    <row r="7" spans="1:22" ht="15" customHeight="1" x14ac:dyDescent="0.2">
      <c r="A7" s="638"/>
      <c r="B7" s="636" t="s">
        <v>378</v>
      </c>
      <c r="C7" s="639"/>
      <c r="D7" s="636" t="s">
        <v>378</v>
      </c>
      <c r="E7" s="639"/>
      <c r="F7" s="636" t="s">
        <v>378</v>
      </c>
      <c r="G7" s="639"/>
      <c r="H7" s="636" t="s">
        <v>378</v>
      </c>
      <c r="I7" s="639"/>
      <c r="J7" s="636" t="s">
        <v>376</v>
      </c>
      <c r="K7" s="639"/>
      <c r="L7" s="642"/>
      <c r="M7" s="643"/>
      <c r="N7" s="51"/>
      <c r="P7" s="247"/>
    </row>
    <row r="8" spans="1:22" ht="60" customHeight="1" x14ac:dyDescent="0.2">
      <c r="A8" s="638"/>
      <c r="B8" s="636" t="s">
        <v>238</v>
      </c>
      <c r="C8" s="637"/>
      <c r="D8" s="636" t="s">
        <v>239</v>
      </c>
      <c r="E8" s="637"/>
      <c r="F8" s="636" t="s">
        <v>168</v>
      </c>
      <c r="G8" s="637"/>
      <c r="H8" s="636" t="s">
        <v>251</v>
      </c>
      <c r="I8" s="637"/>
      <c r="J8" s="636" t="s">
        <v>165</v>
      </c>
      <c r="K8" s="637"/>
      <c r="L8" s="644"/>
      <c r="M8" s="645"/>
      <c r="N8" s="51" t="s">
        <v>10</v>
      </c>
    </row>
    <row r="9" spans="1:22" ht="28.5" x14ac:dyDescent="0.2">
      <c r="A9" s="586"/>
      <c r="B9" s="235" t="s">
        <v>2</v>
      </c>
      <c r="C9" s="235" t="s">
        <v>3</v>
      </c>
      <c r="D9" s="235" t="s">
        <v>2</v>
      </c>
      <c r="E9" s="235" t="s">
        <v>3</v>
      </c>
      <c r="F9" s="235" t="s">
        <v>2</v>
      </c>
      <c r="G9" s="235" t="s">
        <v>3</v>
      </c>
      <c r="H9" s="235" t="s">
        <v>2</v>
      </c>
      <c r="I9" s="235" t="s">
        <v>3</v>
      </c>
      <c r="J9" s="235" t="s">
        <v>2</v>
      </c>
      <c r="K9" s="235" t="s">
        <v>3</v>
      </c>
      <c r="L9" s="235" t="s">
        <v>2</v>
      </c>
      <c r="M9" s="234" t="s">
        <v>3</v>
      </c>
      <c r="N9" s="51" t="s">
        <v>10</v>
      </c>
    </row>
    <row r="10" spans="1:22" x14ac:dyDescent="0.2">
      <c r="A10" s="525" t="s">
        <v>68</v>
      </c>
      <c r="B10" s="209"/>
      <c r="C10" s="209">
        <v>3</v>
      </c>
      <c r="D10" s="209"/>
      <c r="E10" s="209">
        <v>1</v>
      </c>
      <c r="F10" s="209"/>
      <c r="G10" s="209">
        <v>1</v>
      </c>
      <c r="H10" s="209"/>
      <c r="I10" s="209">
        <v>2</v>
      </c>
      <c r="J10" s="209"/>
      <c r="K10" s="296">
        <v>-1</v>
      </c>
      <c r="L10" s="209"/>
      <c r="M10" s="208">
        <f t="shared" ref="M10:M16" si="0">C10+E10+G10+I10+K10</f>
        <v>6</v>
      </c>
      <c r="N10" s="51" t="s">
        <v>10</v>
      </c>
    </row>
    <row r="11" spans="1:22" x14ac:dyDescent="0.2">
      <c r="A11" s="525" t="s">
        <v>72</v>
      </c>
      <c r="B11" s="209"/>
      <c r="C11" s="209">
        <v>2</v>
      </c>
      <c r="D11" s="209"/>
      <c r="E11" s="209">
        <v>0</v>
      </c>
      <c r="F11" s="209"/>
      <c r="G11" s="209">
        <v>0</v>
      </c>
      <c r="H11" s="209"/>
      <c r="I11" s="209">
        <v>2</v>
      </c>
      <c r="J11" s="209"/>
      <c r="K11" s="296">
        <v>-1</v>
      </c>
      <c r="L11" s="209"/>
      <c r="M11" s="208">
        <f t="shared" si="0"/>
        <v>3</v>
      </c>
      <c r="N11" s="51" t="s">
        <v>10</v>
      </c>
    </row>
    <row r="12" spans="1:22" x14ac:dyDescent="0.2">
      <c r="A12" s="525" t="s">
        <v>73</v>
      </c>
      <c r="B12" s="209"/>
      <c r="C12" s="209">
        <v>546</v>
      </c>
      <c r="D12" s="209"/>
      <c r="E12" s="209">
        <v>105</v>
      </c>
      <c r="F12" s="209"/>
      <c r="G12" s="209">
        <v>105</v>
      </c>
      <c r="H12" s="209"/>
      <c r="I12" s="209">
        <v>394</v>
      </c>
      <c r="J12" s="209"/>
      <c r="K12" s="296">
        <v>-263</v>
      </c>
      <c r="L12" s="209"/>
      <c r="M12" s="208">
        <f t="shared" si="0"/>
        <v>887</v>
      </c>
      <c r="N12" s="51" t="s">
        <v>10</v>
      </c>
    </row>
    <row r="13" spans="1:22" x14ac:dyDescent="0.2">
      <c r="A13" s="525" t="s">
        <v>74</v>
      </c>
      <c r="B13" s="209"/>
      <c r="C13" s="209">
        <v>46</v>
      </c>
      <c r="D13" s="209"/>
      <c r="E13" s="209">
        <v>9</v>
      </c>
      <c r="F13" s="209"/>
      <c r="G13" s="209">
        <v>9</v>
      </c>
      <c r="H13" s="209"/>
      <c r="I13" s="209">
        <v>33</v>
      </c>
      <c r="J13" s="209"/>
      <c r="K13" s="296">
        <v>-22</v>
      </c>
      <c r="L13" s="209"/>
      <c r="M13" s="208">
        <f t="shared" si="0"/>
        <v>75</v>
      </c>
      <c r="N13" s="51" t="s">
        <v>10</v>
      </c>
    </row>
    <row r="14" spans="1:22" x14ac:dyDescent="0.2">
      <c r="A14" s="525" t="s">
        <v>75</v>
      </c>
      <c r="B14" s="209"/>
      <c r="C14" s="209">
        <v>2415</v>
      </c>
      <c r="D14" s="209"/>
      <c r="E14" s="209">
        <v>464</v>
      </c>
      <c r="F14" s="209"/>
      <c r="G14" s="209">
        <v>464</v>
      </c>
      <c r="H14" s="209"/>
      <c r="I14" s="209">
        <v>1742</v>
      </c>
      <c r="J14" s="209"/>
      <c r="K14" s="296">
        <v>-1161</v>
      </c>
      <c r="L14" s="209"/>
      <c r="M14" s="208">
        <f t="shared" si="0"/>
        <v>3924</v>
      </c>
      <c r="N14" s="51" t="s">
        <v>10</v>
      </c>
    </row>
    <row r="15" spans="1:22" x14ac:dyDescent="0.2">
      <c r="A15" s="525" t="s">
        <v>81</v>
      </c>
      <c r="B15" s="209"/>
      <c r="C15" s="209">
        <v>3</v>
      </c>
      <c r="D15" s="209"/>
      <c r="E15" s="209">
        <v>1</v>
      </c>
      <c r="F15" s="209"/>
      <c r="G15" s="209">
        <v>1</v>
      </c>
      <c r="H15" s="209"/>
      <c r="I15" s="209">
        <v>2</v>
      </c>
      <c r="J15" s="209"/>
      <c r="K15" s="296">
        <v>-2</v>
      </c>
      <c r="L15" s="209"/>
      <c r="M15" s="208">
        <f t="shared" si="0"/>
        <v>5</v>
      </c>
      <c r="N15" s="51" t="s">
        <v>10</v>
      </c>
    </row>
    <row r="16" spans="1:22" x14ac:dyDescent="0.2">
      <c r="A16" s="525" t="s">
        <v>83</v>
      </c>
      <c r="B16" s="209"/>
      <c r="C16" s="209">
        <v>7385</v>
      </c>
      <c r="D16" s="209"/>
      <c r="E16" s="209">
        <v>1420</v>
      </c>
      <c r="F16" s="209"/>
      <c r="G16" s="209">
        <v>1420</v>
      </c>
      <c r="H16" s="209"/>
      <c r="I16" s="209">
        <v>5325</v>
      </c>
      <c r="J16" s="209"/>
      <c r="K16" s="296">
        <v>-3550</v>
      </c>
      <c r="L16" s="209"/>
      <c r="M16" s="208">
        <f t="shared" si="0"/>
        <v>12000</v>
      </c>
      <c r="N16" s="51" t="s">
        <v>10</v>
      </c>
    </row>
    <row r="17" spans="1:14" ht="15.75" thickBot="1" x14ac:dyDescent="0.3">
      <c r="A17" s="526" t="s">
        <v>250</v>
      </c>
      <c r="B17" s="27">
        <f t="shared" ref="B17:M17" si="1">SUM(B10:B16)</f>
        <v>0</v>
      </c>
      <c r="C17" s="27">
        <f t="shared" si="1"/>
        <v>10400</v>
      </c>
      <c r="D17" s="27">
        <f t="shared" si="1"/>
        <v>0</v>
      </c>
      <c r="E17" s="27">
        <f t="shared" si="1"/>
        <v>2000</v>
      </c>
      <c r="F17" s="27">
        <f t="shared" si="1"/>
        <v>0</v>
      </c>
      <c r="G17" s="27">
        <f t="shared" si="1"/>
        <v>2000</v>
      </c>
      <c r="H17" s="27">
        <f t="shared" si="1"/>
        <v>0</v>
      </c>
      <c r="I17" s="27">
        <f t="shared" si="1"/>
        <v>7500</v>
      </c>
      <c r="J17" s="27">
        <f t="shared" si="1"/>
        <v>0</v>
      </c>
      <c r="K17" s="246">
        <f t="shared" si="1"/>
        <v>-5000</v>
      </c>
      <c r="L17" s="27">
        <f t="shared" si="1"/>
        <v>0</v>
      </c>
      <c r="M17" s="251">
        <f t="shared" si="1"/>
        <v>16900</v>
      </c>
      <c r="N17" s="51" t="s">
        <v>10</v>
      </c>
    </row>
    <row r="18" spans="1:14" ht="15" x14ac:dyDescent="0.25">
      <c r="A18" s="294"/>
      <c r="B18" s="244"/>
      <c r="C18" s="244"/>
      <c r="D18" s="244"/>
      <c r="E18" s="244"/>
      <c r="F18" s="244"/>
      <c r="G18" s="244"/>
      <c r="H18" s="244"/>
      <c r="I18" s="244"/>
      <c r="J18" s="244"/>
      <c r="K18" s="244"/>
      <c r="L18" s="244"/>
      <c r="M18" s="244"/>
      <c r="N18" s="51" t="s">
        <v>10</v>
      </c>
    </row>
    <row r="19" spans="1:14" x14ac:dyDescent="0.2">
      <c r="A19" s="247"/>
      <c r="B19" s="247"/>
      <c r="C19" s="247"/>
      <c r="D19" s="247"/>
      <c r="E19" s="247"/>
      <c r="F19" s="247"/>
      <c r="G19" s="247"/>
      <c r="H19" s="247"/>
      <c r="I19" s="247"/>
      <c r="J19" s="247"/>
      <c r="K19" s="247"/>
      <c r="L19" s="247"/>
      <c r="M19" s="247"/>
      <c r="N19" s="51" t="s">
        <v>11</v>
      </c>
    </row>
    <row r="20" spans="1:14" x14ac:dyDescent="0.2">
      <c r="N20" s="51"/>
    </row>
  </sheetData>
  <customSheetViews>
    <customSheetView guid="{EE916FE7-61FB-4021-ADDD-E082241FC03C}" scale="80" showPageBreaks="1" printArea="1" view="pageBreakPreview">
      <selection activeCell="D8" sqref="D8:D9"/>
      <pageMargins left="0.7" right="0.7" top="0.52" bottom="0.39" header="0.3" footer="0.23"/>
      <printOptions horizontalCentered="1"/>
      <pageSetup scale="56" fitToHeight="2" orientation="landscape" r:id="rId1"/>
      <headerFooter>
        <oddHeader xml:space="preserve">&amp;L&amp;"Arial,Bold"&amp;12J. Financial Analysis of Program Changes
</oddHeader>
        <oddFooter>&amp;C&amp;"Arial,Regular"Exhibit J - Financial Analysis of Program Changes</oddFooter>
      </headerFooter>
    </customSheetView>
    <customSheetView guid="{0BB5DC4B-BC2A-4489-BE17-5E267FA1EF63}" scale="80" showPageBreaks="1" printArea="1" view="pageBreakPreview">
      <selection activeCell="D8" sqref="D8:D9"/>
      <pageMargins left="0.7" right="0.7" top="0.52" bottom="0.39" header="0.3" footer="0.23"/>
      <printOptions horizontalCentered="1"/>
      <pageSetup scale="56" fitToHeight="2" orientation="landscape" r:id="rId2"/>
      <headerFooter>
        <oddHeader xml:space="preserve">&amp;L&amp;"Arial,Bold"&amp;12J. Financial Analysis of Program Changes
</oddHeader>
        <oddFooter>&amp;C&amp;"Arial,Regular"Exhibit J - Financial Analysis of Program Changes</oddFooter>
      </headerFooter>
    </customSheetView>
    <customSheetView guid="{6C58FFE1-D756-42C4-A1BC-AA7F1DC1E56F}" scale="80" showPageBreaks="1" printArea="1" view="pageBreakPreview">
      <selection activeCell="I13" sqref="I13"/>
      <pageMargins left="0.7" right="0.7" top="0.52" bottom="0.39" header="0.3" footer="0.23"/>
      <printOptions horizontalCentered="1"/>
      <pageSetup scale="56" fitToHeight="2" orientation="landscape" r:id="rId3"/>
      <headerFooter>
        <oddHeader xml:space="preserve">&amp;L&amp;"Arial,Bold"&amp;12J. Financial Analysis of Program Changes
</oddHeader>
        <oddFooter>&amp;C&amp;"Arial,Regular"Exhibit J - Financial Analysis of Program Changes&amp;RResearch, Evaluation, and Statistics</oddFooter>
      </headerFooter>
    </customSheetView>
    <customSheetView guid="{CFA5D1C9-F4C9-4B8D-923D-4C71CB6E7D3B}" scale="80" showPageBreaks="1" printArea="1" view="pageBreakPreview">
      <selection activeCell="D8" sqref="D8:D9"/>
      <pageMargins left="0.7" right="0.7" top="0.52" bottom="0.39" header="0.3" footer="0.23"/>
      <printOptions horizontalCentered="1"/>
      <pageSetup scale="56" fitToHeight="2" orientation="landscape" r:id="rId4"/>
      <headerFooter>
        <oddHeader xml:space="preserve">&amp;L&amp;"Arial,Bold"&amp;12J. Financial Analysis of Program Changes
</oddHeader>
        <oddFooter>&amp;C&amp;"Arial,Regular"Exhibit J - Financial Analysis of Program Changes</oddFooter>
      </headerFooter>
    </customSheetView>
    <customSheetView guid="{A788DF77-74F1-49E4-8B34-BFBDB7664F30}" scale="80" showPageBreaks="1" printArea="1" view="pageBreakPreview">
      <selection activeCell="D7" sqref="D7:E7"/>
      <pageMargins left="0.7" right="0.7" top="0.52" bottom="0.39" header="0.3" footer="0.23"/>
      <printOptions horizontalCentered="1"/>
      <pageSetup scale="56" fitToHeight="2" orientation="landscape" r:id="rId5"/>
      <headerFooter>
        <oddHeader xml:space="preserve">&amp;L&amp;"Arial,Bold"&amp;12J. Financial Analysis of Program Changes
</oddHeader>
        <oddFooter>&amp;C&amp;"Arial,Regular"Exhibit J - Financial Analysis of Program Changes&amp;R&amp;"Arial,Regular"Research, Evaluation, and Statistics</oddFooter>
      </headerFooter>
    </customSheetView>
  </customSheetViews>
  <mergeCells count="18">
    <mergeCell ref="D8:E8"/>
    <mergeCell ref="F8:G8"/>
    <mergeCell ref="H8:I8"/>
    <mergeCell ref="J8:K8"/>
    <mergeCell ref="A6:A9"/>
    <mergeCell ref="B7:C7"/>
    <mergeCell ref="A1:M1"/>
    <mergeCell ref="A2:M2"/>
    <mergeCell ref="A3:M3"/>
    <mergeCell ref="A4:M4"/>
    <mergeCell ref="A5:M5"/>
    <mergeCell ref="L6:M8"/>
    <mergeCell ref="D7:E7"/>
    <mergeCell ref="F7:G7"/>
    <mergeCell ref="H7:I7"/>
    <mergeCell ref="J7:K7"/>
    <mergeCell ref="B6:K6"/>
    <mergeCell ref="B8:C8"/>
  </mergeCells>
  <printOptions horizontalCentered="1"/>
  <pageMargins left="0.7" right="0.7" top="0.52" bottom="0.39" header="0.3" footer="0.23"/>
  <pageSetup scale="62" fitToHeight="2" orientation="landscape" r:id="rId6"/>
  <headerFooter>
    <oddHeader xml:space="preserve">&amp;L&amp;"Arial,Bold"&amp;12J. Financial Analysis of Program Changes
</oddHeader>
    <oddFooter>&amp;C&amp;"Arial,Regular"Exhibit J - Financial Analysis of Program Changes&amp;R&amp;"Arial,Regular"Research, Evaluation, and Statistics</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view="pageBreakPreview" topLeftCell="A4" zoomScale="90" zoomScaleNormal="100" zoomScaleSheetLayoutView="90" workbookViewId="0">
      <selection activeCell="J47" sqref="J47:J50"/>
    </sheetView>
  </sheetViews>
  <sheetFormatPr defaultRowHeight="14.25" x14ac:dyDescent="0.2"/>
  <cols>
    <col min="1" max="1" width="86.5703125" style="143" customWidth="1"/>
    <col min="2" max="2" width="8.28515625" style="143" customWidth="1"/>
    <col min="3" max="3" width="12.7109375" style="143" customWidth="1"/>
    <col min="4" max="4" width="8.28515625" style="143" customWidth="1"/>
    <col min="5" max="5" width="12.7109375" style="143" customWidth="1"/>
    <col min="6" max="6" width="8.28515625" style="143" customWidth="1"/>
    <col min="7" max="7" width="12.7109375" style="143" customWidth="1"/>
    <col min="8" max="8" width="8.28515625" style="143" customWidth="1"/>
    <col min="9" max="9" width="12.7109375" style="143" customWidth="1"/>
    <col min="10" max="10" width="14" style="4" bestFit="1" customWidth="1"/>
    <col min="11" max="11" width="4.5703125" style="143" customWidth="1"/>
    <col min="12" max="12" width="116.7109375" style="257" customWidth="1"/>
    <col min="13" max="14" width="8.28515625" style="143" customWidth="1"/>
    <col min="15" max="15" width="12.7109375" style="143" customWidth="1"/>
    <col min="16" max="17" width="8.28515625" style="143" customWidth="1"/>
    <col min="18" max="18" width="12.7109375" style="143" customWidth="1"/>
    <col min="19" max="16384" width="9.140625" style="143"/>
  </cols>
  <sheetData>
    <row r="1" spans="1:18" ht="18" x14ac:dyDescent="0.25">
      <c r="A1" s="577" t="s">
        <v>59</v>
      </c>
      <c r="B1" s="577"/>
      <c r="C1" s="577"/>
      <c r="D1" s="577"/>
      <c r="E1" s="577"/>
      <c r="F1" s="577"/>
      <c r="G1" s="577"/>
      <c r="H1" s="577"/>
      <c r="I1" s="577"/>
      <c r="J1" s="51" t="s">
        <v>11</v>
      </c>
      <c r="K1" s="6"/>
      <c r="L1" s="199"/>
      <c r="M1" s="6"/>
      <c r="N1" s="6"/>
      <c r="O1" s="6"/>
      <c r="P1" s="6"/>
      <c r="Q1" s="6"/>
      <c r="R1" s="6"/>
    </row>
    <row r="2" spans="1:18" ht="15" x14ac:dyDescent="0.2">
      <c r="A2" s="578" t="s">
        <v>152</v>
      </c>
      <c r="B2" s="578"/>
      <c r="C2" s="578"/>
      <c r="D2" s="578"/>
      <c r="E2" s="578"/>
      <c r="F2" s="578"/>
      <c r="G2" s="578"/>
      <c r="H2" s="578"/>
      <c r="I2" s="578"/>
      <c r="J2" s="51" t="s">
        <v>10</v>
      </c>
      <c r="K2" s="7"/>
      <c r="L2" s="198"/>
      <c r="M2" s="7"/>
      <c r="N2" s="7"/>
      <c r="O2" s="7"/>
      <c r="P2" s="7"/>
      <c r="Q2" s="7"/>
      <c r="R2" s="7"/>
    </row>
    <row r="3" spans="1:18" x14ac:dyDescent="0.2">
      <c r="A3" s="579" t="s">
        <v>188</v>
      </c>
      <c r="B3" s="579"/>
      <c r="C3" s="579"/>
      <c r="D3" s="579"/>
      <c r="E3" s="579"/>
      <c r="F3" s="579"/>
      <c r="G3" s="579"/>
      <c r="H3" s="579"/>
      <c r="I3" s="579"/>
      <c r="J3" s="51" t="s">
        <v>10</v>
      </c>
      <c r="K3" s="163"/>
      <c r="L3" s="198"/>
      <c r="M3" s="163"/>
      <c r="N3" s="163"/>
      <c r="O3" s="163"/>
      <c r="P3" s="163"/>
      <c r="Q3" s="163"/>
      <c r="R3" s="163"/>
    </row>
    <row r="4" spans="1:18" x14ac:dyDescent="0.2">
      <c r="A4" s="608" t="s">
        <v>1</v>
      </c>
      <c r="B4" s="608"/>
      <c r="C4" s="608"/>
      <c r="D4" s="608"/>
      <c r="E4" s="608"/>
      <c r="F4" s="608"/>
      <c r="G4" s="608"/>
      <c r="H4" s="608"/>
      <c r="I4" s="608"/>
      <c r="J4" s="51" t="s">
        <v>10</v>
      </c>
      <c r="K4" s="162"/>
      <c r="L4" s="198"/>
      <c r="M4" s="162"/>
      <c r="N4" s="162"/>
      <c r="O4" s="162"/>
      <c r="P4" s="162"/>
      <c r="Q4" s="162"/>
      <c r="R4" s="162"/>
    </row>
    <row r="5" spans="1:18" ht="15.75" thickBot="1" x14ac:dyDescent="0.3">
      <c r="A5" s="608"/>
      <c r="B5" s="608"/>
      <c r="C5" s="608"/>
      <c r="D5" s="608"/>
      <c r="E5" s="608"/>
      <c r="F5" s="608"/>
      <c r="G5" s="608"/>
      <c r="H5" s="608"/>
      <c r="I5" s="608"/>
      <c r="J5" s="51" t="s">
        <v>10</v>
      </c>
      <c r="K5" s="162"/>
      <c r="L5" s="241"/>
      <c r="M5" s="162"/>
      <c r="N5" s="162"/>
      <c r="O5" s="162"/>
      <c r="P5" s="162"/>
      <c r="Q5" s="162"/>
      <c r="R5" s="162"/>
    </row>
    <row r="6" spans="1:18" ht="15" x14ac:dyDescent="0.2">
      <c r="A6" s="585" t="s">
        <v>60</v>
      </c>
      <c r="B6" s="588" t="s">
        <v>133</v>
      </c>
      <c r="C6" s="588"/>
      <c r="D6" s="588" t="s">
        <v>135</v>
      </c>
      <c r="E6" s="588"/>
      <c r="F6" s="588" t="s">
        <v>130</v>
      </c>
      <c r="G6" s="588"/>
      <c r="H6" s="588" t="s">
        <v>31</v>
      </c>
      <c r="I6" s="589"/>
      <c r="J6" s="51" t="s">
        <v>10</v>
      </c>
      <c r="L6" s="302"/>
    </row>
    <row r="7" spans="1:18" ht="28.5" x14ac:dyDescent="0.2">
      <c r="A7" s="586"/>
      <c r="B7" s="235" t="s">
        <v>17</v>
      </c>
      <c r="C7" s="235" t="s">
        <v>3</v>
      </c>
      <c r="D7" s="235" t="s">
        <v>17</v>
      </c>
      <c r="E7" s="235" t="s">
        <v>3</v>
      </c>
      <c r="F7" s="235" t="s">
        <v>17</v>
      </c>
      <c r="G7" s="235" t="s">
        <v>3</v>
      </c>
      <c r="H7" s="235" t="s">
        <v>17</v>
      </c>
      <c r="I7" s="234" t="s">
        <v>3</v>
      </c>
      <c r="J7" s="51" t="s">
        <v>10</v>
      </c>
      <c r="L7" s="306"/>
    </row>
    <row r="8" spans="1:18" x14ac:dyDescent="0.2">
      <c r="A8" s="218" t="s">
        <v>61</v>
      </c>
      <c r="B8" s="217">
        <v>0</v>
      </c>
      <c r="C8" s="217">
        <v>0</v>
      </c>
      <c r="D8" s="217">
        <v>0</v>
      </c>
      <c r="E8" s="217">
        <v>0</v>
      </c>
      <c r="F8" s="217">
        <v>0</v>
      </c>
      <c r="G8" s="217">
        <v>0</v>
      </c>
      <c r="H8" s="217">
        <f t="shared" ref="H8:I13" si="0">F8-D8</f>
        <v>0</v>
      </c>
      <c r="I8" s="286">
        <f t="shared" si="0"/>
        <v>0</v>
      </c>
      <c r="J8" s="51" t="s">
        <v>10</v>
      </c>
      <c r="L8" s="302"/>
    </row>
    <row r="9" spans="1:18" x14ac:dyDescent="0.2">
      <c r="A9" s="142" t="s">
        <v>62</v>
      </c>
      <c r="B9" s="154">
        <v>0</v>
      </c>
      <c r="C9" s="154">
        <v>0</v>
      </c>
      <c r="D9" s="154">
        <v>0</v>
      </c>
      <c r="E9" s="154">
        <v>0</v>
      </c>
      <c r="F9" s="154">
        <v>0</v>
      </c>
      <c r="G9" s="154">
        <v>0</v>
      </c>
      <c r="H9" s="154">
        <f t="shared" si="0"/>
        <v>0</v>
      </c>
      <c r="I9" s="151">
        <f t="shared" si="0"/>
        <v>0</v>
      </c>
      <c r="J9" s="51" t="s">
        <v>10</v>
      </c>
    </row>
    <row r="10" spans="1:18" x14ac:dyDescent="0.2">
      <c r="A10" s="142" t="s">
        <v>106</v>
      </c>
      <c r="B10" s="154">
        <f t="shared" ref="B10:G10" si="1">SUM(B11:B12)</f>
        <v>0</v>
      </c>
      <c r="C10" s="154">
        <f t="shared" si="1"/>
        <v>0</v>
      </c>
      <c r="D10" s="154">
        <f t="shared" si="1"/>
        <v>0</v>
      </c>
      <c r="E10" s="154">
        <f t="shared" si="1"/>
        <v>0</v>
      </c>
      <c r="F10" s="154">
        <f t="shared" si="1"/>
        <v>0</v>
      </c>
      <c r="G10" s="154">
        <f t="shared" si="1"/>
        <v>0</v>
      </c>
      <c r="H10" s="154">
        <f t="shared" si="0"/>
        <v>0</v>
      </c>
      <c r="I10" s="151">
        <f t="shared" si="0"/>
        <v>0</v>
      </c>
      <c r="J10" s="51" t="s">
        <v>10</v>
      </c>
    </row>
    <row r="11" spans="1:18" x14ac:dyDescent="0.2">
      <c r="A11" s="62" t="s">
        <v>16</v>
      </c>
      <c r="B11" s="134">
        <v>0</v>
      </c>
      <c r="C11" s="134">
        <v>0</v>
      </c>
      <c r="D11" s="134">
        <v>0</v>
      </c>
      <c r="E11" s="134">
        <v>0</v>
      </c>
      <c r="F11" s="134">
        <v>0</v>
      </c>
      <c r="G11" s="134">
        <v>0</v>
      </c>
      <c r="H11" s="134">
        <f t="shared" si="0"/>
        <v>0</v>
      </c>
      <c r="I11" s="135">
        <f t="shared" si="0"/>
        <v>0</v>
      </c>
      <c r="J11" s="51" t="s">
        <v>10</v>
      </c>
    </row>
    <row r="12" spans="1:18" x14ac:dyDescent="0.2">
      <c r="A12" s="62" t="s">
        <v>63</v>
      </c>
      <c r="B12" s="134">
        <v>0</v>
      </c>
      <c r="C12" s="134">
        <v>0</v>
      </c>
      <c r="D12" s="134">
        <v>0</v>
      </c>
      <c r="E12" s="134">
        <v>0</v>
      </c>
      <c r="F12" s="134">
        <v>0</v>
      </c>
      <c r="G12" s="134">
        <v>0</v>
      </c>
      <c r="H12" s="134">
        <f t="shared" si="0"/>
        <v>0</v>
      </c>
      <c r="I12" s="135">
        <f t="shared" si="0"/>
        <v>0</v>
      </c>
      <c r="J12" s="51" t="s">
        <v>10</v>
      </c>
    </row>
    <row r="13" spans="1:18" x14ac:dyDescent="0.2">
      <c r="A13" s="142" t="s">
        <v>64</v>
      </c>
      <c r="B13" s="213">
        <v>0</v>
      </c>
      <c r="C13" s="213">
        <v>0</v>
      </c>
      <c r="D13" s="213">
        <v>0</v>
      </c>
      <c r="E13" s="213">
        <v>0</v>
      </c>
      <c r="F13" s="213">
        <v>0</v>
      </c>
      <c r="G13" s="213">
        <v>0</v>
      </c>
      <c r="H13" s="213">
        <f t="shared" si="0"/>
        <v>0</v>
      </c>
      <c r="I13" s="211">
        <f t="shared" si="0"/>
        <v>0</v>
      </c>
      <c r="J13" s="51" t="s">
        <v>10</v>
      </c>
    </row>
    <row r="14" spans="1:18" ht="15" x14ac:dyDescent="0.25">
      <c r="A14" s="64" t="s">
        <v>12</v>
      </c>
      <c r="B14" s="105">
        <f t="shared" ref="B14:I14" si="2">SUM(B8:B10,B13)</f>
        <v>0</v>
      </c>
      <c r="C14" s="105">
        <f t="shared" si="2"/>
        <v>0</v>
      </c>
      <c r="D14" s="105">
        <f t="shared" si="2"/>
        <v>0</v>
      </c>
      <c r="E14" s="105">
        <f t="shared" si="2"/>
        <v>0</v>
      </c>
      <c r="F14" s="105">
        <f t="shared" si="2"/>
        <v>0</v>
      </c>
      <c r="G14" s="105">
        <f t="shared" si="2"/>
        <v>0</v>
      </c>
      <c r="H14" s="105">
        <f t="shared" si="2"/>
        <v>0</v>
      </c>
      <c r="I14" s="109">
        <f t="shared" si="2"/>
        <v>0</v>
      </c>
      <c r="J14" s="51" t="s">
        <v>10</v>
      </c>
    </row>
    <row r="15" spans="1:18" ht="15" x14ac:dyDescent="0.25">
      <c r="A15" s="63" t="s">
        <v>65</v>
      </c>
      <c r="B15" s="154"/>
      <c r="C15" s="154"/>
      <c r="D15" s="154"/>
      <c r="E15" s="154"/>
      <c r="F15" s="154"/>
      <c r="G15" s="154"/>
      <c r="H15" s="154"/>
      <c r="I15" s="151"/>
      <c r="J15" s="51" t="s">
        <v>10</v>
      </c>
    </row>
    <row r="16" spans="1:18" x14ac:dyDescent="0.2">
      <c r="A16" s="142" t="s">
        <v>66</v>
      </c>
      <c r="B16" s="154">
        <v>0</v>
      </c>
      <c r="C16" s="154">
        <v>0</v>
      </c>
      <c r="D16" s="154">
        <v>0</v>
      </c>
      <c r="E16" s="154">
        <v>0</v>
      </c>
      <c r="F16" s="154"/>
      <c r="G16" s="154">
        <v>0</v>
      </c>
      <c r="H16" s="154">
        <v>0</v>
      </c>
      <c r="I16" s="151">
        <f t="shared" ref="I16:I36" si="3">G16-E16</f>
        <v>0</v>
      </c>
      <c r="J16" s="51" t="s">
        <v>10</v>
      </c>
    </row>
    <row r="17" spans="1:10" x14ac:dyDescent="0.2">
      <c r="A17" s="142" t="s">
        <v>67</v>
      </c>
      <c r="B17" s="154">
        <v>0</v>
      </c>
      <c r="C17" s="154">
        <v>0</v>
      </c>
      <c r="D17" s="154">
        <v>0</v>
      </c>
      <c r="E17" s="154">
        <v>0</v>
      </c>
      <c r="F17" s="154"/>
      <c r="G17" s="154">
        <v>0</v>
      </c>
      <c r="H17" s="154">
        <v>0</v>
      </c>
      <c r="I17" s="151">
        <f t="shared" si="3"/>
        <v>0</v>
      </c>
      <c r="J17" s="51" t="s">
        <v>10</v>
      </c>
    </row>
    <row r="18" spans="1:10" x14ac:dyDescent="0.2">
      <c r="A18" s="142" t="s">
        <v>68</v>
      </c>
      <c r="B18" s="154">
        <v>0</v>
      </c>
      <c r="C18" s="154">
        <v>36</v>
      </c>
      <c r="D18" s="154">
        <v>0</v>
      </c>
      <c r="E18" s="154">
        <v>36</v>
      </c>
      <c r="F18" s="154"/>
      <c r="G18" s="154">
        <v>42</v>
      </c>
      <c r="H18" s="154">
        <v>0</v>
      </c>
      <c r="I18" s="151">
        <f t="shared" si="3"/>
        <v>6</v>
      </c>
      <c r="J18" s="51" t="s">
        <v>10</v>
      </c>
    </row>
    <row r="19" spans="1:10" x14ac:dyDescent="0.2">
      <c r="A19" s="142" t="s">
        <v>107</v>
      </c>
      <c r="B19" s="154">
        <v>0</v>
      </c>
      <c r="C19" s="154">
        <v>0</v>
      </c>
      <c r="D19" s="154">
        <v>0</v>
      </c>
      <c r="E19" s="154">
        <v>0</v>
      </c>
      <c r="F19" s="154"/>
      <c r="G19" s="154">
        <v>0</v>
      </c>
      <c r="H19" s="154">
        <v>0</v>
      </c>
      <c r="I19" s="151">
        <f t="shared" si="3"/>
        <v>0</v>
      </c>
      <c r="J19" s="51" t="s">
        <v>10</v>
      </c>
    </row>
    <row r="20" spans="1:10" x14ac:dyDescent="0.2">
      <c r="A20" s="142" t="s">
        <v>69</v>
      </c>
      <c r="B20" s="154">
        <v>0</v>
      </c>
      <c r="C20" s="154">
        <v>0</v>
      </c>
      <c r="D20" s="154">
        <v>0</v>
      </c>
      <c r="E20" s="154">
        <v>0</v>
      </c>
      <c r="F20" s="154"/>
      <c r="G20" s="154">
        <v>0</v>
      </c>
      <c r="H20" s="154">
        <v>0</v>
      </c>
      <c r="I20" s="151">
        <f t="shared" si="3"/>
        <v>0</v>
      </c>
      <c r="J20" s="51" t="s">
        <v>10</v>
      </c>
    </row>
    <row r="21" spans="1:10" x14ac:dyDescent="0.2">
      <c r="A21" s="142" t="s">
        <v>70</v>
      </c>
      <c r="B21" s="154">
        <v>0</v>
      </c>
      <c r="C21" s="154">
        <v>0</v>
      </c>
      <c r="D21" s="154">
        <v>0</v>
      </c>
      <c r="E21" s="154">
        <v>0</v>
      </c>
      <c r="F21" s="154"/>
      <c r="G21" s="154">
        <v>0</v>
      </c>
      <c r="H21" s="154">
        <v>0</v>
      </c>
      <c r="I21" s="151">
        <f t="shared" si="3"/>
        <v>0</v>
      </c>
      <c r="J21" s="51" t="s">
        <v>10</v>
      </c>
    </row>
    <row r="22" spans="1:10" x14ac:dyDescent="0.2">
      <c r="A22" s="142" t="s">
        <v>71</v>
      </c>
      <c r="B22" s="154">
        <v>0</v>
      </c>
      <c r="C22" s="154">
        <v>0</v>
      </c>
      <c r="D22" s="154">
        <v>0</v>
      </c>
      <c r="E22" s="154">
        <v>0</v>
      </c>
      <c r="F22" s="154"/>
      <c r="G22" s="154">
        <v>0</v>
      </c>
      <c r="H22" s="154">
        <v>0</v>
      </c>
      <c r="I22" s="151">
        <f t="shared" si="3"/>
        <v>0</v>
      </c>
      <c r="J22" s="51" t="s">
        <v>10</v>
      </c>
    </row>
    <row r="23" spans="1:10" x14ac:dyDescent="0.2">
      <c r="A23" s="142" t="s">
        <v>72</v>
      </c>
      <c r="B23" s="154">
        <v>0</v>
      </c>
      <c r="C23" s="154">
        <v>30</v>
      </c>
      <c r="D23" s="154">
        <v>0</v>
      </c>
      <c r="E23" s="154">
        <v>30</v>
      </c>
      <c r="F23" s="154"/>
      <c r="G23" s="154">
        <v>33</v>
      </c>
      <c r="H23" s="154">
        <v>0</v>
      </c>
      <c r="I23" s="151">
        <f t="shared" si="3"/>
        <v>3</v>
      </c>
      <c r="J23" s="51" t="s">
        <v>10</v>
      </c>
    </row>
    <row r="24" spans="1:10" x14ac:dyDescent="0.2">
      <c r="A24" s="142" t="s">
        <v>73</v>
      </c>
      <c r="B24" s="154">
        <v>0</v>
      </c>
      <c r="C24" s="154">
        <v>7099</v>
      </c>
      <c r="D24" s="154">
        <v>0</v>
      </c>
      <c r="E24" s="154">
        <v>7099</v>
      </c>
      <c r="F24" s="154"/>
      <c r="G24" s="154">
        <v>7986</v>
      </c>
      <c r="H24" s="154">
        <v>0</v>
      </c>
      <c r="I24" s="151">
        <f t="shared" si="3"/>
        <v>887</v>
      </c>
      <c r="J24" s="51" t="s">
        <v>10</v>
      </c>
    </row>
    <row r="25" spans="1:10" x14ac:dyDescent="0.2">
      <c r="A25" s="142" t="s">
        <v>74</v>
      </c>
      <c r="B25" s="154">
        <v>0</v>
      </c>
      <c r="C25" s="154">
        <v>594</v>
      </c>
      <c r="D25" s="154">
        <v>0</v>
      </c>
      <c r="E25" s="154">
        <v>594</v>
      </c>
      <c r="F25" s="154"/>
      <c r="G25" s="154">
        <v>669</v>
      </c>
      <c r="H25" s="154">
        <v>0</v>
      </c>
      <c r="I25" s="151">
        <f t="shared" si="3"/>
        <v>75</v>
      </c>
      <c r="J25" s="51" t="s">
        <v>10</v>
      </c>
    </row>
    <row r="26" spans="1:10" x14ac:dyDescent="0.2">
      <c r="A26" s="142" t="s">
        <v>75</v>
      </c>
      <c r="B26" s="154">
        <v>0</v>
      </c>
      <c r="C26" s="154">
        <v>31384</v>
      </c>
      <c r="D26" s="154">
        <v>0</v>
      </c>
      <c r="E26" s="154">
        <v>31384</v>
      </c>
      <c r="F26" s="154"/>
      <c r="G26" s="154">
        <v>35308</v>
      </c>
      <c r="H26" s="154">
        <v>0</v>
      </c>
      <c r="I26" s="151">
        <f t="shared" si="3"/>
        <v>3924</v>
      </c>
      <c r="J26" s="51" t="s">
        <v>10</v>
      </c>
    </row>
    <row r="27" spans="1:10" x14ac:dyDescent="0.2">
      <c r="A27" s="142" t="s">
        <v>76</v>
      </c>
      <c r="B27" s="154">
        <v>0</v>
      </c>
      <c r="C27" s="154">
        <v>0</v>
      </c>
      <c r="D27" s="154">
        <v>0</v>
      </c>
      <c r="E27" s="154">
        <v>0</v>
      </c>
      <c r="F27" s="154"/>
      <c r="G27" s="154">
        <v>0</v>
      </c>
      <c r="H27" s="154">
        <v>0</v>
      </c>
      <c r="I27" s="151">
        <f t="shared" si="3"/>
        <v>0</v>
      </c>
      <c r="J27" s="51" t="s">
        <v>10</v>
      </c>
    </row>
    <row r="28" spans="1:10" x14ac:dyDescent="0.2">
      <c r="A28" s="142" t="s">
        <v>77</v>
      </c>
      <c r="B28" s="154">
        <v>0</v>
      </c>
      <c r="C28" s="154">
        <v>0</v>
      </c>
      <c r="D28" s="154">
        <v>0</v>
      </c>
      <c r="E28" s="154">
        <v>0</v>
      </c>
      <c r="F28" s="154"/>
      <c r="G28" s="154">
        <v>0</v>
      </c>
      <c r="H28" s="154">
        <v>0</v>
      </c>
      <c r="I28" s="151">
        <f t="shared" si="3"/>
        <v>0</v>
      </c>
      <c r="J28" s="51" t="s">
        <v>10</v>
      </c>
    </row>
    <row r="29" spans="1:10" x14ac:dyDescent="0.2">
      <c r="A29" s="142" t="s">
        <v>23</v>
      </c>
      <c r="B29" s="154">
        <v>0</v>
      </c>
      <c r="C29" s="154">
        <v>0</v>
      </c>
      <c r="D29" s="154">
        <v>0</v>
      </c>
      <c r="E29" s="154">
        <v>0</v>
      </c>
      <c r="F29" s="154"/>
      <c r="G29" s="154">
        <v>0</v>
      </c>
      <c r="H29" s="154">
        <v>0</v>
      </c>
      <c r="I29" s="151">
        <f t="shared" si="3"/>
        <v>0</v>
      </c>
      <c r="J29" s="51" t="s">
        <v>10</v>
      </c>
    </row>
    <row r="30" spans="1:10" x14ac:dyDescent="0.2">
      <c r="A30" s="142" t="s">
        <v>78</v>
      </c>
      <c r="B30" s="154">
        <v>0</v>
      </c>
      <c r="C30" s="154">
        <v>0</v>
      </c>
      <c r="D30" s="154">
        <v>0</v>
      </c>
      <c r="E30" s="154">
        <v>0</v>
      </c>
      <c r="F30" s="154"/>
      <c r="G30" s="154">
        <v>0</v>
      </c>
      <c r="H30" s="154">
        <v>0</v>
      </c>
      <c r="I30" s="151">
        <f t="shared" si="3"/>
        <v>0</v>
      </c>
      <c r="J30" s="51" t="s">
        <v>10</v>
      </c>
    </row>
    <row r="31" spans="1:10" x14ac:dyDescent="0.2">
      <c r="A31" s="142" t="s">
        <v>79</v>
      </c>
      <c r="B31" s="154">
        <v>0</v>
      </c>
      <c r="C31" s="154">
        <v>0</v>
      </c>
      <c r="D31" s="154">
        <v>0</v>
      </c>
      <c r="E31" s="154">
        <v>0</v>
      </c>
      <c r="F31" s="154"/>
      <c r="G31" s="154">
        <v>0</v>
      </c>
      <c r="H31" s="154">
        <v>0</v>
      </c>
      <c r="I31" s="151">
        <f t="shared" si="3"/>
        <v>0</v>
      </c>
      <c r="J31" s="51" t="s">
        <v>10</v>
      </c>
    </row>
    <row r="32" spans="1:10" x14ac:dyDescent="0.2">
      <c r="A32" s="142" t="s">
        <v>80</v>
      </c>
      <c r="B32" s="154">
        <v>0</v>
      </c>
      <c r="C32" s="154">
        <v>0</v>
      </c>
      <c r="D32" s="154">
        <v>0</v>
      </c>
      <c r="E32" s="154">
        <v>0</v>
      </c>
      <c r="F32" s="154"/>
      <c r="G32" s="154">
        <v>0</v>
      </c>
      <c r="H32" s="154">
        <v>0</v>
      </c>
      <c r="I32" s="151">
        <f t="shared" si="3"/>
        <v>0</v>
      </c>
      <c r="J32" s="51" t="s">
        <v>10</v>
      </c>
    </row>
    <row r="33" spans="1:12" x14ac:dyDescent="0.2">
      <c r="A33" s="142" t="s">
        <v>81</v>
      </c>
      <c r="B33" s="154">
        <v>0</v>
      </c>
      <c r="C33" s="154">
        <v>42</v>
      </c>
      <c r="D33" s="154">
        <v>0</v>
      </c>
      <c r="E33" s="154">
        <v>42</v>
      </c>
      <c r="F33" s="154"/>
      <c r="G33" s="154">
        <v>47</v>
      </c>
      <c r="H33" s="154">
        <v>0</v>
      </c>
      <c r="I33" s="151">
        <f t="shared" si="3"/>
        <v>5</v>
      </c>
      <c r="J33" s="51" t="s">
        <v>10</v>
      </c>
    </row>
    <row r="34" spans="1:12" x14ac:dyDescent="0.2">
      <c r="A34" s="142" t="s">
        <v>82</v>
      </c>
      <c r="B34" s="154">
        <v>0</v>
      </c>
      <c r="C34" s="154">
        <v>0</v>
      </c>
      <c r="D34" s="154">
        <v>0</v>
      </c>
      <c r="E34" s="154">
        <v>0</v>
      </c>
      <c r="F34" s="154"/>
      <c r="G34" s="154">
        <v>0</v>
      </c>
      <c r="H34" s="154">
        <v>0</v>
      </c>
      <c r="I34" s="151">
        <f t="shared" si="3"/>
        <v>0</v>
      </c>
      <c r="J34" s="51" t="s">
        <v>10</v>
      </c>
    </row>
    <row r="35" spans="1:12" x14ac:dyDescent="0.2">
      <c r="A35" s="142" t="s">
        <v>83</v>
      </c>
      <c r="B35" s="154">
        <v>0</v>
      </c>
      <c r="C35" s="154">
        <v>104531</v>
      </c>
      <c r="D35" s="154">
        <v>0</v>
      </c>
      <c r="E35" s="154">
        <v>88455</v>
      </c>
      <c r="F35" s="154"/>
      <c r="G35" s="154">
        <v>92815</v>
      </c>
      <c r="H35" s="154">
        <v>0</v>
      </c>
      <c r="I35" s="151">
        <f t="shared" si="3"/>
        <v>4360</v>
      </c>
      <c r="J35" s="51" t="s">
        <v>10</v>
      </c>
    </row>
    <row r="36" spans="1:12" x14ac:dyDescent="0.2">
      <c r="A36" s="142" t="s">
        <v>84</v>
      </c>
      <c r="B36" s="154">
        <v>0</v>
      </c>
      <c r="C36" s="154">
        <v>0</v>
      </c>
      <c r="D36" s="154">
        <v>0</v>
      </c>
      <c r="E36" s="154">
        <v>0</v>
      </c>
      <c r="F36" s="154"/>
      <c r="G36" s="154">
        <v>0</v>
      </c>
      <c r="H36" s="154">
        <v>0</v>
      </c>
      <c r="I36" s="151">
        <f t="shared" si="3"/>
        <v>0</v>
      </c>
      <c r="J36" s="51" t="s">
        <v>10</v>
      </c>
    </row>
    <row r="37" spans="1:12" ht="15" x14ac:dyDescent="0.25">
      <c r="A37" s="64" t="s">
        <v>85</v>
      </c>
      <c r="B37" s="70">
        <v>0</v>
      </c>
      <c r="C37" s="70">
        <f>SUM(C14:C36)</f>
        <v>143716</v>
      </c>
      <c r="D37" s="70">
        <v>0</v>
      </c>
      <c r="E37" s="70">
        <f>SUM(E14:E36)</f>
        <v>127640</v>
      </c>
      <c r="F37" s="70"/>
      <c r="G37" s="70">
        <f>SUM(G14:G36)</f>
        <v>136900</v>
      </c>
      <c r="H37" s="70">
        <v>0</v>
      </c>
      <c r="I37" s="72">
        <f>SUM(I14:I36)</f>
        <v>9260</v>
      </c>
      <c r="J37" s="51" t="s">
        <v>10</v>
      </c>
      <c r="L37" s="302"/>
    </row>
    <row r="38" spans="1:12" x14ac:dyDescent="0.2">
      <c r="A38" s="142" t="s">
        <v>108</v>
      </c>
      <c r="B38" s="154">
        <v>0</v>
      </c>
      <c r="C38" s="268">
        <v>-5667</v>
      </c>
      <c r="D38" s="154">
        <v>0</v>
      </c>
      <c r="E38" s="268">
        <v>-3640</v>
      </c>
      <c r="F38" s="154"/>
      <c r="G38" s="154">
        <v>0</v>
      </c>
      <c r="H38" s="154">
        <v>0</v>
      </c>
      <c r="I38" s="151">
        <f>G38-E38</f>
        <v>3640</v>
      </c>
      <c r="J38" s="51" t="s">
        <v>10</v>
      </c>
      <c r="L38" s="302"/>
    </row>
    <row r="39" spans="1:12" x14ac:dyDescent="0.2">
      <c r="A39" s="142" t="s">
        <v>117</v>
      </c>
      <c r="B39" s="154">
        <v>0</v>
      </c>
      <c r="C39" s="268">
        <v>-20232</v>
      </c>
      <c r="D39" s="154">
        <v>0</v>
      </c>
      <c r="E39" s="154">
        <v>0</v>
      </c>
      <c r="F39" s="154"/>
      <c r="G39" s="154">
        <v>0</v>
      </c>
      <c r="H39" s="154">
        <v>0</v>
      </c>
      <c r="I39" s="151">
        <f>G39-E39</f>
        <v>0</v>
      </c>
      <c r="J39" s="51" t="s">
        <v>10</v>
      </c>
      <c r="L39" s="302"/>
    </row>
    <row r="40" spans="1:12" x14ac:dyDescent="0.2">
      <c r="A40" s="142" t="s">
        <v>118</v>
      </c>
      <c r="B40" s="154">
        <v>0</v>
      </c>
      <c r="C40" s="268">
        <v>-5290</v>
      </c>
      <c r="D40" s="154">
        <v>0</v>
      </c>
      <c r="E40" s="268">
        <v>-4000</v>
      </c>
      <c r="F40" s="154"/>
      <c r="G40" s="268">
        <v>-4000</v>
      </c>
      <c r="H40" s="154">
        <v>0</v>
      </c>
      <c r="I40" s="151">
        <f>G40-E40</f>
        <v>0</v>
      </c>
      <c r="J40" s="51" t="s">
        <v>10</v>
      </c>
      <c r="L40" s="302"/>
    </row>
    <row r="41" spans="1:12" x14ac:dyDescent="0.2">
      <c r="A41" s="142" t="s">
        <v>86</v>
      </c>
      <c r="B41" s="154">
        <v>0</v>
      </c>
      <c r="C41" s="154">
        <v>3640</v>
      </c>
      <c r="D41" s="154">
        <v>0</v>
      </c>
      <c r="E41" s="154">
        <v>0</v>
      </c>
      <c r="F41" s="154"/>
      <c r="G41" s="154">
        <v>4000</v>
      </c>
      <c r="H41" s="154">
        <v>0</v>
      </c>
      <c r="I41" s="279">
        <f>G41-E41</f>
        <v>4000</v>
      </c>
      <c r="J41" s="51" t="s">
        <v>10</v>
      </c>
      <c r="L41" s="302"/>
    </row>
    <row r="42" spans="1:12" x14ac:dyDescent="0.2">
      <c r="A42" s="142" t="s">
        <v>112</v>
      </c>
      <c r="B42" s="154">
        <v>0</v>
      </c>
      <c r="C42" s="154">
        <v>2965</v>
      </c>
      <c r="D42" s="154">
        <v>0</v>
      </c>
      <c r="E42" s="154">
        <v>0</v>
      </c>
      <c r="F42" s="154"/>
      <c r="G42" s="154">
        <v>0</v>
      </c>
      <c r="H42" s="154">
        <v>0</v>
      </c>
      <c r="I42" s="151">
        <f>G42-E42</f>
        <v>0</v>
      </c>
      <c r="J42" s="51" t="s">
        <v>10</v>
      </c>
      <c r="L42" s="302"/>
    </row>
    <row r="43" spans="1:12" ht="15.75" thickBot="1" x14ac:dyDescent="0.3">
      <c r="A43" s="65" t="s">
        <v>87</v>
      </c>
      <c r="B43" s="136">
        <v>0</v>
      </c>
      <c r="C43" s="136">
        <f t="shared" ref="C43:I43" si="4">SUM(C37:C42)</f>
        <v>119132</v>
      </c>
      <c r="D43" s="136">
        <f t="shared" si="4"/>
        <v>0</v>
      </c>
      <c r="E43" s="136">
        <f t="shared" si="4"/>
        <v>120000</v>
      </c>
      <c r="F43" s="136">
        <f t="shared" si="4"/>
        <v>0</v>
      </c>
      <c r="G43" s="136">
        <f t="shared" si="4"/>
        <v>136900</v>
      </c>
      <c r="H43" s="136">
        <f t="shared" si="4"/>
        <v>0</v>
      </c>
      <c r="I43" s="137">
        <f t="shared" si="4"/>
        <v>16900</v>
      </c>
      <c r="J43" s="51" t="s">
        <v>10</v>
      </c>
      <c r="L43" s="302"/>
    </row>
    <row r="44" spans="1:12" ht="15" x14ac:dyDescent="0.25">
      <c r="A44" s="445" t="s">
        <v>97</v>
      </c>
      <c r="B44" s="88"/>
      <c r="C44" s="88"/>
      <c r="D44" s="88"/>
      <c r="E44" s="430">
        <v>-4000</v>
      </c>
      <c r="F44" s="88"/>
      <c r="G44" s="430">
        <v>-4000</v>
      </c>
      <c r="H44" s="88"/>
      <c r="I44" s="427"/>
      <c r="J44" s="51" t="s">
        <v>10</v>
      </c>
      <c r="L44" s="302"/>
    </row>
    <row r="45" spans="1:12" ht="15.75" thickBot="1" x14ac:dyDescent="0.3">
      <c r="A45" s="429" t="s">
        <v>472</v>
      </c>
      <c r="B45" s="88"/>
      <c r="C45" s="88"/>
      <c r="D45" s="88"/>
      <c r="E45" s="88">
        <f>E43+E44</f>
        <v>116000</v>
      </c>
      <c r="F45" s="88"/>
      <c r="G45" s="88">
        <f>G43+G44</f>
        <v>132900</v>
      </c>
      <c r="H45" s="88"/>
      <c r="I45" s="427"/>
      <c r="J45" s="51" t="s">
        <v>10</v>
      </c>
      <c r="L45" s="302"/>
    </row>
    <row r="46" spans="1:12" x14ac:dyDescent="0.2">
      <c r="A46" s="305" t="s">
        <v>13</v>
      </c>
      <c r="B46" s="304">
        <v>0</v>
      </c>
      <c r="C46" s="304"/>
      <c r="D46" s="304"/>
      <c r="E46" s="304"/>
      <c r="F46" s="304"/>
      <c r="G46" s="304"/>
      <c r="H46" s="304"/>
      <c r="I46" s="303"/>
      <c r="J46" s="51" t="s">
        <v>10</v>
      </c>
    </row>
    <row r="47" spans="1:12" x14ac:dyDescent="0.2">
      <c r="A47" s="142" t="s">
        <v>88</v>
      </c>
      <c r="B47" s="154">
        <v>0</v>
      </c>
      <c r="C47" s="154"/>
      <c r="D47" s="154">
        <v>0</v>
      </c>
      <c r="E47" s="154"/>
      <c r="F47" s="154">
        <v>0</v>
      </c>
      <c r="G47" s="154"/>
      <c r="H47" s="154">
        <f>F47-D47</f>
        <v>0</v>
      </c>
      <c r="I47" s="151"/>
      <c r="J47" s="51" t="s">
        <v>10</v>
      </c>
    </row>
    <row r="48" spans="1:12" x14ac:dyDescent="0.2">
      <c r="A48" s="142"/>
      <c r="B48" s="154">
        <v>0</v>
      </c>
      <c r="C48" s="154"/>
      <c r="D48" s="154"/>
      <c r="E48" s="154"/>
      <c r="F48" s="154"/>
      <c r="G48" s="154"/>
      <c r="H48" s="154"/>
      <c r="I48" s="151"/>
      <c r="J48" s="51" t="s">
        <v>10</v>
      </c>
      <c r="L48" s="302"/>
    </row>
    <row r="49" spans="1:10" x14ac:dyDescent="0.2">
      <c r="A49" s="142" t="s">
        <v>89</v>
      </c>
      <c r="B49" s="154">
        <v>0</v>
      </c>
      <c r="C49" s="154">
        <v>0</v>
      </c>
      <c r="D49" s="154"/>
      <c r="E49" s="154">
        <v>0</v>
      </c>
      <c r="F49" s="154"/>
      <c r="G49" s="154">
        <v>0</v>
      </c>
      <c r="H49" s="154"/>
      <c r="I49" s="151">
        <f>G49-E49</f>
        <v>0</v>
      </c>
      <c r="J49" s="51" t="s">
        <v>10</v>
      </c>
    </row>
    <row r="50" spans="1:10" ht="15" thickBot="1" x14ac:dyDescent="0.25">
      <c r="A50" s="301" t="s">
        <v>90</v>
      </c>
      <c r="B50" s="300">
        <v>0</v>
      </c>
      <c r="C50" s="300">
        <v>0</v>
      </c>
      <c r="D50" s="300"/>
      <c r="E50" s="300">
        <v>0</v>
      </c>
      <c r="F50" s="300"/>
      <c r="G50" s="300">
        <v>0</v>
      </c>
      <c r="H50" s="300"/>
      <c r="I50" s="299">
        <f>G50-E50</f>
        <v>0</v>
      </c>
      <c r="J50" s="51" t="s">
        <v>10</v>
      </c>
    </row>
    <row r="51" spans="1:10" x14ac:dyDescent="0.2">
      <c r="J51" s="51" t="s">
        <v>10</v>
      </c>
    </row>
    <row r="52" spans="1:10" x14ac:dyDescent="0.2">
      <c r="A52" s="298"/>
      <c r="J52" s="51" t="s">
        <v>11</v>
      </c>
    </row>
  </sheetData>
  <customSheetViews>
    <customSheetView guid="{EE916FE7-61FB-4021-ADDD-E082241FC03C}" scale="90" showPageBreaks="1" printArea="1" view="pageBreakPreview">
      <pane xSplit="1" ySplit="7" topLeftCell="B20" activePane="bottomRight" state="frozen"/>
      <selection pane="bottomRight" activeCell="C37" sqref="C37"/>
      <pageMargins left="0.6" right="0.6" top="0.56999999999999995" bottom="0.55000000000000004" header="0.3" footer="0.3"/>
      <printOptions horizontalCentered="1"/>
      <pageSetup scale="72" orientation="landscape" r:id="rId1"/>
      <headerFooter>
        <oddHeader>&amp;L&amp;"Arial,Bold"&amp;12K. Summary of Requirements by Object Class</oddHeader>
        <oddFooter>&amp;C&amp;"Arial,Regular"Exhibit K - Summary of Requirements by Object Class</oddFooter>
      </headerFooter>
    </customSheetView>
    <customSheetView guid="{0BB5DC4B-BC2A-4489-BE17-5E267FA1EF63}" scale="90" showPageBreaks="1" printArea="1" view="pageBreakPreview">
      <pane xSplit="1" ySplit="7" topLeftCell="B20" activePane="bottomRight" state="frozen"/>
      <selection pane="bottomRight" activeCell="E53" sqref="E53"/>
      <pageMargins left="0.6" right="0.6" top="0.56999999999999995" bottom="0.55000000000000004" header="0.3" footer="0.3"/>
      <printOptions horizontalCentered="1"/>
      <pageSetup scale="72" orientation="landscape" r:id="rId2"/>
      <headerFooter>
        <oddHeader>&amp;L&amp;"Arial,Bold"&amp;12K. Summary of Requirements by Object Class</oddHeader>
        <oddFooter>&amp;C&amp;"Arial,Regular"Exhibit K - Summary of Requirements by Object Class</oddFooter>
      </headerFooter>
    </customSheetView>
    <customSheetView guid="{6C58FFE1-D756-42C4-A1BC-AA7F1DC1E56F}" scale="90" showPageBreaks="1" printArea="1" view="pageBreakPreview" topLeftCell="A15">
      <selection activeCell="A25" sqref="A25"/>
      <pageMargins left="0.6" right="0.6" top="0.56999999999999995" bottom="0.55000000000000004" header="0.3" footer="0.3"/>
      <printOptions horizontalCentered="1"/>
      <pageSetup scale="72" orientation="landscape" r:id="rId3"/>
      <headerFooter>
        <oddHeader>&amp;L&amp;"Arial,Bold"&amp;12K. Summary of Requirements by Object Class</oddHeader>
        <oddFooter>&amp;C&amp;"Arial,Regular"Exhibit K - Summary of Requirements by Object Class&amp;RResearch, Evaluation, and Statistics</oddFooter>
      </headerFooter>
    </customSheetView>
    <customSheetView guid="{CFA5D1C9-F4C9-4B8D-923D-4C71CB6E7D3B}" scale="90" showPageBreaks="1" printArea="1" view="pageBreakPreview">
      <pane xSplit="1" ySplit="7" topLeftCell="B20" activePane="bottomRight" state="frozen"/>
      <selection pane="bottomRight" activeCell="C37" sqref="C37"/>
      <pageMargins left="0.6" right="0.6" top="0.56999999999999995" bottom="0.55000000000000004" header="0.3" footer="0.3"/>
      <printOptions horizontalCentered="1"/>
      <pageSetup scale="72" orientation="landscape" r:id="rId4"/>
      <headerFooter>
        <oddHeader>&amp;L&amp;"Arial,Bold"&amp;12K. Summary of Requirements by Object Class</oddHeader>
        <oddFooter>&amp;C&amp;"Arial,Regular"Exhibit K - Summary of Requirements by Object Class</oddFooter>
      </headerFooter>
    </customSheetView>
    <customSheetView guid="{A788DF77-74F1-49E4-8B34-BFBDB7664F30}" scale="90" showPageBreaks="1" printArea="1" view="pageBreakPreview">
      <selection activeCell="A25" sqref="A25"/>
      <pageMargins left="0.6" right="0.6" top="0.56999999999999995" bottom="0.55000000000000004" header="0.3" footer="0.3"/>
      <printOptions horizontalCentered="1"/>
      <pageSetup scale="72" orientation="landscape" r:id="rId5"/>
      <headerFooter>
        <oddHeader>&amp;L&amp;"Arial,Bold"&amp;12K. Summary of Requirements by Object Class</oddHeader>
        <oddFooter>&amp;C&amp;"Arial,Regular"Exhibit K - Summary of Requirements by Object Class&amp;RResearch, Evaluation, and Statistics</oddFooter>
      </headerFooter>
    </customSheetView>
  </customSheetViews>
  <mergeCells count="10">
    <mergeCell ref="A6:A7"/>
    <mergeCell ref="B6:C6"/>
    <mergeCell ref="D6:E6"/>
    <mergeCell ref="F6:G6"/>
    <mergeCell ref="H6:I6"/>
    <mergeCell ref="A1:I1"/>
    <mergeCell ref="A2:I2"/>
    <mergeCell ref="A3:I3"/>
    <mergeCell ref="A4:I4"/>
    <mergeCell ref="A5:I5"/>
  </mergeCells>
  <printOptions horizontalCentered="1"/>
  <pageMargins left="0.6" right="0.6" top="0.56999999999999995" bottom="0.55000000000000004" header="0.3" footer="0.3"/>
  <pageSetup scale="69" orientation="landscape" r:id="rId6"/>
  <headerFooter>
    <oddHeader>&amp;L&amp;"Arial,Bold"&amp;12K. Summary of Requirements by Object Class</oddHeader>
    <oddFooter>&amp;C&amp;"Arial,Regular"Exhibit K - Summary of Requirements by Object Class&amp;RResearch, Evaluation, and Statistics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view="pageBreakPreview" zoomScale="80" zoomScaleNormal="100" zoomScaleSheetLayoutView="80" workbookViewId="0">
      <selection activeCell="A10" sqref="A10"/>
    </sheetView>
  </sheetViews>
  <sheetFormatPr defaultRowHeight="14.25" x14ac:dyDescent="0.2"/>
  <cols>
    <col min="1" max="1" width="113.5703125" style="143" customWidth="1"/>
    <col min="2" max="2" width="17.5703125" style="147" customWidth="1"/>
    <col min="3" max="3" width="11.42578125" style="147" customWidth="1"/>
    <col min="4" max="4" width="14.5703125" style="148" customWidth="1"/>
    <col min="5" max="5" width="11.5703125" style="4" bestFit="1" customWidth="1"/>
    <col min="6" max="6" width="4.85546875" style="143" customWidth="1"/>
    <col min="7" max="7" width="140.28515625" style="143" customWidth="1"/>
    <col min="8" max="16384" width="9.140625" style="143"/>
  </cols>
  <sheetData>
    <row r="1" spans="1:7" ht="18" x14ac:dyDescent="0.25">
      <c r="A1" s="577" t="s">
        <v>0</v>
      </c>
      <c r="B1" s="577"/>
      <c r="C1" s="577"/>
      <c r="D1" s="577"/>
      <c r="E1" s="4" t="s">
        <v>10</v>
      </c>
      <c r="G1" s="199"/>
    </row>
    <row r="2" spans="1:7" ht="15" x14ac:dyDescent="0.2">
      <c r="A2" s="578" t="s">
        <v>152</v>
      </c>
      <c r="B2" s="578"/>
      <c r="C2" s="578"/>
      <c r="D2" s="578"/>
      <c r="E2" s="4" t="s">
        <v>10</v>
      </c>
      <c r="G2" s="198"/>
    </row>
    <row r="3" spans="1:7" x14ac:dyDescent="0.2">
      <c r="A3" s="579" t="s">
        <v>282</v>
      </c>
      <c r="B3" s="579"/>
      <c r="C3" s="579"/>
      <c r="D3" s="579"/>
      <c r="E3" s="4" t="s">
        <v>10</v>
      </c>
      <c r="G3" s="198"/>
    </row>
    <row r="4" spans="1:7" x14ac:dyDescent="0.2">
      <c r="A4" s="608" t="s">
        <v>1</v>
      </c>
      <c r="B4" s="608"/>
      <c r="C4" s="608"/>
      <c r="D4" s="608"/>
      <c r="E4" s="4" t="s">
        <v>10</v>
      </c>
      <c r="G4" s="198"/>
    </row>
    <row r="5" spans="1:7" ht="15" thickBot="1" x14ac:dyDescent="0.25">
      <c r="E5" s="4" t="s">
        <v>10</v>
      </c>
      <c r="G5" s="198"/>
    </row>
    <row r="6" spans="1:7" ht="15" x14ac:dyDescent="0.25">
      <c r="B6" s="581" t="s">
        <v>121</v>
      </c>
      <c r="C6" s="582"/>
      <c r="D6" s="583"/>
      <c r="E6" s="4" t="s">
        <v>10</v>
      </c>
      <c r="G6" s="247"/>
    </row>
    <row r="7" spans="1:7" ht="15.75" thickBot="1" x14ac:dyDescent="0.25">
      <c r="B7" s="1" t="s">
        <v>143</v>
      </c>
      <c r="C7" s="2" t="s">
        <v>144</v>
      </c>
      <c r="D7" s="3" t="s">
        <v>3</v>
      </c>
      <c r="E7" s="4" t="s">
        <v>10</v>
      </c>
      <c r="G7" s="194"/>
    </row>
    <row r="8" spans="1:7" ht="15" x14ac:dyDescent="0.25">
      <c r="A8" s="80" t="s">
        <v>119</v>
      </c>
      <c r="B8" s="81">
        <v>0</v>
      </c>
      <c r="C8" s="82">
        <v>0</v>
      </c>
      <c r="D8" s="192">
        <v>1140418</v>
      </c>
      <c r="E8" s="4" t="s">
        <v>10</v>
      </c>
      <c r="G8" s="320"/>
    </row>
    <row r="9" spans="1:7" ht="15" x14ac:dyDescent="0.25">
      <c r="A9" s="164" t="s">
        <v>120</v>
      </c>
      <c r="B9" s="87" t="s">
        <v>24</v>
      </c>
      <c r="C9" s="88"/>
      <c r="D9" s="324">
        <v>-23644</v>
      </c>
      <c r="E9" s="4" t="s">
        <v>10</v>
      </c>
      <c r="G9" s="320"/>
    </row>
    <row r="10" spans="1:7" ht="15" x14ac:dyDescent="0.25">
      <c r="A10" s="164" t="s">
        <v>141</v>
      </c>
      <c r="B10" s="87"/>
      <c r="C10" s="88"/>
      <c r="D10" s="324">
        <v>-56306</v>
      </c>
      <c r="E10" s="4" t="s">
        <v>10</v>
      </c>
      <c r="G10" s="320"/>
    </row>
    <row r="11" spans="1:7" ht="15" x14ac:dyDescent="0.25">
      <c r="A11" s="164" t="s">
        <v>281</v>
      </c>
      <c r="B11" s="87"/>
      <c r="C11" s="88"/>
      <c r="D11" s="324">
        <v>-21209</v>
      </c>
      <c r="E11" s="4" t="s">
        <v>10</v>
      </c>
      <c r="G11" s="320"/>
    </row>
    <row r="12" spans="1:7" ht="15" x14ac:dyDescent="0.25">
      <c r="A12" s="164" t="s">
        <v>280</v>
      </c>
      <c r="B12" s="87"/>
      <c r="C12" s="88"/>
      <c r="D12" s="324">
        <v>600</v>
      </c>
      <c r="E12" s="4" t="s">
        <v>10</v>
      </c>
      <c r="G12" s="320"/>
    </row>
    <row r="13" spans="1:7" ht="15" x14ac:dyDescent="0.25">
      <c r="A13" s="164" t="s">
        <v>176</v>
      </c>
      <c r="B13" s="87"/>
      <c r="C13" s="88"/>
      <c r="D13" s="324">
        <v>-1469</v>
      </c>
      <c r="E13" s="4" t="s">
        <v>10</v>
      </c>
      <c r="G13" s="320"/>
    </row>
    <row r="14" spans="1:7" ht="15" x14ac:dyDescent="0.25">
      <c r="A14" s="149" t="s">
        <v>173</v>
      </c>
      <c r="B14" s="322"/>
      <c r="C14" s="321"/>
      <c r="D14" s="397">
        <v>-34331</v>
      </c>
      <c r="E14" s="4" t="s">
        <v>10</v>
      </c>
      <c r="G14" s="320"/>
    </row>
    <row r="15" spans="1:7" ht="15" x14ac:dyDescent="0.25">
      <c r="A15" s="79" t="s">
        <v>122</v>
      </c>
      <c r="B15" s="104">
        <f>SUM(B8:B14)</f>
        <v>0</v>
      </c>
      <c r="C15" s="105">
        <f>SUM(C8:C14)</f>
        <v>0</v>
      </c>
      <c r="D15" s="310">
        <f>SUM(D8:D14)</f>
        <v>1004059</v>
      </c>
      <c r="E15" s="4" t="s">
        <v>10</v>
      </c>
      <c r="G15" s="323"/>
    </row>
    <row r="16" spans="1:7" ht="15" x14ac:dyDescent="0.25">
      <c r="A16" s="79"/>
      <c r="B16" s="104"/>
      <c r="C16" s="105"/>
      <c r="D16" s="310"/>
      <c r="E16" s="4" t="s">
        <v>10</v>
      </c>
      <c r="G16" s="323"/>
    </row>
    <row r="17" spans="1:7" ht="15" x14ac:dyDescent="0.25">
      <c r="A17" s="68" t="s">
        <v>148</v>
      </c>
      <c r="B17" s="104">
        <v>0</v>
      </c>
      <c r="C17" s="105">
        <v>0</v>
      </c>
      <c r="D17" s="310">
        <v>1171500</v>
      </c>
      <c r="E17" s="4" t="s">
        <v>10</v>
      </c>
      <c r="G17" s="320"/>
    </row>
    <row r="18" spans="1:7" ht="15" x14ac:dyDescent="0.25">
      <c r="A18" s="149" t="s">
        <v>172</v>
      </c>
      <c r="B18" s="322">
        <v>0</v>
      </c>
      <c r="C18" s="321">
        <v>0</v>
      </c>
      <c r="D18" s="188">
        <v>-45000</v>
      </c>
      <c r="E18" s="4" t="s">
        <v>10</v>
      </c>
      <c r="G18" s="320"/>
    </row>
    <row r="19" spans="1:7" ht="15" x14ac:dyDescent="0.25">
      <c r="A19" s="71" t="s">
        <v>149</v>
      </c>
      <c r="B19" s="166">
        <f>SUM(B17:B18)+B15</f>
        <v>0</v>
      </c>
      <c r="C19" s="120">
        <f>SUM(C17:C18)+C15</f>
        <v>0</v>
      </c>
      <c r="D19" s="319">
        <f>SUM(D17:D18)</f>
        <v>1126500</v>
      </c>
      <c r="E19" s="4" t="s">
        <v>10</v>
      </c>
      <c r="G19" s="182"/>
    </row>
    <row r="20" spans="1:7" ht="15" x14ac:dyDescent="0.25">
      <c r="A20" s="71"/>
      <c r="B20" s="69"/>
      <c r="C20" s="70"/>
      <c r="D20" s="318"/>
      <c r="E20" s="4" t="s">
        <v>10</v>
      </c>
      <c r="G20" s="184"/>
    </row>
    <row r="21" spans="1:7" ht="15" x14ac:dyDescent="0.25">
      <c r="A21" s="73" t="s">
        <v>4</v>
      </c>
      <c r="B21" s="69"/>
      <c r="C21" s="70"/>
      <c r="D21" s="318"/>
      <c r="E21" s="4" t="s">
        <v>10</v>
      </c>
      <c r="G21" s="184"/>
    </row>
    <row r="22" spans="1:7" x14ac:dyDescent="0.2">
      <c r="A22" s="152" t="s">
        <v>171</v>
      </c>
      <c r="B22" s="153">
        <v>0</v>
      </c>
      <c r="C22" s="154">
        <v>0</v>
      </c>
      <c r="D22" s="279">
        <v>45000</v>
      </c>
      <c r="E22" s="4" t="s">
        <v>10</v>
      </c>
      <c r="G22" s="184"/>
    </row>
    <row r="23" spans="1:7" ht="15" x14ac:dyDescent="0.25">
      <c r="A23" s="74" t="s">
        <v>115</v>
      </c>
      <c r="B23" s="69">
        <f t="shared" ref="B23:D24" si="0">SUM(B22)</f>
        <v>0</v>
      </c>
      <c r="C23" s="70">
        <f t="shared" si="0"/>
        <v>0</v>
      </c>
      <c r="D23" s="318">
        <f t="shared" si="0"/>
        <v>45000</v>
      </c>
      <c r="E23" s="4" t="s">
        <v>10</v>
      </c>
      <c r="G23" s="184"/>
    </row>
    <row r="24" spans="1:7" ht="15" x14ac:dyDescent="0.25">
      <c r="A24" s="71" t="s">
        <v>93</v>
      </c>
      <c r="B24" s="110">
        <f t="shared" si="0"/>
        <v>0</v>
      </c>
      <c r="C24" s="25">
        <f t="shared" si="0"/>
        <v>0</v>
      </c>
      <c r="D24" s="317">
        <f t="shared" si="0"/>
        <v>45000</v>
      </c>
      <c r="E24" s="4" t="s">
        <v>10</v>
      </c>
      <c r="G24" s="182"/>
    </row>
    <row r="25" spans="1:7" ht="15" x14ac:dyDescent="0.25">
      <c r="A25" s="75" t="s">
        <v>123</v>
      </c>
      <c r="B25" s="108">
        <f>B19+B24</f>
        <v>0</v>
      </c>
      <c r="C25" s="105">
        <f>C19+C24</f>
        <v>0</v>
      </c>
      <c r="D25" s="316">
        <f>D19+D24</f>
        <v>1171500</v>
      </c>
      <c r="E25" s="4" t="s">
        <v>10</v>
      </c>
      <c r="G25" s="182"/>
    </row>
    <row r="26" spans="1:7" ht="15" x14ac:dyDescent="0.25">
      <c r="A26" s="75" t="s">
        <v>7</v>
      </c>
      <c r="B26" s="108"/>
      <c r="C26" s="105"/>
      <c r="D26" s="316"/>
      <c r="E26" s="4" t="s">
        <v>10</v>
      </c>
      <c r="G26" s="184"/>
    </row>
    <row r="27" spans="1:7" ht="15" x14ac:dyDescent="0.25">
      <c r="A27" s="155" t="s">
        <v>170</v>
      </c>
      <c r="B27" s="76"/>
      <c r="C27" s="70"/>
      <c r="D27" s="314"/>
      <c r="E27" s="4" t="s">
        <v>10</v>
      </c>
      <c r="G27" s="184"/>
    </row>
    <row r="28" spans="1:7" x14ac:dyDescent="0.2">
      <c r="A28" s="156" t="s">
        <v>279</v>
      </c>
      <c r="B28" s="157">
        <v>0</v>
      </c>
      <c r="C28" s="154">
        <v>0</v>
      </c>
      <c r="D28" s="186">
        <v>1500</v>
      </c>
      <c r="E28" s="4" t="s">
        <v>10</v>
      </c>
      <c r="G28" s="184"/>
    </row>
    <row r="29" spans="1:7" x14ac:dyDescent="0.2">
      <c r="A29" s="156" t="s">
        <v>278</v>
      </c>
      <c r="B29" s="157">
        <v>0</v>
      </c>
      <c r="C29" s="154">
        <v>0</v>
      </c>
      <c r="D29" s="186">
        <v>19000</v>
      </c>
      <c r="E29" s="4" t="s">
        <v>10</v>
      </c>
      <c r="G29" s="184"/>
    </row>
    <row r="30" spans="1:7" x14ac:dyDescent="0.2">
      <c r="A30" s="156" t="s">
        <v>354</v>
      </c>
      <c r="B30" s="157">
        <v>0</v>
      </c>
      <c r="C30" s="154">
        <v>0</v>
      </c>
      <c r="D30" s="186">
        <v>15000</v>
      </c>
      <c r="E30" s="4" t="s">
        <v>10</v>
      </c>
      <c r="G30" s="184"/>
    </row>
    <row r="31" spans="1:7" x14ac:dyDescent="0.2">
      <c r="A31" s="156" t="s">
        <v>516</v>
      </c>
      <c r="B31" s="157">
        <v>0</v>
      </c>
      <c r="C31" s="154">
        <v>0</v>
      </c>
      <c r="D31" s="186">
        <v>5000</v>
      </c>
      <c r="E31" s="4" t="s">
        <v>10</v>
      </c>
      <c r="G31" s="184"/>
    </row>
    <row r="32" spans="1:7" x14ac:dyDescent="0.2">
      <c r="A32" s="156" t="s">
        <v>461</v>
      </c>
      <c r="B32" s="157">
        <v>0</v>
      </c>
      <c r="C32" s="154">
        <v>0</v>
      </c>
      <c r="D32" s="186">
        <v>35000</v>
      </c>
      <c r="E32" s="4" t="s">
        <v>10</v>
      </c>
      <c r="G32" s="184"/>
    </row>
    <row r="33" spans="1:7" x14ac:dyDescent="0.2">
      <c r="A33" s="156" t="s">
        <v>277</v>
      </c>
      <c r="B33" s="157">
        <v>0</v>
      </c>
      <c r="C33" s="154">
        <v>0</v>
      </c>
      <c r="D33" s="186">
        <v>15000</v>
      </c>
      <c r="E33" s="4" t="s">
        <v>10</v>
      </c>
      <c r="G33" s="184"/>
    </row>
    <row r="34" spans="1:7" x14ac:dyDescent="0.2">
      <c r="A34" s="156" t="s">
        <v>276</v>
      </c>
      <c r="B34" s="157">
        <v>0</v>
      </c>
      <c r="C34" s="154">
        <v>0</v>
      </c>
      <c r="D34" s="186">
        <v>5000</v>
      </c>
      <c r="E34" s="4" t="s">
        <v>10</v>
      </c>
      <c r="G34" s="184"/>
    </row>
    <row r="35" spans="1:7" x14ac:dyDescent="0.2">
      <c r="A35" s="156" t="s">
        <v>462</v>
      </c>
      <c r="B35" s="157">
        <v>0</v>
      </c>
      <c r="C35" s="154">
        <v>0</v>
      </c>
      <c r="D35" s="186">
        <v>5400</v>
      </c>
      <c r="E35" s="4" t="s">
        <v>10</v>
      </c>
      <c r="G35" s="184"/>
    </row>
    <row r="36" spans="1:7" x14ac:dyDescent="0.2">
      <c r="A36" s="156" t="s">
        <v>275</v>
      </c>
      <c r="B36" s="157">
        <v>0</v>
      </c>
      <c r="C36" s="154">
        <v>0</v>
      </c>
      <c r="D36" s="186">
        <v>2500</v>
      </c>
      <c r="E36" s="4" t="s">
        <v>10</v>
      </c>
      <c r="G36" s="184"/>
    </row>
    <row r="37" spans="1:7" x14ac:dyDescent="0.2">
      <c r="A37" s="156" t="s">
        <v>342</v>
      </c>
      <c r="B37" s="157">
        <v>0</v>
      </c>
      <c r="C37" s="154">
        <v>0</v>
      </c>
      <c r="D37" s="186">
        <v>3500</v>
      </c>
      <c r="E37" s="4" t="s">
        <v>10</v>
      </c>
      <c r="G37" s="184"/>
    </row>
    <row r="38" spans="1:7" x14ac:dyDescent="0.2">
      <c r="A38" s="156" t="s">
        <v>517</v>
      </c>
      <c r="B38" s="157">
        <v>0</v>
      </c>
      <c r="C38" s="154">
        <v>0</v>
      </c>
      <c r="D38" s="186">
        <v>44000</v>
      </c>
      <c r="E38" s="4" t="s">
        <v>10</v>
      </c>
      <c r="G38" s="184"/>
    </row>
    <row r="39" spans="1:7" x14ac:dyDescent="0.2">
      <c r="A39" s="156" t="s">
        <v>463</v>
      </c>
      <c r="B39" s="157">
        <v>0</v>
      </c>
      <c r="C39" s="154">
        <v>0</v>
      </c>
      <c r="D39" s="186">
        <v>9000</v>
      </c>
      <c r="E39" s="4" t="s">
        <v>10</v>
      </c>
      <c r="G39" s="184"/>
    </row>
    <row r="40" spans="1:7" x14ac:dyDescent="0.2">
      <c r="A40" s="156" t="s">
        <v>515</v>
      </c>
      <c r="B40" s="157">
        <v>0</v>
      </c>
      <c r="C40" s="154">
        <v>0</v>
      </c>
      <c r="D40" s="186">
        <v>6000</v>
      </c>
      <c r="E40" s="4" t="s">
        <v>10</v>
      </c>
      <c r="G40" s="184"/>
    </row>
    <row r="41" spans="1:7" x14ac:dyDescent="0.2">
      <c r="A41" s="156" t="s">
        <v>271</v>
      </c>
      <c r="B41" s="157">
        <v>0</v>
      </c>
      <c r="C41" s="154">
        <v>0</v>
      </c>
      <c r="D41" s="186">
        <v>4000</v>
      </c>
      <c r="E41" s="4" t="s">
        <v>10</v>
      </c>
      <c r="G41" s="184"/>
    </row>
    <row r="42" spans="1:7" x14ac:dyDescent="0.2">
      <c r="A42" s="156" t="s">
        <v>270</v>
      </c>
      <c r="B42" s="157">
        <v>0</v>
      </c>
      <c r="C42" s="154">
        <v>0</v>
      </c>
      <c r="D42" s="312">
        <v>47250</v>
      </c>
      <c r="E42" s="4" t="s">
        <v>10</v>
      </c>
      <c r="G42" s="184"/>
    </row>
    <row r="43" spans="1:7" ht="15" thickBot="1" x14ac:dyDescent="0.25">
      <c r="A43" s="528" t="s">
        <v>8</v>
      </c>
      <c r="B43" s="529">
        <f>SUM(B28:B42)</f>
        <v>0</v>
      </c>
      <c r="C43" s="300">
        <f>SUM(C28:C42)</f>
        <v>0</v>
      </c>
      <c r="D43" s="530">
        <f>SUM(D28:D42)</f>
        <v>217150</v>
      </c>
      <c r="E43" s="4" t="s">
        <v>10</v>
      </c>
      <c r="G43" s="315"/>
    </row>
    <row r="44" spans="1:7" ht="15" x14ac:dyDescent="0.25">
      <c r="A44" s="527" t="s">
        <v>166</v>
      </c>
      <c r="B44" s="104"/>
      <c r="C44" s="105"/>
      <c r="D44" s="310"/>
      <c r="E44" s="4" t="s">
        <v>10</v>
      </c>
      <c r="G44" s="184"/>
    </row>
    <row r="45" spans="1:7" x14ac:dyDescent="0.2">
      <c r="A45" s="156" t="s">
        <v>269</v>
      </c>
      <c r="B45" s="157">
        <v>0</v>
      </c>
      <c r="C45" s="154">
        <v>0</v>
      </c>
      <c r="D45" s="186">
        <v>-22500</v>
      </c>
      <c r="E45" s="4" t="s">
        <v>10</v>
      </c>
      <c r="G45" s="184"/>
    </row>
    <row r="46" spans="1:7" x14ac:dyDescent="0.2">
      <c r="A46" s="156" t="s">
        <v>268</v>
      </c>
      <c r="B46" s="157">
        <v>0</v>
      </c>
      <c r="C46" s="154">
        <v>0</v>
      </c>
      <c r="D46" s="186">
        <v>-2000</v>
      </c>
      <c r="E46" s="4" t="s">
        <v>10</v>
      </c>
      <c r="G46" s="184"/>
    </row>
    <row r="47" spans="1:7" x14ac:dyDescent="0.2">
      <c r="A47" s="156" t="s">
        <v>267</v>
      </c>
      <c r="B47" s="157">
        <v>0</v>
      </c>
      <c r="C47" s="154">
        <v>0</v>
      </c>
      <c r="D47" s="186">
        <v>-25000</v>
      </c>
      <c r="E47" s="4" t="s">
        <v>10</v>
      </c>
      <c r="G47" s="184"/>
    </row>
    <row r="48" spans="1:7" x14ac:dyDescent="0.2">
      <c r="A48" s="156" t="s">
        <v>266</v>
      </c>
      <c r="B48" s="157">
        <v>0</v>
      </c>
      <c r="C48" s="154">
        <v>0</v>
      </c>
      <c r="D48" s="186">
        <v>-40500</v>
      </c>
      <c r="E48" s="4" t="s">
        <v>10</v>
      </c>
      <c r="G48" s="184"/>
    </row>
    <row r="49" spans="1:7" x14ac:dyDescent="0.2">
      <c r="A49" s="156" t="s">
        <v>265</v>
      </c>
      <c r="B49" s="157">
        <v>0</v>
      </c>
      <c r="C49" s="154">
        <v>0</v>
      </c>
      <c r="D49" s="186">
        <v>-30000</v>
      </c>
      <c r="E49" s="4" t="s">
        <v>10</v>
      </c>
      <c r="G49" s="184"/>
    </row>
    <row r="50" spans="1:7" x14ac:dyDescent="0.2">
      <c r="A50" s="156" t="s">
        <v>264</v>
      </c>
      <c r="B50" s="157">
        <v>0</v>
      </c>
      <c r="C50" s="154">
        <v>0</v>
      </c>
      <c r="D50" s="186">
        <v>-2000</v>
      </c>
      <c r="E50" s="4" t="s">
        <v>10</v>
      </c>
      <c r="G50" s="184"/>
    </row>
    <row r="51" spans="1:7" x14ac:dyDescent="0.2">
      <c r="A51" s="156" t="s">
        <v>263</v>
      </c>
      <c r="B51" s="157">
        <v>0</v>
      </c>
      <c r="C51" s="154">
        <v>0</v>
      </c>
      <c r="D51" s="186">
        <v>-8250</v>
      </c>
      <c r="E51" s="4" t="s">
        <v>10</v>
      </c>
      <c r="G51" s="184"/>
    </row>
    <row r="52" spans="1:7" x14ac:dyDescent="0.2">
      <c r="A52" s="156" t="s">
        <v>262</v>
      </c>
      <c r="B52" s="157">
        <v>0</v>
      </c>
      <c r="C52" s="154">
        <v>0</v>
      </c>
      <c r="D52" s="186">
        <v>-750</v>
      </c>
      <c r="E52" s="4" t="s">
        <v>10</v>
      </c>
      <c r="G52" s="184"/>
    </row>
    <row r="53" spans="1:7" x14ac:dyDescent="0.2">
      <c r="A53" s="156" t="s">
        <v>261</v>
      </c>
      <c r="B53" s="157">
        <v>0</v>
      </c>
      <c r="C53" s="154">
        <v>0</v>
      </c>
      <c r="D53" s="186">
        <v>-7000</v>
      </c>
      <c r="E53" s="4" t="s">
        <v>10</v>
      </c>
      <c r="G53" s="184"/>
    </row>
    <row r="54" spans="1:7" x14ac:dyDescent="0.2">
      <c r="A54" s="156" t="s">
        <v>260</v>
      </c>
      <c r="B54" s="157">
        <v>0</v>
      </c>
      <c r="C54" s="154">
        <v>0</v>
      </c>
      <c r="D54" s="186">
        <v>-12000</v>
      </c>
      <c r="E54" s="4" t="s">
        <v>10</v>
      </c>
      <c r="G54" s="184"/>
    </row>
    <row r="55" spans="1:7" x14ac:dyDescent="0.2">
      <c r="A55" s="156" t="s">
        <v>259</v>
      </c>
      <c r="B55" s="157">
        <v>0</v>
      </c>
      <c r="C55" s="154">
        <v>0</v>
      </c>
      <c r="D55" s="186">
        <v>-2000</v>
      </c>
      <c r="E55" s="4" t="s">
        <v>10</v>
      </c>
      <c r="G55" s="184"/>
    </row>
    <row r="56" spans="1:7" x14ac:dyDescent="0.2">
      <c r="A56" s="156" t="s">
        <v>258</v>
      </c>
      <c r="B56" s="157">
        <v>0</v>
      </c>
      <c r="C56" s="154">
        <v>0</v>
      </c>
      <c r="D56" s="186">
        <v>-180000</v>
      </c>
      <c r="E56" s="4" t="s">
        <v>10</v>
      </c>
      <c r="G56" s="184"/>
    </row>
    <row r="57" spans="1:7" x14ac:dyDescent="0.2">
      <c r="A57" s="156" t="s">
        <v>257</v>
      </c>
      <c r="B57" s="157">
        <v>0</v>
      </c>
      <c r="C57" s="154">
        <v>0</v>
      </c>
      <c r="D57" s="186">
        <v>-4000</v>
      </c>
      <c r="E57" s="4" t="s">
        <v>10</v>
      </c>
      <c r="G57" s="184"/>
    </row>
    <row r="58" spans="1:7" x14ac:dyDescent="0.2">
      <c r="A58" s="156" t="s">
        <v>256</v>
      </c>
      <c r="B58" s="157">
        <v>0</v>
      </c>
      <c r="C58" s="154">
        <v>0</v>
      </c>
      <c r="D58" s="186">
        <v>-3750</v>
      </c>
      <c r="E58" s="4" t="s">
        <v>10</v>
      </c>
      <c r="G58" s="184"/>
    </row>
    <row r="59" spans="1:7" x14ac:dyDescent="0.2">
      <c r="A59" s="156" t="s">
        <v>255</v>
      </c>
      <c r="B59" s="157">
        <v>0</v>
      </c>
      <c r="C59" s="154">
        <v>0</v>
      </c>
      <c r="D59" s="186">
        <v>-3500</v>
      </c>
      <c r="E59" s="4" t="s">
        <v>10</v>
      </c>
      <c r="G59" s="184"/>
    </row>
    <row r="60" spans="1:7" x14ac:dyDescent="0.2">
      <c r="A60" s="156" t="s">
        <v>254</v>
      </c>
      <c r="B60" s="313">
        <v>0</v>
      </c>
      <c r="C60" s="113">
        <v>0</v>
      </c>
      <c r="D60" s="312">
        <v>-12500</v>
      </c>
      <c r="E60" s="4" t="s">
        <v>10</v>
      </c>
      <c r="G60" s="184"/>
    </row>
    <row r="61" spans="1:7" x14ac:dyDescent="0.2">
      <c r="A61" s="156" t="s">
        <v>164</v>
      </c>
      <c r="B61" s="157">
        <f>SUM(B45:B60)</f>
        <v>0</v>
      </c>
      <c r="C61" s="154">
        <f>SUM(C45:C60)</f>
        <v>0</v>
      </c>
      <c r="D61" s="186">
        <f>SUM(D45:D60)</f>
        <v>-355750</v>
      </c>
      <c r="E61" s="4" t="s">
        <v>10</v>
      </c>
      <c r="G61" s="184"/>
    </row>
    <row r="62" spans="1:7" ht="15" x14ac:dyDescent="0.25">
      <c r="A62" s="71" t="s">
        <v>9</v>
      </c>
      <c r="B62" s="107">
        <f>B43+B61</f>
        <v>0</v>
      </c>
      <c r="C62" s="25">
        <f>C43+C61</f>
        <v>0</v>
      </c>
      <c r="D62" s="311">
        <f>D43+D61</f>
        <v>-138600</v>
      </c>
      <c r="E62" s="4" t="s">
        <v>10</v>
      </c>
      <c r="G62" s="182"/>
    </row>
    <row r="63" spans="1:7" ht="15" x14ac:dyDescent="0.25">
      <c r="A63" s="78" t="s">
        <v>124</v>
      </c>
      <c r="B63" s="104">
        <f>B25+B62</f>
        <v>0</v>
      </c>
      <c r="C63" s="105">
        <f>C25+C62</f>
        <v>0</v>
      </c>
      <c r="D63" s="310">
        <f>D25+D62</f>
        <v>1032900</v>
      </c>
      <c r="E63" s="4" t="s">
        <v>10</v>
      </c>
      <c r="G63" s="182"/>
    </row>
    <row r="64" spans="1:7" ht="15" x14ac:dyDescent="0.25">
      <c r="A64" s="149" t="s">
        <v>142</v>
      </c>
      <c r="B64" s="107"/>
      <c r="C64" s="25"/>
      <c r="D64" s="185">
        <v>-45000</v>
      </c>
      <c r="E64" s="4" t="s">
        <v>10</v>
      </c>
      <c r="G64" s="184"/>
    </row>
    <row r="65" spans="1:7" s="5" customFormat="1" ht="15" x14ac:dyDescent="0.25">
      <c r="A65" s="90" t="s">
        <v>125</v>
      </c>
      <c r="B65" s="87">
        <f>SUM(B63:B64)</f>
        <v>0</v>
      </c>
      <c r="C65" s="88">
        <f>SUM(C63:C64)</f>
        <v>0</v>
      </c>
      <c r="D65" s="309">
        <f>SUM(D63:D64)</f>
        <v>987900</v>
      </c>
      <c r="E65" s="4" t="s">
        <v>10</v>
      </c>
      <c r="G65" s="182"/>
    </row>
    <row r="66" spans="1:7" ht="15.75" thickBot="1" x14ac:dyDescent="0.3">
      <c r="A66" s="159" t="s">
        <v>151</v>
      </c>
      <c r="B66" s="308">
        <f>B63-B17</f>
        <v>0</v>
      </c>
      <c r="C66" s="308">
        <f>C63-C17</f>
        <v>0</v>
      </c>
      <c r="D66" s="307">
        <f>D63-D17</f>
        <v>-138600</v>
      </c>
      <c r="E66" s="4" t="s">
        <v>10</v>
      </c>
      <c r="G66" s="182"/>
    </row>
    <row r="67" spans="1:7" x14ac:dyDescent="0.2">
      <c r="A67" s="4"/>
      <c r="E67" s="4" t="s">
        <v>10</v>
      </c>
    </row>
    <row r="68" spans="1:7" ht="17.25" x14ac:dyDescent="0.2">
      <c r="A68" s="575" t="s">
        <v>145</v>
      </c>
      <c r="B68" s="576"/>
      <c r="C68" s="576"/>
      <c r="D68" s="576"/>
      <c r="E68" s="4" t="s">
        <v>10</v>
      </c>
    </row>
    <row r="69" spans="1:7" x14ac:dyDescent="0.2">
      <c r="E69" s="4" t="s">
        <v>11</v>
      </c>
    </row>
  </sheetData>
  <customSheetViews>
    <customSheetView guid="{EE916FE7-61FB-4021-ADDD-E082241FC03C}" scale="90" showPageBreaks="1" printArea="1" view="pageBreakPreview" topLeftCell="A43">
      <selection activeCell="D14" sqref="D14"/>
      <pageMargins left="0.7" right="0.7" top="0.63" bottom="0.63" header="0.3" footer="0.3"/>
      <printOptions horizontalCentered="1"/>
      <pageSetup scale="52" orientation="landscape" r:id="rId1"/>
      <headerFooter>
        <oddHeader>&amp;L&amp;"Arial,Bold"&amp;12B. Summary of Requirements</oddHeader>
        <oddFooter>&amp;C&amp;"Arial,Regular"Exhibit B - Summary of Requirements&amp;RState and Local Law Enforcement Assistance</oddFooter>
      </headerFooter>
    </customSheetView>
    <customSheetView guid="{0BB5DC4B-BC2A-4489-BE17-5E267FA1EF63}" scale="90" showPageBreaks="1" printArea="1" view="pageBreakPreview" topLeftCell="A10">
      <selection activeCell="D14" sqref="D14"/>
      <pageMargins left="0.7" right="0.7" top="0.63" bottom="0.63" header="0.3" footer="0.3"/>
      <printOptions horizontalCentered="1"/>
      <pageSetup scale="52" orientation="landscape" r:id="rId2"/>
      <headerFooter>
        <oddHeader>&amp;L&amp;"Arial,Bold"&amp;12B. Summary of Requirements</oddHeader>
        <oddFooter>&amp;C&amp;"Arial,Regular"Exhibit B - Summary of Requirements&amp;RState and Local Law Enforcement Assistance</oddFooter>
      </headerFooter>
    </customSheetView>
    <customSheetView guid="{6C58FFE1-D756-42C4-A1BC-AA7F1DC1E56F}" scale="90" showPageBreaks="1" printArea="1" view="pageBreakPreview" topLeftCell="C31">
      <selection activeCell="E39" sqref="E39"/>
      <pageMargins left="0.7" right="0.7" top="0.63" bottom="0.63" header="0.3" footer="0.3"/>
      <printOptions horizontalCentered="1"/>
      <pageSetup scale="52" orientation="landscape" r:id="rId3"/>
      <headerFooter>
        <oddHeader>&amp;L&amp;"Arial,Bold"&amp;12B. Summary of Requirements</oddHeader>
        <oddFooter>&amp;C&amp;"Arial,Regular"Exhibit B - Summary of Requirements&amp;RState and Local Law Enforcement Assistance</oddFooter>
      </headerFooter>
    </customSheetView>
    <customSheetView guid="{CFA5D1C9-F4C9-4B8D-923D-4C71CB6E7D3B}" scale="90" showPageBreaks="1" printArea="1" view="pageBreakPreview" topLeftCell="A43">
      <selection activeCell="D14" sqref="D14"/>
      <pageMargins left="0.7" right="0.7" top="0.63" bottom="0.63" header="0.3" footer="0.3"/>
      <printOptions horizontalCentered="1"/>
      <pageSetup scale="52" orientation="landscape" r:id="rId4"/>
      <headerFooter>
        <oddHeader>&amp;L&amp;"Arial,Bold"&amp;12B. Summary of Requirements</oddHeader>
        <oddFooter>&amp;C&amp;"Arial,Regular"Exhibit B - Summary of Requirements&amp;RState and Local Law Enforcement Assistance</oddFooter>
      </headerFooter>
    </customSheetView>
    <customSheetView guid="{A788DF77-74F1-49E4-8B34-BFBDB7664F30}" scale="90" showPageBreaks="1" printArea="1" view="pageBreakPreview" topLeftCell="A25">
      <selection activeCell="A35" sqref="A35"/>
      <pageMargins left="0.7" right="0.7" top="0.63" bottom="0.63" header="0.3" footer="0.3"/>
      <printOptions horizontalCentered="1"/>
      <pageSetup scale="52" orientation="landscape" r:id="rId5"/>
      <headerFooter>
        <oddHeader>&amp;L&amp;"Arial,Bold"&amp;12B. Summary of Requirements</oddHeader>
        <oddFooter>&amp;C&amp;"Arial,Regular"Exhibit B - Summary of Requirements&amp;RState and Local Law Enforcement Assistance</oddFooter>
      </headerFooter>
    </customSheetView>
  </customSheetViews>
  <mergeCells count="6">
    <mergeCell ref="A68:D68"/>
    <mergeCell ref="A1:D1"/>
    <mergeCell ref="A2:D2"/>
    <mergeCell ref="A3:D3"/>
    <mergeCell ref="A4:D4"/>
    <mergeCell ref="B6:D6"/>
  </mergeCells>
  <printOptions horizontalCentered="1"/>
  <pageMargins left="0.7" right="0.7" top="0.63" bottom="0.63" header="0.3" footer="0.3"/>
  <pageSetup scale="77" fitToHeight="2" orientation="landscape" r:id="rId6"/>
  <headerFooter>
    <oddHeader>&amp;L&amp;"Arial,Bold"&amp;12B. Summary of Requirements</oddHeader>
    <oddFooter>&amp;C&amp;"Arial,Regular"Exhibit B - Summary of Requirements&amp;RState and Local Law Enforcement Assistance</oddFooter>
  </headerFooter>
  <rowBreaks count="1" manualBreakCount="1">
    <brk id="43"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view="pageBreakPreview" zoomScale="80" zoomScaleNormal="100" zoomScaleSheetLayoutView="80" workbookViewId="0">
      <selection activeCell="M37" sqref="M37"/>
    </sheetView>
  </sheetViews>
  <sheetFormatPr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8" x14ac:dyDescent="0.25">
      <c r="A1" s="577" t="s">
        <v>0</v>
      </c>
      <c r="B1" s="577"/>
      <c r="C1" s="577"/>
      <c r="D1" s="577"/>
      <c r="E1" s="577"/>
      <c r="F1" s="577"/>
      <c r="G1" s="577"/>
      <c r="H1" s="577"/>
      <c r="I1" s="577"/>
      <c r="J1" s="577"/>
      <c r="K1" s="577"/>
      <c r="L1" s="577"/>
      <c r="M1" s="577"/>
      <c r="N1" s="51" t="s">
        <v>10</v>
      </c>
      <c r="O1" s="6"/>
      <c r="P1" s="6"/>
      <c r="Q1" s="6"/>
      <c r="R1" s="6"/>
      <c r="S1" s="6"/>
      <c r="T1" s="6"/>
      <c r="U1" s="6"/>
    </row>
    <row r="2" spans="1:21" ht="15" x14ac:dyDescent="0.2">
      <c r="A2" s="578" t="s">
        <v>152</v>
      </c>
      <c r="B2" s="578"/>
      <c r="C2" s="578"/>
      <c r="D2" s="578"/>
      <c r="E2" s="578"/>
      <c r="F2" s="578"/>
      <c r="G2" s="578"/>
      <c r="H2" s="578"/>
      <c r="I2" s="578"/>
      <c r="J2" s="578"/>
      <c r="K2" s="578"/>
      <c r="L2" s="578"/>
      <c r="M2" s="578"/>
      <c r="N2" s="51" t="s">
        <v>10</v>
      </c>
      <c r="O2" s="7"/>
      <c r="P2" s="7"/>
      <c r="Q2" s="7"/>
      <c r="R2" s="7"/>
      <c r="S2" s="7"/>
      <c r="T2" s="7"/>
      <c r="U2" s="7"/>
    </row>
    <row r="3" spans="1:21" x14ac:dyDescent="0.2">
      <c r="A3" s="579" t="s">
        <v>153</v>
      </c>
      <c r="B3" s="587"/>
      <c r="C3" s="587"/>
      <c r="D3" s="587"/>
      <c r="E3" s="587"/>
      <c r="F3" s="587"/>
      <c r="G3" s="587"/>
      <c r="H3" s="587"/>
      <c r="I3" s="587"/>
      <c r="J3" s="587"/>
      <c r="K3" s="587"/>
      <c r="L3" s="587"/>
      <c r="M3" s="587"/>
      <c r="N3" s="51" t="s">
        <v>10</v>
      </c>
      <c r="O3" s="10"/>
      <c r="P3" s="10"/>
      <c r="Q3" s="10"/>
      <c r="R3" s="10"/>
      <c r="S3" s="10"/>
      <c r="T3" s="10"/>
      <c r="U3" s="10"/>
    </row>
    <row r="4" spans="1:21" x14ac:dyDescent="0.2">
      <c r="A4" s="584" t="s">
        <v>1</v>
      </c>
      <c r="B4" s="584"/>
      <c r="C4" s="584"/>
      <c r="D4" s="584"/>
      <c r="E4" s="584"/>
      <c r="F4" s="584"/>
      <c r="G4" s="584"/>
      <c r="H4" s="584"/>
      <c r="I4" s="584"/>
      <c r="J4" s="584"/>
      <c r="K4" s="584"/>
      <c r="L4" s="584"/>
      <c r="M4" s="584"/>
      <c r="N4" s="51" t="s">
        <v>10</v>
      </c>
      <c r="O4" s="8"/>
      <c r="P4" s="8"/>
      <c r="Q4" s="8"/>
      <c r="R4" s="8"/>
      <c r="S4" s="8"/>
      <c r="T4" s="8"/>
      <c r="U4" s="8"/>
    </row>
    <row r="5" spans="1:21" x14ac:dyDescent="0.2">
      <c r="A5" s="584"/>
      <c r="B5" s="584"/>
      <c r="C5" s="584"/>
      <c r="D5" s="584"/>
      <c r="E5" s="584"/>
      <c r="F5" s="584"/>
      <c r="G5" s="584"/>
      <c r="H5" s="584"/>
      <c r="I5" s="584"/>
      <c r="J5" s="584"/>
      <c r="K5" s="584"/>
      <c r="L5" s="584"/>
      <c r="M5" s="584"/>
      <c r="N5" s="51" t="s">
        <v>10</v>
      </c>
      <c r="O5" s="8"/>
      <c r="P5" s="8"/>
      <c r="Q5" s="8"/>
      <c r="R5" s="8"/>
      <c r="S5" s="8"/>
      <c r="T5" s="8"/>
      <c r="U5" s="8"/>
    </row>
    <row r="6" spans="1:21" ht="15" thickBot="1" x14ac:dyDescent="0.25">
      <c r="A6" s="584"/>
      <c r="B6" s="584"/>
      <c r="C6" s="584"/>
      <c r="D6" s="584"/>
      <c r="E6" s="584"/>
      <c r="F6" s="584"/>
      <c r="G6" s="584"/>
      <c r="H6" s="584"/>
      <c r="I6" s="584"/>
      <c r="J6" s="584"/>
      <c r="K6" s="584"/>
      <c r="L6" s="584"/>
      <c r="M6" s="584"/>
      <c r="N6" s="51" t="s">
        <v>10</v>
      </c>
      <c r="O6" s="8"/>
      <c r="P6" s="8"/>
      <c r="Q6" s="8"/>
      <c r="R6" s="8"/>
      <c r="S6" s="8"/>
      <c r="T6" s="8"/>
      <c r="U6" s="8"/>
    </row>
    <row r="7" spans="1:21" ht="45.75" customHeight="1" x14ac:dyDescent="0.2">
      <c r="A7" s="585" t="s">
        <v>101</v>
      </c>
      <c r="B7" s="588" t="s">
        <v>126</v>
      </c>
      <c r="C7" s="588"/>
      <c r="D7" s="588"/>
      <c r="E7" s="588" t="s">
        <v>148</v>
      </c>
      <c r="F7" s="588"/>
      <c r="G7" s="588"/>
      <c r="H7" s="588" t="s">
        <v>127</v>
      </c>
      <c r="I7" s="588"/>
      <c r="J7" s="588"/>
      <c r="K7" s="588" t="s">
        <v>123</v>
      </c>
      <c r="L7" s="588"/>
      <c r="M7" s="589"/>
      <c r="N7" s="51" t="s">
        <v>10</v>
      </c>
    </row>
    <row r="8" spans="1:21" ht="28.5" x14ac:dyDescent="0.2">
      <c r="A8" s="586"/>
      <c r="B8" s="11" t="s">
        <v>2</v>
      </c>
      <c r="C8" s="91" t="s">
        <v>95</v>
      </c>
      <c r="D8" s="11" t="s">
        <v>3</v>
      </c>
      <c r="E8" s="11" t="s">
        <v>2</v>
      </c>
      <c r="F8" s="91" t="s">
        <v>110</v>
      </c>
      <c r="G8" s="11" t="s">
        <v>3</v>
      </c>
      <c r="H8" s="11" t="s">
        <v>2</v>
      </c>
      <c r="I8" s="11" t="s">
        <v>110</v>
      </c>
      <c r="J8" s="11" t="s">
        <v>3</v>
      </c>
      <c r="K8" s="11" t="s">
        <v>2</v>
      </c>
      <c r="L8" s="11" t="s">
        <v>110</v>
      </c>
      <c r="M8" s="12" t="s">
        <v>3</v>
      </c>
      <c r="N8" s="51" t="s">
        <v>10</v>
      </c>
    </row>
    <row r="9" spans="1:21" x14ac:dyDescent="0.2">
      <c r="A9" s="173" t="s">
        <v>153</v>
      </c>
      <c r="B9" s="115">
        <v>702</v>
      </c>
      <c r="C9" s="115">
        <v>609</v>
      </c>
      <c r="D9" s="115">
        <v>170115</v>
      </c>
      <c r="E9" s="115">
        <v>702</v>
      </c>
      <c r="F9" s="115">
        <v>609</v>
      </c>
      <c r="G9" s="115">
        <v>187332</v>
      </c>
      <c r="H9" s="115">
        <v>0</v>
      </c>
      <c r="I9" s="115">
        <v>51</v>
      </c>
      <c r="J9" s="115">
        <v>3300</v>
      </c>
      <c r="K9" s="115">
        <f>E9+H9</f>
        <v>702</v>
      </c>
      <c r="L9" s="115">
        <f t="shared" ref="L9:M12" si="0">F9+I9</f>
        <v>660</v>
      </c>
      <c r="M9" s="116">
        <f t="shared" si="0"/>
        <v>190632</v>
      </c>
      <c r="N9" s="51" t="s">
        <v>10</v>
      </c>
    </row>
    <row r="10" spans="1:21" ht="15" x14ac:dyDescent="0.25">
      <c r="A10" s="13" t="s">
        <v>98</v>
      </c>
      <c r="B10" s="118">
        <f t="shared" ref="B10:M10" si="1">SUM(B9:B9)</f>
        <v>702</v>
      </c>
      <c r="C10" s="118">
        <f t="shared" si="1"/>
        <v>609</v>
      </c>
      <c r="D10" s="118">
        <f t="shared" si="1"/>
        <v>170115</v>
      </c>
      <c r="E10" s="118">
        <f t="shared" si="1"/>
        <v>702</v>
      </c>
      <c r="F10" s="118">
        <f t="shared" si="1"/>
        <v>609</v>
      </c>
      <c r="G10" s="118">
        <f t="shared" si="1"/>
        <v>187332</v>
      </c>
      <c r="H10" s="118">
        <f t="shared" si="1"/>
        <v>0</v>
      </c>
      <c r="I10" s="118">
        <f t="shared" si="1"/>
        <v>51</v>
      </c>
      <c r="J10" s="118">
        <f t="shared" si="1"/>
        <v>3300</v>
      </c>
      <c r="K10" s="118">
        <f t="shared" si="1"/>
        <v>702</v>
      </c>
      <c r="L10" s="118">
        <f t="shared" si="1"/>
        <v>660</v>
      </c>
      <c r="M10" s="119">
        <f t="shared" si="1"/>
        <v>190632</v>
      </c>
      <c r="N10" s="51" t="s">
        <v>10</v>
      </c>
    </row>
    <row r="11" spans="1:21" ht="15" x14ac:dyDescent="0.25">
      <c r="A11" s="86" t="s">
        <v>97</v>
      </c>
      <c r="B11" s="120"/>
      <c r="C11" s="120"/>
      <c r="D11" s="121">
        <v>0</v>
      </c>
      <c r="E11" s="120"/>
      <c r="F11" s="120"/>
      <c r="G11" s="121">
        <v>0</v>
      </c>
      <c r="H11" s="120"/>
      <c r="I11" s="120"/>
      <c r="J11" s="121">
        <v>0</v>
      </c>
      <c r="K11" s="120"/>
      <c r="L11" s="120"/>
      <c r="M11" s="122">
        <f t="shared" si="0"/>
        <v>0</v>
      </c>
      <c r="N11" s="51" t="s">
        <v>10</v>
      </c>
    </row>
    <row r="12" spans="1:21" ht="15" x14ac:dyDescent="0.25">
      <c r="A12" s="100" t="s">
        <v>111</v>
      </c>
      <c r="B12" s="25"/>
      <c r="C12" s="25"/>
      <c r="D12" s="123">
        <f>SUM(D10:D11)</f>
        <v>170115</v>
      </c>
      <c r="E12" s="25"/>
      <c r="F12" s="25"/>
      <c r="G12" s="123">
        <f>SUM(G10:G11)</f>
        <v>187332</v>
      </c>
      <c r="H12" s="25"/>
      <c r="I12" s="25"/>
      <c r="J12" s="123">
        <f>SUM(J10:J11)</f>
        <v>3300</v>
      </c>
      <c r="K12" s="25"/>
      <c r="L12" s="25"/>
      <c r="M12" s="124">
        <f t="shared" si="0"/>
        <v>190632</v>
      </c>
      <c r="N12" s="51" t="s">
        <v>10</v>
      </c>
    </row>
    <row r="13" spans="1:21" x14ac:dyDescent="0.2">
      <c r="A13" s="92" t="s">
        <v>13</v>
      </c>
      <c r="B13" s="125"/>
      <c r="C13" s="125">
        <v>0</v>
      </c>
      <c r="D13" s="125"/>
      <c r="E13" s="125"/>
      <c r="F13" s="125">
        <v>0</v>
      </c>
      <c r="G13" s="125"/>
      <c r="H13" s="125"/>
      <c r="I13" s="125">
        <v>0</v>
      </c>
      <c r="J13" s="125"/>
      <c r="K13" s="125"/>
      <c r="L13" s="125">
        <f t="shared" ref="L13:L14" si="2">F13+I13</f>
        <v>0</v>
      </c>
      <c r="M13" s="126"/>
      <c r="N13" s="51" t="s">
        <v>10</v>
      </c>
    </row>
    <row r="14" spans="1:21" x14ac:dyDescent="0.2">
      <c r="A14" s="93" t="s">
        <v>99</v>
      </c>
      <c r="B14" s="24"/>
      <c r="C14" s="24">
        <f>C10+C13</f>
        <v>609</v>
      </c>
      <c r="D14" s="24"/>
      <c r="E14" s="24"/>
      <c r="F14" s="24">
        <f>F10+F13</f>
        <v>609</v>
      </c>
      <c r="G14" s="24"/>
      <c r="H14" s="24"/>
      <c r="I14" s="24">
        <f>I10+I13</f>
        <v>51</v>
      </c>
      <c r="J14" s="24"/>
      <c r="K14" s="24"/>
      <c r="L14" s="24">
        <f t="shared" si="2"/>
        <v>660</v>
      </c>
      <c r="M14" s="117"/>
      <c r="N14" s="51" t="s">
        <v>10</v>
      </c>
    </row>
    <row r="15" spans="1:21" x14ac:dyDescent="0.2">
      <c r="A15" s="15"/>
      <c r="B15" s="24"/>
      <c r="C15" s="24"/>
      <c r="D15" s="24"/>
      <c r="E15" s="24"/>
      <c r="F15" s="24"/>
      <c r="G15" s="24"/>
      <c r="H15" s="24"/>
      <c r="I15" s="24"/>
      <c r="J15" s="24"/>
      <c r="K15" s="24"/>
      <c r="L15" s="24"/>
      <c r="M15" s="117"/>
      <c r="N15" s="51" t="s">
        <v>10</v>
      </c>
    </row>
    <row r="16" spans="1:21" x14ac:dyDescent="0.2">
      <c r="A16" s="15" t="s">
        <v>14</v>
      </c>
      <c r="B16" s="24"/>
      <c r="C16" s="24"/>
      <c r="D16" s="24"/>
      <c r="E16" s="24"/>
      <c r="F16" s="24"/>
      <c r="G16" s="24"/>
      <c r="H16" s="24"/>
      <c r="I16" s="24"/>
      <c r="J16" s="24"/>
      <c r="K16" s="24"/>
      <c r="L16" s="24"/>
      <c r="M16" s="117"/>
      <c r="N16" s="51" t="s">
        <v>10</v>
      </c>
    </row>
    <row r="17" spans="1:14" x14ac:dyDescent="0.2">
      <c r="A17" s="16" t="s">
        <v>15</v>
      </c>
      <c r="B17" s="24"/>
      <c r="C17" s="24">
        <v>0</v>
      </c>
      <c r="D17" s="24"/>
      <c r="E17" s="24"/>
      <c r="F17" s="24">
        <v>0</v>
      </c>
      <c r="G17" s="24"/>
      <c r="H17" s="24"/>
      <c r="I17" s="24">
        <v>0</v>
      </c>
      <c r="J17" s="24"/>
      <c r="K17" s="24"/>
      <c r="L17" s="24">
        <f t="shared" ref="L17:L19" si="3">F17+I17</f>
        <v>0</v>
      </c>
      <c r="M17" s="117"/>
      <c r="N17" s="51" t="s">
        <v>10</v>
      </c>
    </row>
    <row r="18" spans="1:14" x14ac:dyDescent="0.2">
      <c r="A18" s="17" t="s">
        <v>16</v>
      </c>
      <c r="B18" s="127"/>
      <c r="C18" s="127">
        <v>0</v>
      </c>
      <c r="D18" s="127"/>
      <c r="E18" s="127"/>
      <c r="F18" s="127">
        <v>0</v>
      </c>
      <c r="G18" s="127"/>
      <c r="H18" s="127"/>
      <c r="I18" s="127">
        <v>0</v>
      </c>
      <c r="J18" s="127"/>
      <c r="K18" s="127"/>
      <c r="L18" s="127">
        <f t="shared" si="3"/>
        <v>0</v>
      </c>
      <c r="M18" s="128"/>
      <c r="N18" s="51" t="s">
        <v>10</v>
      </c>
    </row>
    <row r="19" spans="1:14" ht="15" thickBot="1" x14ac:dyDescent="0.25">
      <c r="A19" s="94" t="s">
        <v>100</v>
      </c>
      <c r="B19" s="129"/>
      <c r="C19" s="129">
        <f>C14+C17+C18</f>
        <v>609</v>
      </c>
      <c r="D19" s="129"/>
      <c r="E19" s="129"/>
      <c r="F19" s="129">
        <f>F14+F17+F18</f>
        <v>609</v>
      </c>
      <c r="G19" s="129"/>
      <c r="H19" s="129"/>
      <c r="I19" s="129">
        <f>I14+I17+I18</f>
        <v>51</v>
      </c>
      <c r="J19" s="129"/>
      <c r="K19" s="129"/>
      <c r="L19" s="129">
        <f t="shared" si="3"/>
        <v>660</v>
      </c>
      <c r="M19" s="130"/>
      <c r="N19" s="51" t="s">
        <v>10</v>
      </c>
    </row>
    <row r="20" spans="1:14" ht="15" thickBot="1" x14ac:dyDescent="0.25">
      <c r="N20" s="51" t="s">
        <v>10</v>
      </c>
    </row>
    <row r="21" spans="1:14" ht="15" x14ac:dyDescent="0.2">
      <c r="A21" s="585" t="s">
        <v>101</v>
      </c>
      <c r="B21" s="588" t="s">
        <v>128</v>
      </c>
      <c r="C21" s="588"/>
      <c r="D21" s="588"/>
      <c r="E21" s="588" t="s">
        <v>129</v>
      </c>
      <c r="F21" s="588"/>
      <c r="G21" s="588"/>
      <c r="H21" s="588" t="s">
        <v>130</v>
      </c>
      <c r="I21" s="588"/>
      <c r="J21" s="589"/>
      <c r="N21" s="51" t="s">
        <v>10</v>
      </c>
    </row>
    <row r="22" spans="1:14" ht="28.5" x14ac:dyDescent="0.2">
      <c r="A22" s="586"/>
      <c r="B22" s="11" t="s">
        <v>2</v>
      </c>
      <c r="C22" s="11" t="s">
        <v>110</v>
      </c>
      <c r="D22" s="11" t="s">
        <v>3</v>
      </c>
      <c r="E22" s="11" t="s">
        <v>2</v>
      </c>
      <c r="F22" s="11" t="s">
        <v>110</v>
      </c>
      <c r="G22" s="11" t="s">
        <v>3</v>
      </c>
      <c r="H22" s="11" t="s">
        <v>2</v>
      </c>
      <c r="I22" s="11" t="s">
        <v>110</v>
      </c>
      <c r="J22" s="12" t="s">
        <v>3</v>
      </c>
      <c r="N22" s="51" t="s">
        <v>10</v>
      </c>
    </row>
    <row r="23" spans="1:14" x14ac:dyDescent="0.2">
      <c r="A23" s="14" t="str">
        <f>A9</f>
        <v>Management and Administration</v>
      </c>
      <c r="B23" s="115">
        <v>15</v>
      </c>
      <c r="C23" s="115">
        <v>8</v>
      </c>
      <c r="D23" s="115">
        <v>1275</v>
      </c>
      <c r="E23" s="115">
        <v>0</v>
      </c>
      <c r="F23" s="115">
        <v>0</v>
      </c>
      <c r="G23" s="115">
        <v>0</v>
      </c>
      <c r="H23" s="115">
        <f>K9+B23+E23</f>
        <v>717</v>
      </c>
      <c r="I23" s="115">
        <f>L9+C23+F23</f>
        <v>668</v>
      </c>
      <c r="J23" s="116">
        <f>M9+D23+G23</f>
        <v>191907</v>
      </c>
      <c r="N23" s="51" t="s">
        <v>10</v>
      </c>
    </row>
    <row r="24" spans="1:14" ht="15" x14ac:dyDescent="0.25">
      <c r="A24" s="13" t="s">
        <v>98</v>
      </c>
      <c r="B24" s="118">
        <f t="shared" ref="B24:J24" si="4">SUM(B23:B23)</f>
        <v>15</v>
      </c>
      <c r="C24" s="118">
        <f t="shared" si="4"/>
        <v>8</v>
      </c>
      <c r="D24" s="118">
        <f t="shared" si="4"/>
        <v>1275</v>
      </c>
      <c r="E24" s="118">
        <f t="shared" si="4"/>
        <v>0</v>
      </c>
      <c r="F24" s="118">
        <f t="shared" si="4"/>
        <v>0</v>
      </c>
      <c r="G24" s="118">
        <f t="shared" si="4"/>
        <v>0</v>
      </c>
      <c r="H24" s="118">
        <f t="shared" si="4"/>
        <v>717</v>
      </c>
      <c r="I24" s="118">
        <f t="shared" si="4"/>
        <v>668</v>
      </c>
      <c r="J24" s="119">
        <f t="shared" si="4"/>
        <v>191907</v>
      </c>
      <c r="N24" s="51" t="s">
        <v>10</v>
      </c>
    </row>
    <row r="25" spans="1:14" ht="15" x14ac:dyDescent="0.25">
      <c r="A25" s="86" t="s">
        <v>97</v>
      </c>
      <c r="B25" s="120"/>
      <c r="C25" s="120"/>
      <c r="D25" s="121">
        <v>0</v>
      </c>
      <c r="E25" s="120"/>
      <c r="F25" s="120"/>
      <c r="G25" s="121">
        <v>0</v>
      </c>
      <c r="H25" s="120"/>
      <c r="I25" s="120"/>
      <c r="J25" s="122">
        <f>M11+D25+G25</f>
        <v>0</v>
      </c>
      <c r="N25" s="51" t="s">
        <v>10</v>
      </c>
    </row>
    <row r="26" spans="1:14" ht="15" x14ac:dyDescent="0.25">
      <c r="A26" s="100" t="s">
        <v>111</v>
      </c>
      <c r="B26" s="25"/>
      <c r="C26" s="25"/>
      <c r="D26" s="123">
        <f>SUM(D24:D25)</f>
        <v>1275</v>
      </c>
      <c r="E26" s="25"/>
      <c r="F26" s="25"/>
      <c r="G26" s="123">
        <f>SUM(G24:G25)</f>
        <v>0</v>
      </c>
      <c r="H26" s="25"/>
      <c r="I26" s="25"/>
      <c r="J26" s="124">
        <f>M12+D26+G26</f>
        <v>191907</v>
      </c>
      <c r="N26" s="51" t="s">
        <v>10</v>
      </c>
    </row>
    <row r="27" spans="1:14" x14ac:dyDescent="0.2">
      <c r="A27" s="85" t="s">
        <v>13</v>
      </c>
      <c r="B27" s="125"/>
      <c r="C27" s="125">
        <v>0</v>
      </c>
      <c r="D27" s="125"/>
      <c r="E27" s="125"/>
      <c r="F27" s="125">
        <v>0</v>
      </c>
      <c r="G27" s="125"/>
      <c r="H27" s="125"/>
      <c r="I27" s="125">
        <f t="shared" ref="I27:I33" si="5">L13+C27+F27</f>
        <v>0</v>
      </c>
      <c r="J27" s="126"/>
      <c r="N27" s="51" t="s">
        <v>10</v>
      </c>
    </row>
    <row r="28" spans="1:14" x14ac:dyDescent="0.2">
      <c r="A28" s="15" t="s">
        <v>99</v>
      </c>
      <c r="B28" s="24"/>
      <c r="C28" s="24">
        <f>C24+C27</f>
        <v>8</v>
      </c>
      <c r="D28" s="24"/>
      <c r="E28" s="24"/>
      <c r="F28" s="24">
        <f>F24+F27</f>
        <v>0</v>
      </c>
      <c r="G28" s="24"/>
      <c r="H28" s="24"/>
      <c r="I28" s="24">
        <f t="shared" si="5"/>
        <v>668</v>
      </c>
      <c r="J28" s="117"/>
      <c r="N28" s="51" t="s">
        <v>10</v>
      </c>
    </row>
    <row r="29" spans="1:14" x14ac:dyDescent="0.2">
      <c r="A29" s="15"/>
      <c r="B29" s="24"/>
      <c r="C29" s="24"/>
      <c r="D29" s="24"/>
      <c r="E29" s="24"/>
      <c r="F29" s="24"/>
      <c r="G29" s="24"/>
      <c r="H29" s="24"/>
      <c r="I29" s="24">
        <f t="shared" si="5"/>
        <v>0</v>
      </c>
      <c r="J29" s="117"/>
      <c r="N29" s="51" t="s">
        <v>10</v>
      </c>
    </row>
    <row r="30" spans="1:14" x14ac:dyDescent="0.2">
      <c r="A30" s="15" t="s">
        <v>14</v>
      </c>
      <c r="B30" s="24"/>
      <c r="C30" s="24"/>
      <c r="D30" s="24"/>
      <c r="E30" s="24"/>
      <c r="F30" s="24"/>
      <c r="G30" s="24"/>
      <c r="H30" s="24"/>
      <c r="I30" s="24">
        <f t="shared" si="5"/>
        <v>0</v>
      </c>
      <c r="J30" s="117"/>
      <c r="N30" s="51" t="s">
        <v>10</v>
      </c>
    </row>
    <row r="31" spans="1:14" x14ac:dyDescent="0.2">
      <c r="A31" s="16" t="s">
        <v>15</v>
      </c>
      <c r="B31" s="24"/>
      <c r="C31" s="24">
        <v>0</v>
      </c>
      <c r="D31" s="24"/>
      <c r="E31" s="24"/>
      <c r="F31" s="24">
        <v>0</v>
      </c>
      <c r="G31" s="24"/>
      <c r="H31" s="24"/>
      <c r="I31" s="24">
        <f t="shared" si="5"/>
        <v>0</v>
      </c>
      <c r="J31" s="117"/>
      <c r="N31" s="51" t="s">
        <v>10</v>
      </c>
    </row>
    <row r="32" spans="1:14" x14ac:dyDescent="0.2">
      <c r="A32" s="17" t="s">
        <v>16</v>
      </c>
      <c r="B32" s="127"/>
      <c r="C32" s="127">
        <v>0</v>
      </c>
      <c r="D32" s="127"/>
      <c r="E32" s="127"/>
      <c r="F32" s="127">
        <v>0</v>
      </c>
      <c r="G32" s="127"/>
      <c r="H32" s="127"/>
      <c r="I32" s="127">
        <f t="shared" si="5"/>
        <v>0</v>
      </c>
      <c r="J32" s="128"/>
      <c r="N32" s="51" t="s">
        <v>10</v>
      </c>
    </row>
    <row r="33" spans="1:14" ht="15" thickBot="1" x14ac:dyDescent="0.25">
      <c r="A33" s="18" t="s">
        <v>100</v>
      </c>
      <c r="B33" s="129"/>
      <c r="C33" s="129">
        <f>C28+C31+C32</f>
        <v>8</v>
      </c>
      <c r="D33" s="129"/>
      <c r="E33" s="129"/>
      <c r="F33" s="129">
        <f>F28+F31+F32</f>
        <v>0</v>
      </c>
      <c r="G33" s="129"/>
      <c r="H33" s="129"/>
      <c r="I33" s="129">
        <f t="shared" si="5"/>
        <v>668</v>
      </c>
      <c r="J33" s="130"/>
      <c r="N33" s="51" t="s">
        <v>10</v>
      </c>
    </row>
    <row r="34" spans="1:14" x14ac:dyDescent="0.2">
      <c r="N34" s="4" t="s">
        <v>11</v>
      </c>
    </row>
    <row r="35" spans="1:14" x14ac:dyDescent="0.2">
      <c r="A35" s="30"/>
    </row>
    <row r="36" spans="1:14" x14ac:dyDescent="0.2">
      <c r="A36" s="160"/>
    </row>
  </sheetData>
  <customSheetViews>
    <customSheetView guid="{EE916FE7-61FB-4021-ADDD-E082241FC03C}" scale="80" showPageBreaks="1" printArea="1" view="pageBreakPreview">
      <selection activeCell="J45" sqref="J45"/>
      <pageMargins left="0.7" right="0.7" top="0.75" bottom="0.75" header="0.3" footer="0.3"/>
      <printOptions horizontalCentered="1"/>
      <pageSetup scale="78" orientation="landscape" r:id="rId1"/>
      <headerFooter>
        <oddHeader>&amp;L&amp;"Arial,Bold"&amp;12B. Summary of Requirements</oddHeader>
        <oddFooter>&amp;C&amp;"Arial,Regular"Exhibit B - Summary of Requirements&amp;R&amp;"Arial,Regular"Management and Administration</oddFooter>
      </headerFooter>
    </customSheetView>
    <customSheetView guid="{0BB5DC4B-BC2A-4489-BE17-5E267FA1EF63}" scale="80" showPageBreaks="1" printArea="1" view="pageBreakPreview">
      <selection activeCell="J45" sqref="J45"/>
      <pageMargins left="0.7" right="0.7" top="0.75" bottom="0.75" header="0.3" footer="0.3"/>
      <printOptions horizontalCentered="1"/>
      <pageSetup scale="78" orientation="landscape" r:id="rId2"/>
      <headerFooter>
        <oddHeader>&amp;L&amp;"Arial,Bold"&amp;12B. Summary of Requirements</oddHeader>
        <oddFooter>&amp;C&amp;"Arial,Regular"Exhibit B - Summary of Requirements&amp;R&amp;"Arial,Regular"Management and Administration</oddFooter>
      </headerFooter>
    </customSheetView>
    <customSheetView guid="{6C58FFE1-D756-42C4-A1BC-AA7F1DC1E56F}" scale="80" showPageBreaks="1" printArea="1" view="pageBreakPreview">
      <selection activeCell="J45" sqref="J45"/>
      <pageMargins left="0.7" right="0.7" top="0.75" bottom="0.75" header="0.3" footer="0.3"/>
      <printOptions horizontalCentered="1"/>
      <pageSetup scale="78" orientation="landscape" r:id="rId3"/>
      <headerFooter>
        <oddHeader>&amp;L&amp;"Arial,Bold"&amp;12B. Summary of Requirements</oddHeader>
        <oddFooter>&amp;C&amp;"Arial,Regular"Exhibit B - Summary of Requirements&amp;R&amp;"Arial,Regular"Management and Administration</oddFooter>
      </headerFooter>
    </customSheetView>
    <customSheetView guid="{CFA5D1C9-F4C9-4B8D-923D-4C71CB6E7D3B}" scale="80" showPageBreaks="1" printArea="1" view="pageBreakPreview">
      <selection activeCell="J45" sqref="J45"/>
      <pageMargins left="0.7" right="0.7" top="0.75" bottom="0.75" header="0.3" footer="0.3"/>
      <printOptions horizontalCentered="1"/>
      <pageSetup scale="78" orientation="landscape" r:id="rId4"/>
      <headerFooter>
        <oddHeader>&amp;L&amp;"Arial,Bold"&amp;12B. Summary of Requirements</oddHeader>
        <oddFooter>&amp;C&amp;"Arial,Regular"Exhibit B - Summary of Requirements&amp;R&amp;"Arial,Regular"Management and Administration</oddFooter>
      </headerFooter>
    </customSheetView>
    <customSheetView guid="{A788DF77-74F1-49E4-8B34-BFBDB7664F30}" scale="80" showPageBreaks="1" printArea="1" view="pageBreakPreview">
      <selection activeCell="J45" sqref="J45"/>
      <pageMargins left="0.7" right="0.7" top="0.75" bottom="0.75" header="0.3" footer="0.3"/>
      <printOptions horizontalCentered="1"/>
      <pageSetup scale="78" orientation="landscape" r:id="rId5"/>
      <headerFooter>
        <oddHeader>&amp;L&amp;"Arial,Bold"&amp;12B. Summary of Requirements</oddHeader>
        <oddFooter>&amp;C&amp;"Arial,Regular"Exhibit B - Summary of Requirements&amp;R&amp;"Arial,Regular"Management and Administration</oddFooter>
      </headerFooter>
    </customSheetView>
  </customSheetViews>
  <mergeCells count="15">
    <mergeCell ref="A5:M5"/>
    <mergeCell ref="A6:M6"/>
    <mergeCell ref="A21:A22"/>
    <mergeCell ref="A1:M1"/>
    <mergeCell ref="A2:M2"/>
    <mergeCell ref="A3:M3"/>
    <mergeCell ref="A4:M4"/>
    <mergeCell ref="A7:A8"/>
    <mergeCell ref="B7:D7"/>
    <mergeCell ref="E7:G7"/>
    <mergeCell ref="H7:J7"/>
    <mergeCell ref="K7:M7"/>
    <mergeCell ref="B21:D21"/>
    <mergeCell ref="E21:G21"/>
    <mergeCell ref="H21:J21"/>
  </mergeCells>
  <printOptions horizontalCentered="1"/>
  <pageMargins left="0.7" right="0.7" top="0.75" bottom="0.75" header="0.3" footer="0.3"/>
  <pageSetup scale="78" orientation="landscape" r:id="rId6"/>
  <headerFooter>
    <oddHeader>&amp;L&amp;"Arial,Bold"&amp;12B. Summary of Requirements</oddHeader>
    <oddFooter>&amp;C&amp;"Arial,Regular"Exhibit B - Summary of Requirements&amp;R&amp;"Arial,Regular"Management and Administration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6"/>
  <sheetViews>
    <sheetView view="pageBreakPreview" topLeftCell="A76" zoomScale="80" zoomScaleNormal="100" zoomScaleSheetLayoutView="80" workbookViewId="0">
      <selection activeCell="A9" sqref="A9"/>
    </sheetView>
  </sheetViews>
  <sheetFormatPr defaultRowHeight="14.25" x14ac:dyDescent="0.2"/>
  <cols>
    <col min="1" max="1" width="85.7109375" style="143" customWidth="1"/>
    <col min="2" max="3" width="8.28515625" style="143" customWidth="1"/>
    <col min="4" max="4" width="14.28515625" style="143" customWidth="1"/>
    <col min="5" max="6" width="8.28515625" style="143" customWidth="1"/>
    <col min="7" max="7" width="15.140625" style="143" customWidth="1"/>
    <col min="8" max="9" width="8.28515625" style="143" customWidth="1"/>
    <col min="10" max="10" width="16" style="143" customWidth="1"/>
    <col min="11" max="11" width="8.28515625" style="143" customWidth="1"/>
    <col min="12" max="12" width="13" style="143" customWidth="1"/>
    <col min="13" max="13" width="15" style="143" customWidth="1"/>
    <col min="14" max="14" width="14" style="4" bestFit="1" customWidth="1"/>
    <col min="15" max="15" width="4.5703125" style="143" customWidth="1"/>
    <col min="16" max="17" width="8.28515625" style="143" customWidth="1"/>
    <col min="18" max="18" width="12.7109375" style="143" customWidth="1"/>
    <col min="19" max="20" width="8.28515625" style="143" customWidth="1"/>
    <col min="21" max="21" width="12.7109375" style="143" customWidth="1"/>
    <col min="22" max="16384" width="9.140625" style="143"/>
  </cols>
  <sheetData>
    <row r="1" spans="1:21" ht="18" x14ac:dyDescent="0.25">
      <c r="A1" s="577" t="s">
        <v>0</v>
      </c>
      <c r="B1" s="577"/>
      <c r="C1" s="577"/>
      <c r="D1" s="577"/>
      <c r="E1" s="577"/>
      <c r="F1" s="577"/>
      <c r="G1" s="577"/>
      <c r="H1" s="577"/>
      <c r="I1" s="577"/>
      <c r="J1" s="577"/>
      <c r="K1" s="577"/>
      <c r="L1" s="577"/>
      <c r="M1" s="577"/>
      <c r="N1" s="51" t="s">
        <v>10</v>
      </c>
      <c r="O1" s="6"/>
      <c r="P1" s="6"/>
      <c r="Q1" s="6"/>
      <c r="R1" s="6"/>
      <c r="S1" s="6"/>
      <c r="T1" s="6"/>
      <c r="U1" s="6"/>
    </row>
    <row r="2" spans="1:21" ht="15" x14ac:dyDescent="0.2">
      <c r="A2" s="578" t="s">
        <v>152</v>
      </c>
      <c r="B2" s="578"/>
      <c r="C2" s="578"/>
      <c r="D2" s="578"/>
      <c r="E2" s="578"/>
      <c r="F2" s="578"/>
      <c r="G2" s="578"/>
      <c r="H2" s="578"/>
      <c r="I2" s="578"/>
      <c r="J2" s="578"/>
      <c r="K2" s="578"/>
      <c r="L2" s="578"/>
      <c r="M2" s="578"/>
      <c r="N2" s="51" t="s">
        <v>10</v>
      </c>
      <c r="O2" s="7"/>
      <c r="P2" s="7"/>
      <c r="Q2" s="7"/>
      <c r="R2" s="7"/>
      <c r="S2" s="7"/>
      <c r="T2" s="7"/>
      <c r="U2" s="7"/>
    </row>
    <row r="3" spans="1:21" x14ac:dyDescent="0.2">
      <c r="A3" s="579" t="s">
        <v>282</v>
      </c>
      <c r="B3" s="579"/>
      <c r="C3" s="579"/>
      <c r="D3" s="579"/>
      <c r="E3" s="579"/>
      <c r="F3" s="579"/>
      <c r="G3" s="579"/>
      <c r="H3" s="579"/>
      <c r="I3" s="579"/>
      <c r="J3" s="579"/>
      <c r="K3" s="579"/>
      <c r="L3" s="579"/>
      <c r="M3" s="579"/>
      <c r="N3" s="51" t="s">
        <v>10</v>
      </c>
      <c r="O3" s="163"/>
      <c r="P3" s="163"/>
      <c r="Q3" s="163"/>
      <c r="R3" s="163"/>
      <c r="S3" s="163"/>
      <c r="T3" s="163"/>
      <c r="U3" s="163"/>
    </row>
    <row r="4" spans="1:21" x14ac:dyDescent="0.2">
      <c r="A4" s="608" t="s">
        <v>1</v>
      </c>
      <c r="B4" s="608"/>
      <c r="C4" s="608"/>
      <c r="D4" s="608"/>
      <c r="E4" s="608"/>
      <c r="F4" s="608"/>
      <c r="G4" s="608"/>
      <c r="H4" s="608"/>
      <c r="I4" s="608"/>
      <c r="J4" s="608"/>
      <c r="K4" s="608"/>
      <c r="L4" s="608"/>
      <c r="M4" s="608"/>
      <c r="N4" s="51" t="s">
        <v>10</v>
      </c>
      <c r="O4" s="162"/>
      <c r="P4" s="162"/>
      <c r="Q4" s="162"/>
      <c r="R4" s="162"/>
      <c r="S4" s="162"/>
      <c r="T4" s="162"/>
      <c r="U4" s="162"/>
    </row>
    <row r="5" spans="1:21" x14ac:dyDescent="0.2">
      <c r="A5" s="608"/>
      <c r="B5" s="608"/>
      <c r="C5" s="608"/>
      <c r="D5" s="608"/>
      <c r="E5" s="608"/>
      <c r="F5" s="608"/>
      <c r="G5" s="608"/>
      <c r="H5" s="608"/>
      <c r="I5" s="608"/>
      <c r="J5" s="608"/>
      <c r="K5" s="608"/>
      <c r="L5" s="608"/>
      <c r="M5" s="608"/>
      <c r="N5" s="51" t="s">
        <v>10</v>
      </c>
      <c r="O5" s="162"/>
      <c r="P5" s="162"/>
      <c r="Q5" s="162"/>
      <c r="R5" s="162"/>
      <c r="S5" s="162"/>
      <c r="T5" s="162"/>
      <c r="U5" s="162"/>
    </row>
    <row r="6" spans="1:21" ht="15" thickBot="1" x14ac:dyDescent="0.25">
      <c r="A6" s="608"/>
      <c r="B6" s="608"/>
      <c r="C6" s="608"/>
      <c r="D6" s="608"/>
      <c r="E6" s="608"/>
      <c r="F6" s="608"/>
      <c r="G6" s="608"/>
      <c r="H6" s="608"/>
      <c r="I6" s="608"/>
      <c r="J6" s="608"/>
      <c r="K6" s="608"/>
      <c r="L6" s="608"/>
      <c r="M6" s="608"/>
      <c r="N6" s="51" t="s">
        <v>10</v>
      </c>
      <c r="O6" s="162"/>
      <c r="P6" s="162"/>
      <c r="Q6" s="162"/>
      <c r="R6" s="162"/>
      <c r="S6" s="162"/>
      <c r="T6" s="162"/>
      <c r="U6" s="162"/>
    </row>
    <row r="7" spans="1:21" ht="45.75" customHeight="1" x14ac:dyDescent="0.2">
      <c r="A7" s="585" t="s">
        <v>101</v>
      </c>
      <c r="B7" s="588" t="s">
        <v>126</v>
      </c>
      <c r="C7" s="588"/>
      <c r="D7" s="588"/>
      <c r="E7" s="588" t="s">
        <v>148</v>
      </c>
      <c r="F7" s="588"/>
      <c r="G7" s="588"/>
      <c r="H7" s="588" t="s">
        <v>127</v>
      </c>
      <c r="I7" s="588"/>
      <c r="J7" s="588"/>
      <c r="K7" s="588" t="s">
        <v>123</v>
      </c>
      <c r="L7" s="588"/>
      <c r="M7" s="589"/>
      <c r="N7" s="51" t="s">
        <v>10</v>
      </c>
    </row>
    <row r="8" spans="1:21" ht="28.5" x14ac:dyDescent="0.2">
      <c r="A8" s="586"/>
      <c r="B8" s="235" t="s">
        <v>2</v>
      </c>
      <c r="C8" s="235" t="s">
        <v>95</v>
      </c>
      <c r="D8" s="235" t="s">
        <v>3</v>
      </c>
      <c r="E8" s="235" t="s">
        <v>2</v>
      </c>
      <c r="F8" s="235" t="s">
        <v>110</v>
      </c>
      <c r="G8" s="235" t="s">
        <v>3</v>
      </c>
      <c r="H8" s="235" t="s">
        <v>2</v>
      </c>
      <c r="I8" s="235" t="s">
        <v>110</v>
      </c>
      <c r="J8" s="235" t="s">
        <v>3</v>
      </c>
      <c r="K8" s="235" t="s">
        <v>2</v>
      </c>
      <c r="L8" s="235" t="s">
        <v>110</v>
      </c>
      <c r="M8" s="234" t="s">
        <v>3</v>
      </c>
      <c r="N8" s="51" t="s">
        <v>10</v>
      </c>
    </row>
    <row r="9" spans="1:21" x14ac:dyDescent="0.2">
      <c r="A9" s="173" t="s">
        <v>315</v>
      </c>
      <c r="B9" s="217">
        <v>0</v>
      </c>
      <c r="C9" s="217">
        <v>0</v>
      </c>
      <c r="D9" s="216">
        <v>18597.88874922528</v>
      </c>
      <c r="E9" s="217">
        <v>0</v>
      </c>
      <c r="F9" s="217">
        <v>0</v>
      </c>
      <c r="G9" s="216">
        <v>20000</v>
      </c>
      <c r="H9" s="217">
        <v>0</v>
      </c>
      <c r="I9" s="217">
        <v>0</v>
      </c>
      <c r="J9" s="216">
        <v>0</v>
      </c>
      <c r="K9" s="217">
        <f>E9+H9</f>
        <v>0</v>
      </c>
      <c r="L9" s="217">
        <f>F9+I9</f>
        <v>0</v>
      </c>
      <c r="M9" s="215">
        <f>G9+J9</f>
        <v>20000</v>
      </c>
      <c r="N9" s="51" t="s">
        <v>10</v>
      </c>
    </row>
    <row r="10" spans="1:21" x14ac:dyDescent="0.2">
      <c r="A10" s="210" t="s">
        <v>314</v>
      </c>
      <c r="B10" s="209">
        <v>0</v>
      </c>
      <c r="C10" s="209">
        <v>0</v>
      </c>
      <c r="D10" s="296">
        <v>4649.4721873063199</v>
      </c>
      <c r="E10" s="209">
        <v>0</v>
      </c>
      <c r="F10" s="209">
        <v>0</v>
      </c>
      <c r="G10" s="296">
        <v>0</v>
      </c>
      <c r="H10" s="209">
        <v>0</v>
      </c>
      <c r="I10" s="209">
        <v>0</v>
      </c>
      <c r="J10" s="296">
        <v>0</v>
      </c>
      <c r="K10" s="209">
        <v>0</v>
      </c>
      <c r="L10" s="209">
        <v>0</v>
      </c>
      <c r="M10" s="329">
        <f t="shared" ref="M10:M39" si="0">G10+J10</f>
        <v>0</v>
      </c>
      <c r="N10" s="51" t="s">
        <v>10</v>
      </c>
    </row>
    <row r="11" spans="1:21" x14ac:dyDescent="0.2">
      <c r="A11" s="210" t="s">
        <v>311</v>
      </c>
      <c r="B11" s="209">
        <v>0</v>
      </c>
      <c r="C11" s="209">
        <v>0</v>
      </c>
      <c r="D11" s="296">
        <v>19992.730405417176</v>
      </c>
      <c r="E11" s="209">
        <v>0</v>
      </c>
      <c r="F11" s="209">
        <v>0</v>
      </c>
      <c r="G11" s="296">
        <v>22500</v>
      </c>
      <c r="H11" s="209">
        <v>0</v>
      </c>
      <c r="I11" s="209">
        <v>0</v>
      </c>
      <c r="J11" s="296">
        <v>0</v>
      </c>
      <c r="K11" s="209">
        <v>0</v>
      </c>
      <c r="L11" s="209">
        <v>0</v>
      </c>
      <c r="M11" s="329">
        <f t="shared" si="0"/>
        <v>22500</v>
      </c>
      <c r="N11" s="51" t="s">
        <v>10</v>
      </c>
    </row>
    <row r="12" spans="1:21" x14ac:dyDescent="0.2">
      <c r="A12" s="330" t="s">
        <v>313</v>
      </c>
      <c r="B12" s="209">
        <v>0</v>
      </c>
      <c r="C12" s="209">
        <v>0</v>
      </c>
      <c r="D12" s="436" t="s">
        <v>479</v>
      </c>
      <c r="E12" s="209">
        <v>0</v>
      </c>
      <c r="F12" s="209">
        <v>0</v>
      </c>
      <c r="G12" s="436" t="s">
        <v>503</v>
      </c>
      <c r="H12" s="209">
        <v>0</v>
      </c>
      <c r="I12" s="209">
        <v>0</v>
      </c>
      <c r="J12" s="296">
        <v>0</v>
      </c>
      <c r="K12" s="209">
        <v>0</v>
      </c>
      <c r="L12" s="209">
        <v>0</v>
      </c>
      <c r="M12" s="437" t="s">
        <v>503</v>
      </c>
      <c r="N12" s="51" t="s">
        <v>10</v>
      </c>
    </row>
    <row r="13" spans="1:21" x14ac:dyDescent="0.2">
      <c r="A13" s="210" t="s">
        <v>279</v>
      </c>
      <c r="B13" s="209">
        <v>0</v>
      </c>
      <c r="C13" s="209">
        <v>0</v>
      </c>
      <c r="D13" s="296">
        <v>17667.994311764014</v>
      </c>
      <c r="E13" s="209">
        <v>0</v>
      </c>
      <c r="F13" s="209">
        <v>0</v>
      </c>
      <c r="G13" s="296">
        <v>13500</v>
      </c>
      <c r="H13" s="209">
        <v>0</v>
      </c>
      <c r="I13" s="209">
        <v>0</v>
      </c>
      <c r="J13" s="296">
        <v>0</v>
      </c>
      <c r="K13" s="209">
        <v>0</v>
      </c>
      <c r="L13" s="209">
        <v>0</v>
      </c>
      <c r="M13" s="329">
        <f t="shared" si="0"/>
        <v>13500</v>
      </c>
      <c r="N13" s="51" t="s">
        <v>10</v>
      </c>
    </row>
    <row r="14" spans="1:21" x14ac:dyDescent="0.2">
      <c r="A14" s="210" t="s">
        <v>278</v>
      </c>
      <c r="B14" s="209">
        <v>0</v>
      </c>
      <c r="C14" s="209">
        <v>0</v>
      </c>
      <c r="D14" s="296">
        <v>16738.099874302752</v>
      </c>
      <c r="E14" s="209">
        <v>0</v>
      </c>
      <c r="F14" s="209">
        <v>0</v>
      </c>
      <c r="G14" s="296">
        <v>10500</v>
      </c>
      <c r="H14" s="209">
        <v>0</v>
      </c>
      <c r="I14" s="209">
        <v>0</v>
      </c>
      <c r="J14" s="296">
        <v>0</v>
      </c>
      <c r="K14" s="209">
        <v>0</v>
      </c>
      <c r="L14" s="209">
        <v>0</v>
      </c>
      <c r="M14" s="329">
        <f t="shared" si="0"/>
        <v>10500</v>
      </c>
      <c r="N14" s="51" t="s">
        <v>10</v>
      </c>
    </row>
    <row r="15" spans="1:21" x14ac:dyDescent="0.2">
      <c r="A15" s="210" t="s">
        <v>312</v>
      </c>
      <c r="B15" s="209">
        <v>0</v>
      </c>
      <c r="C15" s="209">
        <v>0</v>
      </c>
      <c r="D15" s="296">
        <v>364907.31535967428</v>
      </c>
      <c r="E15" s="209">
        <v>0</v>
      </c>
      <c r="F15" s="209">
        <v>0</v>
      </c>
      <c r="G15" s="296">
        <v>376000</v>
      </c>
      <c r="H15" s="209">
        <v>0</v>
      </c>
      <c r="I15" s="209">
        <v>0</v>
      </c>
      <c r="J15" s="296">
        <v>0</v>
      </c>
      <c r="K15" s="209">
        <v>0</v>
      </c>
      <c r="L15" s="209">
        <v>0</v>
      </c>
      <c r="M15" s="329">
        <f t="shared" si="0"/>
        <v>376000</v>
      </c>
      <c r="N15" s="51" t="s">
        <v>10</v>
      </c>
    </row>
    <row r="16" spans="1:21" x14ac:dyDescent="0.2">
      <c r="A16" s="330" t="s">
        <v>311</v>
      </c>
      <c r="B16" s="209">
        <v>0</v>
      </c>
      <c r="C16" s="209">
        <v>0</v>
      </c>
      <c r="D16" s="436" t="s">
        <v>480</v>
      </c>
      <c r="E16" s="209">
        <v>0</v>
      </c>
      <c r="F16" s="209">
        <v>0</v>
      </c>
      <c r="G16" s="436" t="s">
        <v>480</v>
      </c>
      <c r="H16" s="209">
        <v>0</v>
      </c>
      <c r="I16" s="209">
        <v>0</v>
      </c>
      <c r="J16" s="296">
        <v>0</v>
      </c>
      <c r="K16" s="209">
        <v>0</v>
      </c>
      <c r="L16" s="209">
        <v>0</v>
      </c>
      <c r="M16" s="437" t="s">
        <v>480</v>
      </c>
      <c r="N16" s="51" t="s">
        <v>10</v>
      </c>
    </row>
    <row r="17" spans="1:14" x14ac:dyDescent="0.2">
      <c r="A17" s="330" t="s">
        <v>523</v>
      </c>
      <c r="B17" s="209">
        <v>0</v>
      </c>
      <c r="C17" s="209">
        <v>0</v>
      </c>
      <c r="D17" s="436" t="s">
        <v>481</v>
      </c>
      <c r="E17" s="209">
        <v>0</v>
      </c>
      <c r="F17" s="209">
        <v>0</v>
      </c>
      <c r="G17" s="436" t="s">
        <v>480</v>
      </c>
      <c r="H17" s="209">
        <v>0</v>
      </c>
      <c r="I17" s="209">
        <v>0</v>
      </c>
      <c r="J17" s="296">
        <v>0</v>
      </c>
      <c r="K17" s="209">
        <v>0</v>
      </c>
      <c r="L17" s="209">
        <v>0</v>
      </c>
      <c r="M17" s="437" t="s">
        <v>480</v>
      </c>
      <c r="N17" s="51" t="s">
        <v>10</v>
      </c>
    </row>
    <row r="18" spans="1:14" x14ac:dyDescent="0.2">
      <c r="A18" s="330" t="s">
        <v>310</v>
      </c>
      <c r="B18" s="209">
        <v>0</v>
      </c>
      <c r="C18" s="209">
        <v>0</v>
      </c>
      <c r="D18" s="436" t="s">
        <v>482</v>
      </c>
      <c r="E18" s="209">
        <v>0</v>
      </c>
      <c r="F18" s="209">
        <v>0</v>
      </c>
      <c r="G18" s="436" t="s">
        <v>487</v>
      </c>
      <c r="H18" s="209">
        <v>0</v>
      </c>
      <c r="I18" s="209">
        <v>0</v>
      </c>
      <c r="J18" s="296">
        <v>0</v>
      </c>
      <c r="K18" s="209">
        <v>0</v>
      </c>
      <c r="L18" s="209">
        <v>0</v>
      </c>
      <c r="M18" s="437" t="s">
        <v>487</v>
      </c>
      <c r="N18" s="51" t="s">
        <v>10</v>
      </c>
    </row>
    <row r="19" spans="1:14" x14ac:dyDescent="0.2">
      <c r="A19" s="330" t="s">
        <v>309</v>
      </c>
      <c r="B19" s="209">
        <v>0</v>
      </c>
      <c r="C19" s="209">
        <v>0</v>
      </c>
      <c r="D19" s="436" t="s">
        <v>480</v>
      </c>
      <c r="E19" s="209">
        <v>0</v>
      </c>
      <c r="F19" s="209">
        <v>0</v>
      </c>
      <c r="G19" s="436" t="s">
        <v>488</v>
      </c>
      <c r="H19" s="209">
        <v>0</v>
      </c>
      <c r="I19" s="209">
        <v>0</v>
      </c>
      <c r="J19" s="296">
        <v>0</v>
      </c>
      <c r="K19" s="209">
        <v>0</v>
      </c>
      <c r="L19" s="209">
        <v>0</v>
      </c>
      <c r="M19" s="437" t="s">
        <v>488</v>
      </c>
      <c r="N19" s="51" t="s">
        <v>10</v>
      </c>
    </row>
    <row r="20" spans="1:14" x14ac:dyDescent="0.2">
      <c r="A20" s="330" t="s">
        <v>308</v>
      </c>
      <c r="B20" s="209">
        <v>0</v>
      </c>
      <c r="C20" s="209">
        <v>0</v>
      </c>
      <c r="D20" s="436" t="s">
        <v>480</v>
      </c>
      <c r="E20" s="209">
        <v>0</v>
      </c>
      <c r="F20" s="209">
        <v>0</v>
      </c>
      <c r="G20" s="436" t="s">
        <v>489</v>
      </c>
      <c r="H20" s="209">
        <v>0</v>
      </c>
      <c r="I20" s="209">
        <v>0</v>
      </c>
      <c r="J20" s="296">
        <v>0</v>
      </c>
      <c r="K20" s="209">
        <v>0</v>
      </c>
      <c r="L20" s="209">
        <v>0</v>
      </c>
      <c r="M20" s="437" t="s">
        <v>489</v>
      </c>
      <c r="N20" s="51" t="s">
        <v>10</v>
      </c>
    </row>
    <row r="21" spans="1:14" x14ac:dyDescent="0.2">
      <c r="A21" s="330" t="s">
        <v>307</v>
      </c>
      <c r="B21" s="209">
        <v>0</v>
      </c>
      <c r="C21" s="209">
        <v>0</v>
      </c>
      <c r="D21" s="436" t="s">
        <v>483</v>
      </c>
      <c r="E21" s="209">
        <v>0</v>
      </c>
      <c r="F21" s="209">
        <v>0</v>
      </c>
      <c r="G21" s="436" t="s">
        <v>490</v>
      </c>
      <c r="H21" s="209">
        <v>0</v>
      </c>
      <c r="I21" s="209">
        <v>0</v>
      </c>
      <c r="J21" s="296">
        <v>0</v>
      </c>
      <c r="K21" s="209">
        <v>0</v>
      </c>
      <c r="L21" s="209">
        <v>0</v>
      </c>
      <c r="M21" s="437" t="s">
        <v>490</v>
      </c>
      <c r="N21" s="51" t="s">
        <v>10</v>
      </c>
    </row>
    <row r="22" spans="1:14" x14ac:dyDescent="0.2">
      <c r="A22" s="330" t="s">
        <v>306</v>
      </c>
      <c r="B22" s="209">
        <v>0</v>
      </c>
      <c r="C22" s="209">
        <v>0</v>
      </c>
      <c r="D22" s="436" t="s">
        <v>482</v>
      </c>
      <c r="E22" s="209">
        <v>0</v>
      </c>
      <c r="F22" s="209">
        <v>0</v>
      </c>
      <c r="G22" s="436" t="s">
        <v>490</v>
      </c>
      <c r="H22" s="209">
        <v>0</v>
      </c>
      <c r="I22" s="209">
        <v>0</v>
      </c>
      <c r="J22" s="296">
        <v>0</v>
      </c>
      <c r="K22" s="209">
        <v>0</v>
      </c>
      <c r="L22" s="209">
        <v>0</v>
      </c>
      <c r="M22" s="437" t="s">
        <v>490</v>
      </c>
      <c r="N22" s="51" t="s">
        <v>10</v>
      </c>
    </row>
    <row r="23" spans="1:14" x14ac:dyDescent="0.2">
      <c r="A23" s="330" t="s">
        <v>305</v>
      </c>
      <c r="B23" s="209">
        <v>0</v>
      </c>
      <c r="C23" s="209">
        <v>0</v>
      </c>
      <c r="D23" s="436" t="s">
        <v>484</v>
      </c>
      <c r="E23" s="209">
        <v>0</v>
      </c>
      <c r="F23" s="209">
        <v>0</v>
      </c>
      <c r="G23" s="436" t="s">
        <v>491</v>
      </c>
      <c r="H23" s="209">
        <v>0</v>
      </c>
      <c r="I23" s="209">
        <v>0</v>
      </c>
      <c r="J23" s="296">
        <v>0</v>
      </c>
      <c r="K23" s="209">
        <v>0</v>
      </c>
      <c r="L23" s="209">
        <v>0</v>
      </c>
      <c r="M23" s="437" t="s">
        <v>491</v>
      </c>
      <c r="N23" s="51" t="s">
        <v>10</v>
      </c>
    </row>
    <row r="24" spans="1:14" x14ac:dyDescent="0.2">
      <c r="A24" s="330" t="s">
        <v>304</v>
      </c>
      <c r="B24" s="209">
        <v>0</v>
      </c>
      <c r="C24" s="209">
        <v>0</v>
      </c>
      <c r="D24" s="436" t="s">
        <v>480</v>
      </c>
      <c r="E24" s="209">
        <v>0</v>
      </c>
      <c r="F24" s="209">
        <v>0</v>
      </c>
      <c r="G24" s="436" t="s">
        <v>489</v>
      </c>
      <c r="H24" s="209">
        <v>0</v>
      </c>
      <c r="I24" s="209">
        <v>0</v>
      </c>
      <c r="J24" s="296">
        <v>0</v>
      </c>
      <c r="K24" s="209">
        <v>0</v>
      </c>
      <c r="L24" s="209">
        <v>0</v>
      </c>
      <c r="M24" s="437" t="s">
        <v>489</v>
      </c>
      <c r="N24" s="51" t="s">
        <v>10</v>
      </c>
    </row>
    <row r="25" spans="1:14" x14ac:dyDescent="0.2">
      <c r="A25" s="210" t="s">
        <v>464</v>
      </c>
      <c r="B25" s="209">
        <v>0</v>
      </c>
      <c r="C25" s="209">
        <v>0</v>
      </c>
      <c r="D25" s="296">
        <v>0</v>
      </c>
      <c r="E25" s="209">
        <v>0</v>
      </c>
      <c r="F25" s="209">
        <v>0</v>
      </c>
      <c r="G25" s="296">
        <v>0</v>
      </c>
      <c r="H25" s="209">
        <v>0</v>
      </c>
      <c r="I25" s="209">
        <v>0</v>
      </c>
      <c r="J25" s="296">
        <v>0</v>
      </c>
      <c r="K25" s="209">
        <v>0</v>
      </c>
      <c r="L25" s="209">
        <v>0</v>
      </c>
      <c r="M25" s="329">
        <f t="shared" si="0"/>
        <v>0</v>
      </c>
      <c r="N25" s="51" t="s">
        <v>10</v>
      </c>
    </row>
    <row r="26" spans="1:14" x14ac:dyDescent="0.2">
      <c r="A26" s="210" t="s">
        <v>268</v>
      </c>
      <c r="B26" s="209">
        <v>0</v>
      </c>
      <c r="C26" s="209">
        <v>0</v>
      </c>
      <c r="D26" s="296">
        <v>2557.2097030184764</v>
      </c>
      <c r="E26" s="209">
        <v>0</v>
      </c>
      <c r="F26" s="209">
        <v>0</v>
      </c>
      <c r="G26" s="296">
        <v>2000</v>
      </c>
      <c r="H26" s="209">
        <v>0</v>
      </c>
      <c r="I26" s="209">
        <v>0</v>
      </c>
      <c r="J26" s="296">
        <v>0</v>
      </c>
      <c r="K26" s="209">
        <v>0</v>
      </c>
      <c r="L26" s="209">
        <v>0</v>
      </c>
      <c r="M26" s="329">
        <f t="shared" si="0"/>
        <v>2000</v>
      </c>
      <c r="N26" s="51" t="s">
        <v>10</v>
      </c>
    </row>
    <row r="27" spans="1:14" x14ac:dyDescent="0.2">
      <c r="A27" s="210" t="s">
        <v>303</v>
      </c>
      <c r="B27" s="209">
        <v>0</v>
      </c>
      <c r="C27" s="209">
        <v>0</v>
      </c>
      <c r="D27" s="296">
        <v>2789.6833123837919</v>
      </c>
      <c r="E27" s="209">
        <v>0</v>
      </c>
      <c r="F27" s="209">
        <v>0</v>
      </c>
      <c r="G27" s="296">
        <v>2000</v>
      </c>
      <c r="H27" s="209">
        <v>0</v>
      </c>
      <c r="I27" s="209">
        <v>0</v>
      </c>
      <c r="J27" s="296">
        <v>0</v>
      </c>
      <c r="K27" s="209">
        <v>0</v>
      </c>
      <c r="L27" s="209">
        <v>0</v>
      </c>
      <c r="M27" s="329">
        <f t="shared" si="0"/>
        <v>2000</v>
      </c>
      <c r="N27" s="51" t="s">
        <v>10</v>
      </c>
    </row>
    <row r="28" spans="1:14" x14ac:dyDescent="0.2">
      <c r="A28" s="210" t="s">
        <v>465</v>
      </c>
      <c r="B28" s="209">
        <v>0</v>
      </c>
      <c r="C28" s="209">
        <v>0</v>
      </c>
      <c r="D28" s="296">
        <v>0</v>
      </c>
      <c r="E28" s="209">
        <v>0</v>
      </c>
      <c r="F28" s="209">
        <v>0</v>
      </c>
      <c r="G28" s="296">
        <v>0</v>
      </c>
      <c r="H28" s="209">
        <v>0</v>
      </c>
      <c r="I28" s="209">
        <v>0</v>
      </c>
      <c r="J28" s="296">
        <v>0</v>
      </c>
      <c r="K28" s="209">
        <v>0</v>
      </c>
      <c r="L28" s="209">
        <v>0</v>
      </c>
      <c r="M28" s="329">
        <f t="shared" si="0"/>
        <v>0</v>
      </c>
      <c r="N28" s="51" t="s">
        <v>10</v>
      </c>
    </row>
    <row r="29" spans="1:14" x14ac:dyDescent="0.2">
      <c r="A29" s="210" t="s">
        <v>466</v>
      </c>
      <c r="B29" s="209">
        <v>0</v>
      </c>
      <c r="C29" s="209">
        <v>0</v>
      </c>
      <c r="D29" s="296">
        <v>0</v>
      </c>
      <c r="E29" s="209">
        <v>0</v>
      </c>
      <c r="F29" s="209">
        <v>0</v>
      </c>
      <c r="G29" s="296">
        <v>0</v>
      </c>
      <c r="H29" s="209">
        <v>0</v>
      </c>
      <c r="I29" s="209">
        <v>0</v>
      </c>
      <c r="J29" s="296">
        <v>0</v>
      </c>
      <c r="K29" s="209">
        <v>0</v>
      </c>
      <c r="L29" s="209">
        <v>0</v>
      </c>
      <c r="M29" s="329">
        <f t="shared" si="0"/>
        <v>0</v>
      </c>
      <c r="N29" s="51" t="s">
        <v>10</v>
      </c>
    </row>
    <row r="30" spans="1:14" x14ac:dyDescent="0.2">
      <c r="A30" s="210" t="s">
        <v>302</v>
      </c>
      <c r="B30" s="209">
        <v>0</v>
      </c>
      <c r="C30" s="209">
        <v>0</v>
      </c>
      <c r="D30" s="296">
        <v>0</v>
      </c>
      <c r="E30" s="209">
        <v>0</v>
      </c>
      <c r="F30" s="209">
        <v>0</v>
      </c>
      <c r="G30" s="296">
        <v>75000</v>
      </c>
      <c r="H30" s="209">
        <v>0</v>
      </c>
      <c r="I30" s="209">
        <v>0</v>
      </c>
      <c r="J30" s="296">
        <v>0</v>
      </c>
      <c r="K30" s="209">
        <v>0</v>
      </c>
      <c r="L30" s="209">
        <v>0</v>
      </c>
      <c r="M30" s="329">
        <f t="shared" si="0"/>
        <v>75000</v>
      </c>
      <c r="N30" s="51" t="s">
        <v>10</v>
      </c>
    </row>
    <row r="31" spans="1:14" x14ac:dyDescent="0.2">
      <c r="A31" s="210" t="s">
        <v>299</v>
      </c>
      <c r="B31" s="209">
        <v>0</v>
      </c>
      <c r="C31" s="209">
        <v>0</v>
      </c>
      <c r="D31" s="296">
        <v>5579.3666247675837</v>
      </c>
      <c r="E31" s="209">
        <v>0</v>
      </c>
      <c r="F31" s="209">
        <v>0</v>
      </c>
      <c r="G31" s="296">
        <v>6000</v>
      </c>
      <c r="H31" s="209">
        <v>0</v>
      </c>
      <c r="I31" s="209">
        <v>0</v>
      </c>
      <c r="J31" s="296">
        <v>0</v>
      </c>
      <c r="K31" s="209">
        <v>0</v>
      </c>
      <c r="L31" s="209">
        <v>0</v>
      </c>
      <c r="M31" s="329">
        <f t="shared" si="0"/>
        <v>6000</v>
      </c>
      <c r="N31" s="51" t="s">
        <v>10</v>
      </c>
    </row>
    <row r="32" spans="1:14" x14ac:dyDescent="0.2">
      <c r="A32" s="210" t="s">
        <v>267</v>
      </c>
      <c r="B32" s="209">
        <v>0</v>
      </c>
      <c r="C32" s="209">
        <v>0</v>
      </c>
      <c r="D32" s="296">
        <v>116236.80468265801</v>
      </c>
      <c r="E32" s="209">
        <v>0</v>
      </c>
      <c r="F32" s="209">
        <v>0</v>
      </c>
      <c r="G32" s="296">
        <v>125000</v>
      </c>
      <c r="H32" s="209">
        <v>0</v>
      </c>
      <c r="I32" s="209">
        <v>0</v>
      </c>
      <c r="J32" s="296">
        <v>0</v>
      </c>
      <c r="K32" s="209">
        <v>0</v>
      </c>
      <c r="L32" s="209">
        <v>0</v>
      </c>
      <c r="M32" s="329">
        <f t="shared" si="0"/>
        <v>125000</v>
      </c>
      <c r="N32" s="51" t="s">
        <v>10</v>
      </c>
    </row>
    <row r="33" spans="1:14" x14ac:dyDescent="0.2">
      <c r="A33" s="330" t="s">
        <v>298</v>
      </c>
      <c r="B33" s="209">
        <v>0</v>
      </c>
      <c r="C33" s="209">
        <v>0</v>
      </c>
      <c r="D33" s="436" t="s">
        <v>485</v>
      </c>
      <c r="E33" s="209">
        <v>0</v>
      </c>
      <c r="F33" s="209">
        <v>0</v>
      </c>
      <c r="G33" s="436" t="s">
        <v>492</v>
      </c>
      <c r="H33" s="209">
        <v>0</v>
      </c>
      <c r="I33" s="209">
        <v>0</v>
      </c>
      <c r="J33" s="296">
        <v>0</v>
      </c>
      <c r="K33" s="209">
        <v>0</v>
      </c>
      <c r="L33" s="209">
        <v>0</v>
      </c>
      <c r="M33" s="437" t="s">
        <v>492</v>
      </c>
      <c r="N33" s="51" t="s">
        <v>10</v>
      </c>
    </row>
    <row r="34" spans="1:14" x14ac:dyDescent="0.2">
      <c r="A34" s="330" t="s">
        <v>297</v>
      </c>
      <c r="B34" s="209">
        <v>0</v>
      </c>
      <c r="C34" s="209">
        <v>0</v>
      </c>
      <c r="D34" s="436" t="s">
        <v>482</v>
      </c>
      <c r="E34" s="209">
        <v>0</v>
      </c>
      <c r="F34" s="209">
        <v>0</v>
      </c>
      <c r="G34" s="436" t="s">
        <v>487</v>
      </c>
      <c r="H34" s="209">
        <v>0</v>
      </c>
      <c r="I34" s="209">
        <v>0</v>
      </c>
      <c r="J34" s="296">
        <v>0</v>
      </c>
      <c r="K34" s="209">
        <v>0</v>
      </c>
      <c r="L34" s="209">
        <v>0</v>
      </c>
      <c r="M34" s="437" t="s">
        <v>487</v>
      </c>
      <c r="N34" s="51" t="s">
        <v>10</v>
      </c>
    </row>
    <row r="35" spans="1:14" x14ac:dyDescent="0.2">
      <c r="A35" s="330" t="s">
        <v>296</v>
      </c>
      <c r="B35" s="209">
        <v>0</v>
      </c>
      <c r="C35" s="209">
        <v>0</v>
      </c>
      <c r="D35" s="436" t="s">
        <v>482</v>
      </c>
      <c r="E35" s="209">
        <v>0</v>
      </c>
      <c r="F35" s="209">
        <v>0</v>
      </c>
      <c r="G35" s="436" t="s">
        <v>487</v>
      </c>
      <c r="H35" s="209">
        <v>0</v>
      </c>
      <c r="I35" s="209">
        <v>0</v>
      </c>
      <c r="J35" s="296">
        <v>0</v>
      </c>
      <c r="K35" s="209">
        <v>0</v>
      </c>
      <c r="L35" s="209">
        <v>0</v>
      </c>
      <c r="M35" s="437" t="s">
        <v>487</v>
      </c>
      <c r="N35" s="51" t="s">
        <v>10</v>
      </c>
    </row>
    <row r="36" spans="1:14" x14ac:dyDescent="0.2">
      <c r="A36" s="330" t="s">
        <v>295</v>
      </c>
      <c r="B36" s="209">
        <v>0</v>
      </c>
      <c r="C36" s="209">
        <v>0</v>
      </c>
      <c r="D36" s="436" t="s">
        <v>480</v>
      </c>
      <c r="E36" s="209">
        <v>0</v>
      </c>
      <c r="F36" s="209">
        <v>0</v>
      </c>
      <c r="G36" s="436" t="s">
        <v>480</v>
      </c>
      <c r="H36" s="209">
        <v>0</v>
      </c>
      <c r="I36" s="209">
        <v>0</v>
      </c>
      <c r="J36" s="296">
        <v>0</v>
      </c>
      <c r="K36" s="209">
        <v>0</v>
      </c>
      <c r="L36" s="209">
        <v>0</v>
      </c>
      <c r="M36" s="437" t="s">
        <v>480</v>
      </c>
      <c r="N36" s="51" t="s">
        <v>10</v>
      </c>
    </row>
    <row r="37" spans="1:14" x14ac:dyDescent="0.2">
      <c r="A37" s="210" t="s">
        <v>277</v>
      </c>
      <c r="B37" s="209">
        <v>0</v>
      </c>
      <c r="C37" s="209">
        <v>0</v>
      </c>
      <c r="D37" s="296">
        <v>12088.627686996433</v>
      </c>
      <c r="E37" s="209">
        <v>0</v>
      </c>
      <c r="F37" s="209">
        <v>0</v>
      </c>
      <c r="G37" s="296">
        <v>8000</v>
      </c>
      <c r="H37" s="209">
        <v>0</v>
      </c>
      <c r="I37" s="209">
        <v>0</v>
      </c>
      <c r="J37" s="296">
        <v>0</v>
      </c>
      <c r="K37" s="209">
        <v>0</v>
      </c>
      <c r="L37" s="209">
        <v>0</v>
      </c>
      <c r="M37" s="329">
        <f t="shared" si="0"/>
        <v>8000</v>
      </c>
      <c r="N37" s="51" t="s">
        <v>10</v>
      </c>
    </row>
    <row r="38" spans="1:14" x14ac:dyDescent="0.2">
      <c r="A38" s="210" t="s">
        <v>266</v>
      </c>
      <c r="B38" s="209">
        <v>0</v>
      </c>
      <c r="C38" s="209">
        <v>0</v>
      </c>
      <c r="D38" s="296">
        <v>38125.671935911821</v>
      </c>
      <c r="E38" s="209">
        <v>0</v>
      </c>
      <c r="F38" s="209">
        <v>0</v>
      </c>
      <c r="G38" s="296">
        <v>40500</v>
      </c>
      <c r="H38" s="209">
        <v>0</v>
      </c>
      <c r="I38" s="209">
        <v>0</v>
      </c>
      <c r="J38" s="296">
        <v>0</v>
      </c>
      <c r="K38" s="209">
        <v>0</v>
      </c>
      <c r="L38" s="209">
        <v>0</v>
      </c>
      <c r="M38" s="329">
        <f t="shared" si="0"/>
        <v>40500</v>
      </c>
      <c r="N38" s="51" t="s">
        <v>10</v>
      </c>
    </row>
    <row r="39" spans="1:14" x14ac:dyDescent="0.2">
      <c r="A39" s="210" t="s">
        <v>294</v>
      </c>
      <c r="B39" s="209">
        <v>0</v>
      </c>
      <c r="C39" s="209">
        <v>0</v>
      </c>
      <c r="D39" s="296">
        <v>8369.0499371513761</v>
      </c>
      <c r="E39" s="209">
        <v>0</v>
      </c>
      <c r="F39" s="209">
        <v>0</v>
      </c>
      <c r="G39" s="296">
        <v>10000</v>
      </c>
      <c r="H39" s="209">
        <v>0</v>
      </c>
      <c r="I39" s="209">
        <v>0</v>
      </c>
      <c r="J39" s="296">
        <v>0</v>
      </c>
      <c r="K39" s="209">
        <v>0</v>
      </c>
      <c r="L39" s="209">
        <v>0</v>
      </c>
      <c r="M39" s="329">
        <f t="shared" si="0"/>
        <v>10000</v>
      </c>
      <c r="N39" s="51" t="s">
        <v>10</v>
      </c>
    </row>
    <row r="40" spans="1:14" x14ac:dyDescent="0.2">
      <c r="A40" s="330" t="s">
        <v>293</v>
      </c>
      <c r="B40" s="209">
        <v>0</v>
      </c>
      <c r="C40" s="209">
        <v>0</v>
      </c>
      <c r="D40" s="436" t="s">
        <v>486</v>
      </c>
      <c r="E40" s="209">
        <v>0</v>
      </c>
      <c r="F40" s="209">
        <v>0</v>
      </c>
      <c r="G40" s="436" t="s">
        <v>480</v>
      </c>
      <c r="H40" s="209">
        <v>0</v>
      </c>
      <c r="I40" s="209">
        <v>0</v>
      </c>
      <c r="J40" s="296">
        <v>0</v>
      </c>
      <c r="K40" s="209">
        <v>0</v>
      </c>
      <c r="L40" s="209">
        <v>0</v>
      </c>
      <c r="M40" s="437" t="s">
        <v>480</v>
      </c>
      <c r="N40" s="51" t="s">
        <v>10</v>
      </c>
    </row>
    <row r="41" spans="1:14" x14ac:dyDescent="0.2">
      <c r="A41" s="210" t="s">
        <v>292</v>
      </c>
      <c r="B41" s="209">
        <v>0</v>
      </c>
      <c r="C41" s="209">
        <v>0</v>
      </c>
      <c r="D41" s="296">
        <v>3254.6305311144238</v>
      </c>
      <c r="E41" s="209">
        <v>0</v>
      </c>
      <c r="F41" s="209">
        <v>0</v>
      </c>
      <c r="G41" s="296">
        <v>0</v>
      </c>
      <c r="H41" s="209">
        <v>0</v>
      </c>
      <c r="I41" s="209">
        <v>0</v>
      </c>
      <c r="J41" s="296">
        <v>0</v>
      </c>
      <c r="K41" s="209">
        <v>0</v>
      </c>
      <c r="L41" s="209">
        <v>0</v>
      </c>
      <c r="M41" s="329">
        <f t="shared" ref="M41:M69" si="1">G41+J41</f>
        <v>0</v>
      </c>
      <c r="N41" s="51" t="s">
        <v>10</v>
      </c>
    </row>
    <row r="42" spans="1:14" x14ac:dyDescent="0.2">
      <c r="A42" s="207" t="s">
        <v>265</v>
      </c>
      <c r="B42" s="154">
        <v>0</v>
      </c>
      <c r="C42" s="154">
        <v>0</v>
      </c>
      <c r="D42" s="268">
        <v>35335.988623528028</v>
      </c>
      <c r="E42" s="154">
        <v>0</v>
      </c>
      <c r="F42" s="154">
        <v>0</v>
      </c>
      <c r="G42" s="268">
        <v>30000</v>
      </c>
      <c r="H42" s="154">
        <v>0</v>
      </c>
      <c r="I42" s="154">
        <v>0</v>
      </c>
      <c r="J42" s="268">
        <v>0</v>
      </c>
      <c r="K42" s="154">
        <v>0</v>
      </c>
      <c r="L42" s="154">
        <v>0</v>
      </c>
      <c r="M42" s="279">
        <f t="shared" si="1"/>
        <v>30000</v>
      </c>
      <c r="N42" s="51" t="s">
        <v>10</v>
      </c>
    </row>
    <row r="43" spans="1:14" x14ac:dyDescent="0.2">
      <c r="A43" s="207" t="s">
        <v>467</v>
      </c>
      <c r="B43" s="154">
        <v>0</v>
      </c>
      <c r="C43" s="154">
        <v>0</v>
      </c>
      <c r="D43" s="268">
        <v>0</v>
      </c>
      <c r="E43" s="154">
        <v>0</v>
      </c>
      <c r="F43" s="154">
        <v>0</v>
      </c>
      <c r="G43" s="268">
        <v>0</v>
      </c>
      <c r="H43" s="154">
        <v>0</v>
      </c>
      <c r="I43" s="154">
        <v>0</v>
      </c>
      <c r="J43" s="268">
        <v>0</v>
      </c>
      <c r="K43" s="154">
        <v>0</v>
      </c>
      <c r="L43" s="154">
        <v>0</v>
      </c>
      <c r="M43" s="279">
        <f t="shared" si="1"/>
        <v>0</v>
      </c>
      <c r="N43" s="51" t="s">
        <v>10</v>
      </c>
    </row>
    <row r="44" spans="1:14" x14ac:dyDescent="0.2">
      <c r="A44" s="207" t="s">
        <v>264</v>
      </c>
      <c r="B44" s="154">
        <v>0</v>
      </c>
      <c r="C44" s="154">
        <v>0</v>
      </c>
      <c r="D44" s="268">
        <v>3719.5777498450561</v>
      </c>
      <c r="E44" s="154">
        <v>0</v>
      </c>
      <c r="F44" s="154">
        <v>0</v>
      </c>
      <c r="G44" s="268">
        <v>2000</v>
      </c>
      <c r="H44" s="154">
        <v>0</v>
      </c>
      <c r="I44" s="154">
        <v>0</v>
      </c>
      <c r="J44" s="268">
        <v>0</v>
      </c>
      <c r="K44" s="154">
        <v>0</v>
      </c>
      <c r="L44" s="154">
        <v>0</v>
      </c>
      <c r="M44" s="279">
        <f t="shared" si="1"/>
        <v>2000</v>
      </c>
      <c r="N44" s="51" t="s">
        <v>10</v>
      </c>
    </row>
    <row r="45" spans="1:14" x14ac:dyDescent="0.2">
      <c r="A45" s="207" t="s">
        <v>275</v>
      </c>
      <c r="B45" s="154">
        <v>0</v>
      </c>
      <c r="C45" s="154">
        <v>0</v>
      </c>
      <c r="D45" s="268">
        <v>0</v>
      </c>
      <c r="E45" s="154">
        <v>0</v>
      </c>
      <c r="F45" s="154">
        <v>0</v>
      </c>
      <c r="G45" s="268">
        <v>27500</v>
      </c>
      <c r="H45" s="154">
        <v>0</v>
      </c>
      <c r="I45" s="154">
        <v>0</v>
      </c>
      <c r="J45" s="268">
        <v>0</v>
      </c>
      <c r="K45" s="154">
        <v>0</v>
      </c>
      <c r="L45" s="154">
        <v>0</v>
      </c>
      <c r="M45" s="279">
        <f t="shared" si="1"/>
        <v>27500</v>
      </c>
      <c r="N45" s="51" t="s">
        <v>10</v>
      </c>
    </row>
    <row r="46" spans="1:14" x14ac:dyDescent="0.2">
      <c r="A46" s="328" t="s">
        <v>291</v>
      </c>
      <c r="B46" s="154">
        <v>0</v>
      </c>
      <c r="C46" s="154">
        <v>0</v>
      </c>
      <c r="D46" s="440" t="s">
        <v>480</v>
      </c>
      <c r="E46" s="154">
        <v>0</v>
      </c>
      <c r="F46" s="154">
        <v>0</v>
      </c>
      <c r="G46" s="440" t="s">
        <v>490</v>
      </c>
      <c r="H46" s="154">
        <v>0</v>
      </c>
      <c r="I46" s="154">
        <v>0</v>
      </c>
      <c r="J46" s="268">
        <v>0</v>
      </c>
      <c r="K46" s="154">
        <v>0</v>
      </c>
      <c r="L46" s="154">
        <v>0</v>
      </c>
      <c r="M46" s="223" t="s">
        <v>490</v>
      </c>
      <c r="N46" s="51" t="s">
        <v>10</v>
      </c>
    </row>
    <row r="47" spans="1:14" x14ac:dyDescent="0.2">
      <c r="A47" s="207" t="s">
        <v>263</v>
      </c>
      <c r="B47" s="154">
        <v>0</v>
      </c>
      <c r="C47" s="154">
        <v>0</v>
      </c>
      <c r="D47" s="268">
        <v>8369.0499371513761</v>
      </c>
      <c r="E47" s="154">
        <v>0</v>
      </c>
      <c r="F47" s="154">
        <v>0</v>
      </c>
      <c r="G47" s="268">
        <v>8250</v>
      </c>
      <c r="H47" s="154">
        <v>0</v>
      </c>
      <c r="I47" s="154">
        <v>0</v>
      </c>
      <c r="J47" s="268">
        <v>0</v>
      </c>
      <c r="K47" s="154">
        <v>0</v>
      </c>
      <c r="L47" s="154">
        <v>0</v>
      </c>
      <c r="M47" s="279">
        <f t="shared" si="1"/>
        <v>8250</v>
      </c>
      <c r="N47" s="51" t="s">
        <v>10</v>
      </c>
    </row>
    <row r="48" spans="1:14" x14ac:dyDescent="0.2">
      <c r="A48" s="207" t="s">
        <v>262</v>
      </c>
      <c r="B48" s="154">
        <v>0</v>
      </c>
      <c r="C48" s="154">
        <v>0</v>
      </c>
      <c r="D48" s="268">
        <v>929.89443746126403</v>
      </c>
      <c r="E48" s="154">
        <v>0</v>
      </c>
      <c r="F48" s="154">
        <v>0</v>
      </c>
      <c r="G48" s="268">
        <v>750</v>
      </c>
      <c r="H48" s="154">
        <v>0</v>
      </c>
      <c r="I48" s="154">
        <v>0</v>
      </c>
      <c r="J48" s="268">
        <v>0</v>
      </c>
      <c r="K48" s="154">
        <v>0</v>
      </c>
      <c r="L48" s="154">
        <v>0</v>
      </c>
      <c r="M48" s="279">
        <f t="shared" si="1"/>
        <v>750</v>
      </c>
      <c r="N48" s="51" t="s">
        <v>10</v>
      </c>
    </row>
    <row r="49" spans="1:14" x14ac:dyDescent="0.2">
      <c r="A49" s="207" t="s">
        <v>290</v>
      </c>
      <c r="B49" s="154">
        <v>0</v>
      </c>
      <c r="C49" s="154">
        <v>0</v>
      </c>
      <c r="D49" s="268">
        <v>0</v>
      </c>
      <c r="E49" s="154">
        <v>0</v>
      </c>
      <c r="F49" s="154">
        <v>0</v>
      </c>
      <c r="G49" s="440" t="s">
        <v>513</v>
      </c>
      <c r="H49" s="154">
        <v>0</v>
      </c>
      <c r="I49" s="154">
        <v>0</v>
      </c>
      <c r="J49" s="268">
        <v>0</v>
      </c>
      <c r="K49" s="154">
        <v>0</v>
      </c>
      <c r="L49" s="154">
        <v>0</v>
      </c>
      <c r="M49" s="440" t="s">
        <v>513</v>
      </c>
      <c r="N49" s="51" t="s">
        <v>10</v>
      </c>
    </row>
    <row r="50" spans="1:14" x14ac:dyDescent="0.2">
      <c r="A50" s="207" t="s">
        <v>274</v>
      </c>
      <c r="B50" s="154">
        <v>0</v>
      </c>
      <c r="C50" s="154">
        <v>0</v>
      </c>
      <c r="D50" s="268">
        <v>5579</v>
      </c>
      <c r="E50" s="154">
        <v>0</v>
      </c>
      <c r="F50" s="154">
        <v>0</v>
      </c>
      <c r="G50" s="440">
        <v>46500</v>
      </c>
      <c r="H50" s="154">
        <v>0</v>
      </c>
      <c r="I50" s="154">
        <v>0</v>
      </c>
      <c r="J50" s="268">
        <v>0</v>
      </c>
      <c r="K50" s="154">
        <v>0</v>
      </c>
      <c r="L50" s="154">
        <v>0</v>
      </c>
      <c r="M50" s="279">
        <f t="shared" ref="M50:M52" si="2">G50+J50</f>
        <v>46500</v>
      </c>
      <c r="N50" s="51" t="s">
        <v>10</v>
      </c>
    </row>
    <row r="51" spans="1:14" x14ac:dyDescent="0.2">
      <c r="A51" s="207" t="s">
        <v>261</v>
      </c>
      <c r="B51" s="154">
        <v>0</v>
      </c>
      <c r="C51" s="154">
        <v>0</v>
      </c>
      <c r="D51" s="268">
        <v>11159</v>
      </c>
      <c r="E51" s="154">
        <v>0</v>
      </c>
      <c r="F51" s="154">
        <v>0</v>
      </c>
      <c r="G51" s="440">
        <v>12000</v>
      </c>
      <c r="H51" s="154">
        <v>0</v>
      </c>
      <c r="I51" s="154">
        <v>0</v>
      </c>
      <c r="J51" s="440">
        <v>0</v>
      </c>
      <c r="K51" s="154">
        <v>0</v>
      </c>
      <c r="L51" s="154">
        <v>0</v>
      </c>
      <c r="M51" s="279">
        <f t="shared" si="2"/>
        <v>12000</v>
      </c>
      <c r="N51" s="51" t="s">
        <v>10</v>
      </c>
    </row>
    <row r="52" spans="1:14" x14ac:dyDescent="0.2">
      <c r="A52" s="207" t="s">
        <v>289</v>
      </c>
      <c r="B52" s="154">
        <v>0</v>
      </c>
      <c r="C52" s="154">
        <v>0</v>
      </c>
      <c r="D52" s="268">
        <v>929.89443746126403</v>
      </c>
      <c r="E52" s="154">
        <v>0</v>
      </c>
      <c r="F52" s="154">
        <v>0</v>
      </c>
      <c r="G52" s="268">
        <v>1000</v>
      </c>
      <c r="H52" s="154">
        <v>0</v>
      </c>
      <c r="I52" s="154">
        <v>0</v>
      </c>
      <c r="J52" s="268">
        <v>0</v>
      </c>
      <c r="K52" s="154">
        <v>0</v>
      </c>
      <c r="L52" s="154">
        <v>0</v>
      </c>
      <c r="M52" s="279">
        <f t="shared" si="2"/>
        <v>1000</v>
      </c>
      <c r="N52" s="51" t="s">
        <v>10</v>
      </c>
    </row>
    <row r="53" spans="1:14" x14ac:dyDescent="0.2">
      <c r="A53" s="207" t="s">
        <v>260</v>
      </c>
      <c r="B53" s="154">
        <v>0</v>
      </c>
      <c r="C53" s="154">
        <v>0</v>
      </c>
      <c r="D53" s="268">
        <v>11158.733249535167</v>
      </c>
      <c r="E53" s="154">
        <v>0</v>
      </c>
      <c r="F53" s="154">
        <v>0</v>
      </c>
      <c r="G53" s="268">
        <v>12000</v>
      </c>
      <c r="H53" s="154">
        <v>0</v>
      </c>
      <c r="I53" s="154">
        <v>0</v>
      </c>
      <c r="J53" s="268">
        <v>0</v>
      </c>
      <c r="K53" s="154">
        <v>0</v>
      </c>
      <c r="L53" s="154">
        <v>0</v>
      </c>
      <c r="M53" s="279">
        <f t="shared" si="1"/>
        <v>12000</v>
      </c>
      <c r="N53" s="51" t="s">
        <v>10</v>
      </c>
    </row>
    <row r="54" spans="1:14" x14ac:dyDescent="0.2">
      <c r="A54" s="207" t="s">
        <v>288</v>
      </c>
      <c r="B54" s="154">
        <v>0</v>
      </c>
      <c r="C54" s="154">
        <v>0</v>
      </c>
      <c r="D54" s="268">
        <v>6509.2610622288475</v>
      </c>
      <c r="E54" s="154">
        <v>0</v>
      </c>
      <c r="F54" s="154">
        <v>0</v>
      </c>
      <c r="G54" s="268">
        <v>7000</v>
      </c>
      <c r="H54" s="154">
        <v>0</v>
      </c>
      <c r="I54" s="154">
        <v>0</v>
      </c>
      <c r="J54" s="268">
        <v>0</v>
      </c>
      <c r="K54" s="154">
        <v>0</v>
      </c>
      <c r="L54" s="154">
        <v>0</v>
      </c>
      <c r="M54" s="279">
        <f t="shared" si="1"/>
        <v>7000</v>
      </c>
      <c r="N54" s="51" t="s">
        <v>10</v>
      </c>
    </row>
    <row r="55" spans="1:14" x14ac:dyDescent="0.2">
      <c r="A55" s="207" t="s">
        <v>259</v>
      </c>
      <c r="B55" s="154">
        <v>0</v>
      </c>
      <c r="C55" s="154">
        <v>0</v>
      </c>
      <c r="D55" s="268">
        <v>11623.6804682658</v>
      </c>
      <c r="E55" s="154">
        <v>0</v>
      </c>
      <c r="F55" s="154">
        <v>0</v>
      </c>
      <c r="G55" s="268">
        <v>12500</v>
      </c>
      <c r="H55" s="154">
        <v>0</v>
      </c>
      <c r="I55" s="154">
        <v>0</v>
      </c>
      <c r="J55" s="268">
        <v>0</v>
      </c>
      <c r="K55" s="154">
        <v>0</v>
      </c>
      <c r="L55" s="154">
        <v>0</v>
      </c>
      <c r="M55" s="279">
        <f t="shared" si="1"/>
        <v>12500</v>
      </c>
      <c r="N55" s="51" t="s">
        <v>10</v>
      </c>
    </row>
    <row r="56" spans="1:14" x14ac:dyDescent="0.2">
      <c r="A56" s="207" t="s">
        <v>273</v>
      </c>
      <c r="B56" s="154">
        <v>0</v>
      </c>
      <c r="C56" s="154">
        <v>0</v>
      </c>
      <c r="D56" s="268">
        <v>0</v>
      </c>
      <c r="E56" s="154">
        <v>0</v>
      </c>
      <c r="F56" s="154">
        <v>0</v>
      </c>
      <c r="G56" s="268">
        <v>0</v>
      </c>
      <c r="H56" s="154">
        <v>0</v>
      </c>
      <c r="I56" s="154">
        <v>0</v>
      </c>
      <c r="J56" s="268">
        <v>0</v>
      </c>
      <c r="K56" s="154">
        <v>0</v>
      </c>
      <c r="L56" s="154">
        <v>0</v>
      </c>
      <c r="M56" s="279">
        <f t="shared" si="1"/>
        <v>0</v>
      </c>
      <c r="N56" s="51" t="s">
        <v>10</v>
      </c>
    </row>
    <row r="57" spans="1:14" x14ac:dyDescent="0.2">
      <c r="A57" s="207" t="s">
        <v>468</v>
      </c>
      <c r="B57" s="154">
        <v>0</v>
      </c>
      <c r="C57" s="154">
        <v>0</v>
      </c>
      <c r="D57" s="268">
        <v>0</v>
      </c>
      <c r="E57" s="154">
        <v>0</v>
      </c>
      <c r="F57" s="154">
        <v>0</v>
      </c>
      <c r="G57" s="268">
        <v>0</v>
      </c>
      <c r="H57" s="154">
        <v>0</v>
      </c>
      <c r="I57" s="154">
        <v>0</v>
      </c>
      <c r="J57" s="268">
        <v>0</v>
      </c>
      <c r="K57" s="154">
        <v>0</v>
      </c>
      <c r="L57" s="154">
        <v>0</v>
      </c>
      <c r="M57" s="279">
        <f t="shared" si="1"/>
        <v>0</v>
      </c>
      <c r="N57" s="51" t="s">
        <v>10</v>
      </c>
    </row>
    <row r="58" spans="1:14" x14ac:dyDescent="0.2">
      <c r="A58" s="207" t="s">
        <v>518</v>
      </c>
      <c r="B58" s="154">
        <v>0</v>
      </c>
      <c r="C58" s="154">
        <v>0</v>
      </c>
      <c r="D58" s="268">
        <v>0</v>
      </c>
      <c r="E58" s="154">
        <v>0</v>
      </c>
      <c r="F58" s="154">
        <v>0</v>
      </c>
      <c r="G58" s="268">
        <v>4000</v>
      </c>
      <c r="H58" s="154">
        <v>0</v>
      </c>
      <c r="I58" s="154">
        <v>0</v>
      </c>
      <c r="J58" s="268">
        <v>0</v>
      </c>
      <c r="K58" s="154">
        <v>0</v>
      </c>
      <c r="L58" s="154">
        <v>0</v>
      </c>
      <c r="M58" s="279">
        <f t="shared" si="1"/>
        <v>4000</v>
      </c>
      <c r="N58" s="51" t="s">
        <v>10</v>
      </c>
    </row>
    <row r="59" spans="1:14" x14ac:dyDescent="0.2">
      <c r="A59" s="207" t="s">
        <v>271</v>
      </c>
      <c r="B59" s="154">
        <v>0</v>
      </c>
      <c r="C59" s="154">
        <v>0</v>
      </c>
      <c r="D59" s="268">
        <v>11623.6804682658</v>
      </c>
      <c r="E59" s="154">
        <v>0</v>
      </c>
      <c r="F59" s="154">
        <v>0</v>
      </c>
      <c r="G59" s="268">
        <v>10000</v>
      </c>
      <c r="H59" s="154">
        <v>0</v>
      </c>
      <c r="I59" s="154">
        <v>0</v>
      </c>
      <c r="J59" s="268">
        <v>0</v>
      </c>
      <c r="K59" s="154">
        <v>0</v>
      </c>
      <c r="L59" s="154">
        <v>0</v>
      </c>
      <c r="M59" s="279">
        <f t="shared" si="1"/>
        <v>10000</v>
      </c>
      <c r="N59" s="51" t="s">
        <v>10</v>
      </c>
    </row>
    <row r="60" spans="1:14" x14ac:dyDescent="0.2">
      <c r="A60" s="207" t="s">
        <v>287</v>
      </c>
      <c r="B60" s="154">
        <v>0</v>
      </c>
      <c r="C60" s="154">
        <v>0</v>
      </c>
      <c r="D60" s="268">
        <v>63930.242575461896</v>
      </c>
      <c r="E60" s="154">
        <v>0</v>
      </c>
      <c r="F60" s="154">
        <v>0</v>
      </c>
      <c r="G60" s="268">
        <v>67750</v>
      </c>
      <c r="H60" s="154">
        <v>0</v>
      </c>
      <c r="I60" s="154">
        <v>0</v>
      </c>
      <c r="J60" s="268">
        <v>0</v>
      </c>
      <c r="K60" s="154">
        <v>0</v>
      </c>
      <c r="L60" s="154">
        <v>0</v>
      </c>
      <c r="M60" s="279">
        <f t="shared" si="1"/>
        <v>67750</v>
      </c>
      <c r="N60" s="51" t="s">
        <v>10</v>
      </c>
    </row>
    <row r="61" spans="1:14" x14ac:dyDescent="0.2">
      <c r="A61" s="328" t="s">
        <v>286</v>
      </c>
      <c r="B61" s="154">
        <v>0</v>
      </c>
      <c r="C61" s="154">
        <v>0</v>
      </c>
      <c r="D61" s="440" t="s">
        <v>480</v>
      </c>
      <c r="E61" s="154">
        <v>0</v>
      </c>
      <c r="F61" s="154">
        <v>0</v>
      </c>
      <c r="G61" s="440" t="s">
        <v>493</v>
      </c>
      <c r="H61" s="154">
        <v>0</v>
      </c>
      <c r="I61" s="154">
        <v>0</v>
      </c>
      <c r="J61" s="268">
        <v>0</v>
      </c>
      <c r="K61" s="154">
        <v>0</v>
      </c>
      <c r="L61" s="154">
        <v>0</v>
      </c>
      <c r="M61" s="223" t="s">
        <v>493</v>
      </c>
      <c r="N61" s="51" t="s">
        <v>10</v>
      </c>
    </row>
    <row r="62" spans="1:14" x14ac:dyDescent="0.2">
      <c r="A62" s="328" t="s">
        <v>285</v>
      </c>
      <c r="B62" s="154">
        <v>0</v>
      </c>
      <c r="C62" s="154">
        <v>0</v>
      </c>
      <c r="D62" s="440" t="s">
        <v>480</v>
      </c>
      <c r="E62" s="154">
        <v>0</v>
      </c>
      <c r="F62" s="154">
        <v>0</v>
      </c>
      <c r="G62" s="440" t="s">
        <v>489</v>
      </c>
      <c r="H62" s="154">
        <v>0</v>
      </c>
      <c r="I62" s="154">
        <v>0</v>
      </c>
      <c r="J62" s="268">
        <v>0</v>
      </c>
      <c r="K62" s="154">
        <v>0</v>
      </c>
      <c r="L62" s="154">
        <v>0</v>
      </c>
      <c r="M62" s="223" t="s">
        <v>489</v>
      </c>
      <c r="N62" s="51" t="s">
        <v>10</v>
      </c>
    </row>
    <row r="63" spans="1:14" x14ac:dyDescent="0.2">
      <c r="A63" s="328" t="s">
        <v>284</v>
      </c>
      <c r="B63" s="154">
        <v>0</v>
      </c>
      <c r="C63" s="154">
        <v>0</v>
      </c>
      <c r="D63" s="440" t="s">
        <v>480</v>
      </c>
      <c r="E63" s="154">
        <v>0</v>
      </c>
      <c r="F63" s="154">
        <v>0</v>
      </c>
      <c r="G63" s="440" t="s">
        <v>488</v>
      </c>
      <c r="H63" s="154">
        <v>0</v>
      </c>
      <c r="I63" s="154">
        <v>0</v>
      </c>
      <c r="J63" s="268">
        <v>0</v>
      </c>
      <c r="K63" s="154">
        <v>0</v>
      </c>
      <c r="L63" s="154">
        <v>0</v>
      </c>
      <c r="M63" s="223" t="s">
        <v>488</v>
      </c>
      <c r="N63" s="51" t="s">
        <v>10</v>
      </c>
    </row>
    <row r="64" spans="1:14" x14ac:dyDescent="0.2">
      <c r="A64" s="328" t="s">
        <v>283</v>
      </c>
      <c r="B64" s="154">
        <v>0</v>
      </c>
      <c r="C64" s="154">
        <v>0</v>
      </c>
      <c r="D64" s="440" t="s">
        <v>484</v>
      </c>
      <c r="E64" s="154">
        <v>0</v>
      </c>
      <c r="F64" s="154">
        <v>0</v>
      </c>
      <c r="G64" s="440" t="s">
        <v>494</v>
      </c>
      <c r="H64" s="154">
        <v>0</v>
      </c>
      <c r="I64" s="154">
        <v>0</v>
      </c>
      <c r="J64" s="268">
        <v>0</v>
      </c>
      <c r="K64" s="154">
        <v>0</v>
      </c>
      <c r="L64" s="154">
        <v>0</v>
      </c>
      <c r="M64" s="223" t="s">
        <v>494</v>
      </c>
      <c r="N64" s="51" t="s">
        <v>10</v>
      </c>
    </row>
    <row r="65" spans="1:14" x14ac:dyDescent="0.2">
      <c r="A65" s="207" t="s">
        <v>258</v>
      </c>
      <c r="B65" s="154">
        <v>0</v>
      </c>
      <c r="C65" s="154">
        <v>0</v>
      </c>
      <c r="D65" s="268">
        <v>237123.08155262232</v>
      </c>
      <c r="E65" s="154">
        <v>0</v>
      </c>
      <c r="F65" s="154">
        <v>0</v>
      </c>
      <c r="G65" s="268">
        <v>180000</v>
      </c>
      <c r="H65" s="154">
        <v>0</v>
      </c>
      <c r="I65" s="154">
        <v>0</v>
      </c>
      <c r="J65" s="268">
        <v>0</v>
      </c>
      <c r="K65" s="154">
        <v>0</v>
      </c>
      <c r="L65" s="154">
        <v>0</v>
      </c>
      <c r="M65" s="279">
        <f t="shared" si="1"/>
        <v>180000</v>
      </c>
      <c r="N65" s="51" t="s">
        <v>10</v>
      </c>
    </row>
    <row r="66" spans="1:14" x14ac:dyDescent="0.2">
      <c r="A66" s="207" t="s">
        <v>257</v>
      </c>
      <c r="B66" s="154">
        <v>0</v>
      </c>
      <c r="C66" s="154">
        <v>0</v>
      </c>
      <c r="D66" s="268">
        <v>3719.5777498450561</v>
      </c>
      <c r="E66" s="154">
        <v>0</v>
      </c>
      <c r="F66" s="154">
        <v>0</v>
      </c>
      <c r="G66" s="268">
        <v>4000</v>
      </c>
      <c r="H66" s="154">
        <v>0</v>
      </c>
      <c r="I66" s="154">
        <v>0</v>
      </c>
      <c r="J66" s="268">
        <v>0</v>
      </c>
      <c r="K66" s="154">
        <v>0</v>
      </c>
      <c r="L66" s="154">
        <v>0</v>
      </c>
      <c r="M66" s="279">
        <f t="shared" si="1"/>
        <v>4000</v>
      </c>
      <c r="N66" s="51" t="s">
        <v>10</v>
      </c>
    </row>
    <row r="67" spans="1:14" x14ac:dyDescent="0.2">
      <c r="A67" s="207" t="s">
        <v>256</v>
      </c>
      <c r="B67" s="154">
        <v>0</v>
      </c>
      <c r="C67" s="154">
        <v>0</v>
      </c>
      <c r="D67" s="268">
        <v>12553.574905727062</v>
      </c>
      <c r="E67" s="154">
        <v>0</v>
      </c>
      <c r="F67" s="154">
        <v>0</v>
      </c>
      <c r="G67" s="268">
        <v>14250</v>
      </c>
      <c r="H67" s="154">
        <v>0</v>
      </c>
      <c r="I67" s="154">
        <v>0</v>
      </c>
      <c r="J67" s="268">
        <v>0</v>
      </c>
      <c r="K67" s="154">
        <v>0</v>
      </c>
      <c r="L67" s="154">
        <v>0</v>
      </c>
      <c r="M67" s="279">
        <f t="shared" si="1"/>
        <v>14250</v>
      </c>
      <c r="N67" s="51" t="s">
        <v>10</v>
      </c>
    </row>
    <row r="68" spans="1:14" x14ac:dyDescent="0.2">
      <c r="A68" s="207" t="s">
        <v>255</v>
      </c>
      <c r="B68" s="154">
        <v>0</v>
      </c>
      <c r="C68" s="154">
        <v>0</v>
      </c>
      <c r="D68" s="268">
        <v>4649.4721873063199</v>
      </c>
      <c r="E68" s="154">
        <v>0</v>
      </c>
      <c r="F68" s="154">
        <v>0</v>
      </c>
      <c r="G68" s="268">
        <v>8500</v>
      </c>
      <c r="H68" s="154">
        <v>0</v>
      </c>
      <c r="I68" s="154">
        <v>0</v>
      </c>
      <c r="J68" s="268">
        <v>0</v>
      </c>
      <c r="K68" s="154">
        <v>0</v>
      </c>
      <c r="L68" s="154">
        <v>0</v>
      </c>
      <c r="M68" s="279">
        <f t="shared" si="1"/>
        <v>8500</v>
      </c>
      <c r="N68" s="51" t="s">
        <v>10</v>
      </c>
    </row>
    <row r="69" spans="1:14" x14ac:dyDescent="0.2">
      <c r="A69" s="283" t="s">
        <v>254</v>
      </c>
      <c r="B69" s="280">
        <v>0</v>
      </c>
      <c r="C69" s="280">
        <v>0</v>
      </c>
      <c r="D69" s="281">
        <v>0</v>
      </c>
      <c r="E69" s="280">
        <v>0</v>
      </c>
      <c r="F69" s="280">
        <v>0</v>
      </c>
      <c r="G69" s="281">
        <v>12500</v>
      </c>
      <c r="H69" s="280">
        <v>0</v>
      </c>
      <c r="I69" s="280">
        <v>0</v>
      </c>
      <c r="J69" s="281">
        <v>0</v>
      </c>
      <c r="K69" s="280">
        <v>0</v>
      </c>
      <c r="L69" s="280">
        <v>0</v>
      </c>
      <c r="M69" s="335">
        <f t="shared" si="1"/>
        <v>12500</v>
      </c>
      <c r="N69" s="51" t="s">
        <v>10</v>
      </c>
    </row>
    <row r="70" spans="1:14" ht="15" x14ac:dyDescent="0.25">
      <c r="A70" s="13" t="s">
        <v>98</v>
      </c>
      <c r="B70" s="118">
        <f>SUM(B9:B69)</f>
        <v>0</v>
      </c>
      <c r="C70" s="118">
        <f>SUM(C9:C69)</f>
        <v>0</v>
      </c>
      <c r="D70" s="219">
        <f>SUM(D9:D11,D13:D15,D25:D30,D31:D32,D37:D39,D41:D45,D47:D60,D65:D69)</f>
        <v>1060468.2547063972</v>
      </c>
      <c r="E70" s="118">
        <f t="shared" ref="E70:J70" si="3">SUM(E9:E69)</f>
        <v>0</v>
      </c>
      <c r="F70" s="118">
        <f t="shared" si="3"/>
        <v>0</v>
      </c>
      <c r="G70" s="219">
        <f t="shared" si="3"/>
        <v>1171500</v>
      </c>
      <c r="H70" s="118">
        <f t="shared" si="3"/>
        <v>0</v>
      </c>
      <c r="I70" s="118">
        <f t="shared" si="3"/>
        <v>0</v>
      </c>
      <c r="J70" s="219">
        <f t="shared" si="3"/>
        <v>0</v>
      </c>
      <c r="K70" s="118">
        <v>0</v>
      </c>
      <c r="L70" s="118">
        <v>0</v>
      </c>
      <c r="M70" s="327">
        <f>M9+M11+M13+M14+M15+M25+M26+M27+M28+M29+M30+M31+M32+M37+M38+M39+M41+M42+M43+M44+M45+M47+M48+M50+M51+M52+M53+M54+M55+M56+M57+M58+M59+M60+M65+M66+M67+M68+M69</f>
        <v>1171500</v>
      </c>
      <c r="N70" s="51" t="s">
        <v>10</v>
      </c>
    </row>
    <row r="71" spans="1:14" ht="15" x14ac:dyDescent="0.25">
      <c r="A71" s="218" t="s">
        <v>97</v>
      </c>
      <c r="B71" s="120"/>
      <c r="C71" s="120"/>
      <c r="D71" s="216">
        <v>-34331</v>
      </c>
      <c r="E71" s="120"/>
      <c r="F71" s="120"/>
      <c r="G71" s="216">
        <v>-45000</v>
      </c>
      <c r="H71" s="120"/>
      <c r="I71" s="120"/>
      <c r="J71" s="216">
        <v>0</v>
      </c>
      <c r="K71" s="120"/>
      <c r="L71" s="120"/>
      <c r="M71" s="215">
        <f>G71+J71</f>
        <v>-45000</v>
      </c>
      <c r="N71" s="51" t="s">
        <v>10</v>
      </c>
    </row>
    <row r="72" spans="1:14" ht="15" x14ac:dyDescent="0.25">
      <c r="A72" s="214" t="s">
        <v>111</v>
      </c>
      <c r="B72" s="25"/>
      <c r="C72" s="25"/>
      <c r="D72" s="212">
        <f>SUM(D70:D71)</f>
        <v>1026137.2547063972</v>
      </c>
      <c r="E72" s="25"/>
      <c r="F72" s="25"/>
      <c r="G72" s="212">
        <f>SUM(G70:G71)</f>
        <v>1126500</v>
      </c>
      <c r="H72" s="25"/>
      <c r="I72" s="25"/>
      <c r="J72" s="212">
        <v>0</v>
      </c>
      <c r="K72" s="25"/>
      <c r="L72" s="25"/>
      <c r="M72" s="325">
        <f>G72+J72</f>
        <v>1126500</v>
      </c>
      <c r="N72" s="51" t="s">
        <v>10</v>
      </c>
    </row>
    <row r="73" spans="1:14" x14ac:dyDescent="0.2">
      <c r="A73" s="210" t="s">
        <v>13</v>
      </c>
      <c r="B73" s="209"/>
      <c r="C73" s="209">
        <v>0</v>
      </c>
      <c r="D73" s="296"/>
      <c r="E73" s="209"/>
      <c r="F73" s="209">
        <v>0</v>
      </c>
      <c r="G73" s="296"/>
      <c r="H73" s="209"/>
      <c r="I73" s="209">
        <v>0</v>
      </c>
      <c r="J73" s="296"/>
      <c r="K73" s="209"/>
      <c r="L73" s="209">
        <f>F73+I73</f>
        <v>0</v>
      </c>
      <c r="M73" s="329"/>
      <c r="N73" s="51" t="s">
        <v>10</v>
      </c>
    </row>
    <row r="74" spans="1:14" x14ac:dyDescent="0.2">
      <c r="A74" s="207" t="s">
        <v>99</v>
      </c>
      <c r="B74" s="154"/>
      <c r="C74" s="154">
        <f>C70+C73</f>
        <v>0</v>
      </c>
      <c r="D74" s="268"/>
      <c r="E74" s="154"/>
      <c r="F74" s="154">
        <f>F70+F73</f>
        <v>0</v>
      </c>
      <c r="G74" s="268"/>
      <c r="H74" s="154"/>
      <c r="I74" s="154">
        <f>I70+I73</f>
        <v>0</v>
      </c>
      <c r="J74" s="268"/>
      <c r="K74" s="154"/>
      <c r="L74" s="154">
        <f>F74+I74</f>
        <v>0</v>
      </c>
      <c r="M74" s="279"/>
      <c r="N74" s="51" t="s">
        <v>10</v>
      </c>
    </row>
    <row r="75" spans="1:14" x14ac:dyDescent="0.2">
      <c r="A75" s="207"/>
      <c r="B75" s="154"/>
      <c r="C75" s="154"/>
      <c r="D75" s="268"/>
      <c r="E75" s="154"/>
      <c r="F75" s="154"/>
      <c r="G75" s="268"/>
      <c r="H75" s="154"/>
      <c r="I75" s="154"/>
      <c r="J75" s="268"/>
      <c r="K75" s="154"/>
      <c r="L75" s="154"/>
      <c r="M75" s="279"/>
      <c r="N75" s="51" t="s">
        <v>10</v>
      </c>
    </row>
    <row r="76" spans="1:14" x14ac:dyDescent="0.2">
      <c r="A76" s="207" t="s">
        <v>14</v>
      </c>
      <c r="B76" s="154"/>
      <c r="C76" s="154"/>
      <c r="D76" s="268"/>
      <c r="E76" s="154"/>
      <c r="F76" s="154"/>
      <c r="G76" s="268"/>
      <c r="H76" s="154"/>
      <c r="I76" s="154"/>
      <c r="J76" s="268"/>
      <c r="K76" s="154"/>
      <c r="L76" s="154"/>
      <c r="M76" s="279"/>
      <c r="N76" s="51" t="s">
        <v>10</v>
      </c>
    </row>
    <row r="77" spans="1:14" x14ac:dyDescent="0.2">
      <c r="A77" s="206" t="s">
        <v>15</v>
      </c>
      <c r="B77" s="154"/>
      <c r="C77" s="154">
        <v>0</v>
      </c>
      <c r="D77" s="268"/>
      <c r="E77" s="154"/>
      <c r="F77" s="154">
        <v>0</v>
      </c>
      <c r="G77" s="268"/>
      <c r="H77" s="154"/>
      <c r="I77" s="154">
        <v>0</v>
      </c>
      <c r="J77" s="268"/>
      <c r="K77" s="154"/>
      <c r="L77" s="154">
        <f>F77+I77</f>
        <v>0</v>
      </c>
      <c r="M77" s="279"/>
      <c r="N77" s="51" t="s">
        <v>10</v>
      </c>
    </row>
    <row r="78" spans="1:14" x14ac:dyDescent="0.2">
      <c r="A78" s="205" t="s">
        <v>16</v>
      </c>
      <c r="B78" s="204"/>
      <c r="C78" s="204">
        <v>0</v>
      </c>
      <c r="D78" s="334"/>
      <c r="E78" s="204"/>
      <c r="F78" s="204">
        <v>0</v>
      </c>
      <c r="G78" s="334"/>
      <c r="H78" s="204"/>
      <c r="I78" s="204">
        <v>0</v>
      </c>
      <c r="J78" s="334"/>
      <c r="K78" s="204"/>
      <c r="L78" s="204">
        <f>F78+I78</f>
        <v>0</v>
      </c>
      <c r="M78" s="333"/>
      <c r="N78" s="51" t="s">
        <v>10</v>
      </c>
    </row>
    <row r="79" spans="1:14" ht="15" thickBot="1" x14ac:dyDescent="0.25">
      <c r="A79" s="202" t="s">
        <v>100</v>
      </c>
      <c r="B79" s="201"/>
      <c r="C79" s="201">
        <f>C74+C77+C78</f>
        <v>0</v>
      </c>
      <c r="D79" s="332"/>
      <c r="E79" s="201"/>
      <c r="F79" s="201">
        <f>F74+F77+F78</f>
        <v>0</v>
      </c>
      <c r="G79" s="332"/>
      <c r="H79" s="201"/>
      <c r="I79" s="201">
        <f>I74+I77+I78</f>
        <v>0</v>
      </c>
      <c r="J79" s="332"/>
      <c r="K79" s="201"/>
      <c r="L79" s="201">
        <f>F79+I79</f>
        <v>0</v>
      </c>
      <c r="M79" s="331"/>
      <c r="N79" s="51" t="s">
        <v>10</v>
      </c>
    </row>
    <row r="80" spans="1:14" ht="15" thickBot="1" x14ac:dyDescent="0.25">
      <c r="N80" s="51" t="s">
        <v>10</v>
      </c>
    </row>
    <row r="81" spans="1:14" ht="15" x14ac:dyDescent="0.2">
      <c r="A81" s="585" t="s">
        <v>101</v>
      </c>
      <c r="B81" s="588" t="s">
        <v>128</v>
      </c>
      <c r="C81" s="588"/>
      <c r="D81" s="588"/>
      <c r="E81" s="588" t="s">
        <v>129</v>
      </c>
      <c r="F81" s="588"/>
      <c r="G81" s="588"/>
      <c r="H81" s="588" t="s">
        <v>130</v>
      </c>
      <c r="I81" s="588"/>
      <c r="J81" s="589"/>
      <c r="N81" s="51" t="s">
        <v>10</v>
      </c>
    </row>
    <row r="82" spans="1:14" ht="28.5" x14ac:dyDescent="0.2">
      <c r="A82" s="586"/>
      <c r="B82" s="235" t="s">
        <v>2</v>
      </c>
      <c r="C82" s="235" t="s">
        <v>110</v>
      </c>
      <c r="D82" s="235" t="s">
        <v>3</v>
      </c>
      <c r="E82" s="235" t="s">
        <v>2</v>
      </c>
      <c r="F82" s="235" t="s">
        <v>110</v>
      </c>
      <c r="G82" s="235" t="s">
        <v>3</v>
      </c>
      <c r="H82" s="235" t="s">
        <v>2</v>
      </c>
      <c r="I82" s="235" t="s">
        <v>110</v>
      </c>
      <c r="J82" s="234" t="s">
        <v>3</v>
      </c>
      <c r="N82" s="51" t="s">
        <v>10</v>
      </c>
    </row>
    <row r="83" spans="1:14" x14ac:dyDescent="0.2">
      <c r="A83" s="173" t="str">
        <f t="shared" ref="A83:A98" si="4">A9</f>
        <v>Adam Walsh Act</v>
      </c>
      <c r="B83" s="217">
        <v>0</v>
      </c>
      <c r="C83" s="217">
        <v>0</v>
      </c>
      <c r="D83" s="216">
        <v>0</v>
      </c>
      <c r="E83" s="217">
        <v>0</v>
      </c>
      <c r="F83" s="217">
        <v>0</v>
      </c>
      <c r="G83" s="216">
        <v>0</v>
      </c>
      <c r="H83" s="217">
        <f>K9+B83+E83</f>
        <v>0</v>
      </c>
      <c r="I83" s="217">
        <f>L9+C83+F83</f>
        <v>0</v>
      </c>
      <c r="J83" s="215">
        <f>M9+D83+G83</f>
        <v>20000</v>
      </c>
      <c r="N83" s="51" t="s">
        <v>10</v>
      </c>
    </row>
    <row r="84" spans="1:14" x14ac:dyDescent="0.2">
      <c r="A84" s="210" t="str">
        <f t="shared" si="4"/>
        <v>Border Initiatives</v>
      </c>
      <c r="B84" s="209">
        <v>0</v>
      </c>
      <c r="C84" s="209">
        <v>0</v>
      </c>
      <c r="D84" s="296">
        <v>0</v>
      </c>
      <c r="E84" s="209">
        <v>0</v>
      </c>
      <c r="F84" s="209">
        <v>0</v>
      </c>
      <c r="G84" s="296">
        <v>0</v>
      </c>
      <c r="H84" s="209">
        <v>0</v>
      </c>
      <c r="I84" s="209">
        <v>0</v>
      </c>
      <c r="J84" s="329">
        <f>M10+D84+G84</f>
        <v>0</v>
      </c>
      <c r="N84" s="51" t="s">
        <v>10</v>
      </c>
    </row>
    <row r="85" spans="1:14" x14ac:dyDescent="0.2">
      <c r="A85" s="210" t="str">
        <f t="shared" si="4"/>
        <v>Bulletproof Vests Partnership</v>
      </c>
      <c r="B85" s="209">
        <v>0</v>
      </c>
      <c r="C85" s="209">
        <v>0</v>
      </c>
      <c r="D85" s="296">
        <v>0</v>
      </c>
      <c r="E85" s="209">
        <v>0</v>
      </c>
      <c r="F85" s="209">
        <v>0</v>
      </c>
      <c r="G85" s="296">
        <v>-22500</v>
      </c>
      <c r="H85" s="209">
        <v>0</v>
      </c>
      <c r="I85" s="209">
        <v>0</v>
      </c>
      <c r="J85" s="329">
        <f t="shared" ref="J85" si="5">M11+D85+G85</f>
        <v>0</v>
      </c>
      <c r="N85" s="51" t="s">
        <v>10</v>
      </c>
    </row>
    <row r="86" spans="1:14" x14ac:dyDescent="0.2">
      <c r="A86" s="330" t="str">
        <f t="shared" si="4"/>
        <v>NIST Transfer</v>
      </c>
      <c r="B86" s="441">
        <v>0</v>
      </c>
      <c r="C86" s="441">
        <v>0</v>
      </c>
      <c r="D86" s="436" t="s">
        <v>480</v>
      </c>
      <c r="E86" s="441">
        <v>0</v>
      </c>
      <c r="F86" s="441">
        <v>0</v>
      </c>
      <c r="G86" s="436" t="s">
        <v>480</v>
      </c>
      <c r="H86" s="441">
        <v>0</v>
      </c>
      <c r="I86" s="441">
        <v>0</v>
      </c>
      <c r="J86" s="437" t="s">
        <v>503</v>
      </c>
      <c r="N86" s="51" t="s">
        <v>10</v>
      </c>
    </row>
    <row r="87" spans="1:14" x14ac:dyDescent="0.2">
      <c r="A87" s="210" t="str">
        <f t="shared" si="4"/>
        <v>Byrne Competitive Grants</v>
      </c>
      <c r="B87" s="209">
        <v>0</v>
      </c>
      <c r="C87" s="209">
        <v>0</v>
      </c>
      <c r="D87" s="296">
        <v>1500</v>
      </c>
      <c r="E87" s="209">
        <v>0</v>
      </c>
      <c r="F87" s="209">
        <v>0</v>
      </c>
      <c r="G87" s="296">
        <v>0</v>
      </c>
      <c r="H87" s="209">
        <v>0</v>
      </c>
      <c r="I87" s="209">
        <v>0</v>
      </c>
      <c r="J87" s="329">
        <f>M13+D87+G87</f>
        <v>15000</v>
      </c>
      <c r="N87" s="51" t="s">
        <v>10</v>
      </c>
    </row>
    <row r="88" spans="1:14" x14ac:dyDescent="0.2">
      <c r="A88" s="210" t="str">
        <f t="shared" si="4"/>
        <v>Byrne Criminal Justice Innovation Program</v>
      </c>
      <c r="B88" s="209">
        <v>0</v>
      </c>
      <c r="C88" s="209">
        <v>0</v>
      </c>
      <c r="D88" s="296">
        <v>19000</v>
      </c>
      <c r="E88" s="209">
        <v>0</v>
      </c>
      <c r="F88" s="209">
        <v>0</v>
      </c>
      <c r="G88" s="296">
        <v>0</v>
      </c>
      <c r="H88" s="209">
        <v>0</v>
      </c>
      <c r="I88" s="209">
        <v>0</v>
      </c>
      <c r="J88" s="329">
        <f>M14+D88+G88</f>
        <v>29500</v>
      </c>
      <c r="N88" s="51" t="s">
        <v>10</v>
      </c>
    </row>
    <row r="89" spans="1:14" x14ac:dyDescent="0.2">
      <c r="A89" s="210" t="str">
        <f t="shared" si="4"/>
        <v xml:space="preserve">Byrne Justice Assistance Grants (JAG) </v>
      </c>
      <c r="B89" s="209">
        <v>0</v>
      </c>
      <c r="C89" s="209">
        <v>0</v>
      </c>
      <c r="D89" s="296">
        <v>0</v>
      </c>
      <c r="E89" s="209">
        <v>0</v>
      </c>
      <c r="F89" s="209">
        <v>0</v>
      </c>
      <c r="G89" s="296">
        <v>0</v>
      </c>
      <c r="H89" s="209">
        <v>0</v>
      </c>
      <c r="I89" s="209">
        <v>0</v>
      </c>
      <c r="J89" s="329">
        <f>M15+D89+G89</f>
        <v>376000</v>
      </c>
      <c r="N89" s="51" t="s">
        <v>10</v>
      </c>
    </row>
    <row r="90" spans="1:14" x14ac:dyDescent="0.2">
      <c r="A90" s="330" t="str">
        <f t="shared" si="4"/>
        <v>Bulletproof Vests Partnership</v>
      </c>
      <c r="B90" s="209">
        <v>0</v>
      </c>
      <c r="C90" s="209">
        <v>0</v>
      </c>
      <c r="D90" s="436" t="s">
        <v>504</v>
      </c>
      <c r="E90" s="209">
        <v>0</v>
      </c>
      <c r="F90" s="209">
        <v>0</v>
      </c>
      <c r="G90" s="436" t="s">
        <v>480</v>
      </c>
      <c r="H90" s="209">
        <v>0</v>
      </c>
      <c r="I90" s="209">
        <v>0</v>
      </c>
      <c r="J90" s="437" t="s">
        <v>504</v>
      </c>
      <c r="N90" s="51" t="s">
        <v>10</v>
      </c>
    </row>
    <row r="91" spans="1:14" x14ac:dyDescent="0.2">
      <c r="A91" s="330" t="str">
        <f>A17</f>
        <v>Justice Reinvestment  Initiative</v>
      </c>
      <c r="B91" s="209">
        <v>0</v>
      </c>
      <c r="C91" s="209">
        <v>0</v>
      </c>
      <c r="D91" s="436" t="s">
        <v>480</v>
      </c>
      <c r="E91" s="209">
        <v>0</v>
      </c>
      <c r="F91" s="209">
        <v>0</v>
      </c>
      <c r="G91" s="436" t="s">
        <v>480</v>
      </c>
      <c r="H91" s="209">
        <v>0</v>
      </c>
      <c r="I91" s="209">
        <v>0</v>
      </c>
      <c r="J91" s="437" t="s">
        <v>480</v>
      </c>
      <c r="N91" s="51" t="s">
        <v>10</v>
      </c>
    </row>
    <row r="92" spans="1:14" x14ac:dyDescent="0.2">
      <c r="A92" s="330" t="str">
        <f t="shared" si="4"/>
        <v>Research on Domestic Radicalization</v>
      </c>
      <c r="B92" s="209">
        <v>0</v>
      </c>
      <c r="C92" s="209">
        <v>0</v>
      </c>
      <c r="D92" s="436" t="s">
        <v>524</v>
      </c>
      <c r="E92" s="209">
        <v>0</v>
      </c>
      <c r="F92" s="209">
        <v>0</v>
      </c>
      <c r="G92" s="436" t="s">
        <v>480</v>
      </c>
      <c r="H92" s="209">
        <v>0</v>
      </c>
      <c r="I92" s="209">
        <v>0</v>
      </c>
      <c r="J92" s="437" t="s">
        <v>480</v>
      </c>
      <c r="N92" s="51" t="s">
        <v>10</v>
      </c>
    </row>
    <row r="93" spans="1:14" x14ac:dyDescent="0.2">
      <c r="A93" s="330" t="str">
        <f t="shared" si="4"/>
        <v>Smart Policing</v>
      </c>
      <c r="B93" s="209">
        <v>0</v>
      </c>
      <c r="C93" s="209">
        <v>0</v>
      </c>
      <c r="D93" s="436" t="s">
        <v>488</v>
      </c>
      <c r="E93" s="209">
        <v>0</v>
      </c>
      <c r="F93" s="209">
        <v>0</v>
      </c>
      <c r="G93" s="436" t="s">
        <v>480</v>
      </c>
      <c r="H93" s="209">
        <v>0</v>
      </c>
      <c r="I93" s="209">
        <v>0</v>
      </c>
      <c r="J93" s="437" t="s">
        <v>495</v>
      </c>
      <c r="N93" s="51" t="s">
        <v>10</v>
      </c>
    </row>
    <row r="94" spans="1:14" x14ac:dyDescent="0.2">
      <c r="A94" s="330" t="str">
        <f t="shared" si="4"/>
        <v>Smart Prosecution</v>
      </c>
      <c r="B94" s="209">
        <v>0</v>
      </c>
      <c r="C94" s="209">
        <v>0</v>
      </c>
      <c r="D94" s="436" t="s">
        <v>489</v>
      </c>
      <c r="E94" s="209">
        <v>0</v>
      </c>
      <c r="F94" s="209">
        <v>0</v>
      </c>
      <c r="G94" s="436" t="s">
        <v>480</v>
      </c>
      <c r="H94" s="209">
        <v>0</v>
      </c>
      <c r="I94" s="209">
        <v>0</v>
      </c>
      <c r="J94" s="437" t="s">
        <v>488</v>
      </c>
      <c r="N94" s="51" t="s">
        <v>10</v>
      </c>
    </row>
    <row r="95" spans="1:14" x14ac:dyDescent="0.2">
      <c r="A95" s="330" t="str">
        <f t="shared" si="4"/>
        <v>State and Local Antiterrorism Training (SLATT)</v>
      </c>
      <c r="B95" s="209">
        <v>0</v>
      </c>
      <c r="C95" s="209">
        <v>0</v>
      </c>
      <c r="D95" s="436" t="s">
        <v>490</v>
      </c>
      <c r="E95" s="209">
        <v>0</v>
      </c>
      <c r="F95" s="209">
        <v>0</v>
      </c>
      <c r="G95" s="436" t="s">
        <v>480</v>
      </c>
      <c r="H95" s="209">
        <v>0</v>
      </c>
      <c r="I95" s="209">
        <v>0</v>
      </c>
      <c r="J95" s="437" t="s">
        <v>493</v>
      </c>
      <c r="N95" s="51" t="s">
        <v>10</v>
      </c>
    </row>
    <row r="96" spans="1:14" x14ac:dyDescent="0.2">
      <c r="A96" s="330" t="str">
        <f t="shared" si="4"/>
        <v>State and Local Assistance Help Desk and Diagnostic Center (E2l)</v>
      </c>
      <c r="B96" s="209">
        <v>0</v>
      </c>
      <c r="C96" s="209">
        <v>0</v>
      </c>
      <c r="D96" s="436" t="s">
        <v>490</v>
      </c>
      <c r="E96" s="209">
        <v>0</v>
      </c>
      <c r="F96" s="209">
        <v>0</v>
      </c>
      <c r="G96" s="436" t="s">
        <v>480</v>
      </c>
      <c r="H96" s="209">
        <v>0</v>
      </c>
      <c r="I96" s="209">
        <v>0</v>
      </c>
      <c r="J96" s="437" t="s">
        <v>493</v>
      </c>
      <c r="N96" s="51" t="s">
        <v>10</v>
      </c>
    </row>
    <row r="97" spans="1:14" x14ac:dyDescent="0.2">
      <c r="A97" s="330" t="str">
        <f t="shared" si="4"/>
        <v>VALOR Initiative</v>
      </c>
      <c r="B97" s="209">
        <v>0</v>
      </c>
      <c r="C97" s="209">
        <v>0</v>
      </c>
      <c r="D97" s="436" t="s">
        <v>480</v>
      </c>
      <c r="E97" s="209">
        <v>0</v>
      </c>
      <c r="F97" s="209">
        <v>0</v>
      </c>
      <c r="G97" s="436" t="s">
        <v>480</v>
      </c>
      <c r="H97" s="209">
        <v>0</v>
      </c>
      <c r="I97" s="209">
        <v>0</v>
      </c>
      <c r="J97" s="437" t="s">
        <v>491</v>
      </c>
      <c r="N97" s="51" t="s">
        <v>10</v>
      </c>
    </row>
    <row r="98" spans="1:14" x14ac:dyDescent="0.2">
      <c r="A98" s="330" t="str">
        <f t="shared" si="4"/>
        <v>Voter Education on Puerto Rico Plebiscite</v>
      </c>
      <c r="B98" s="209">
        <v>0</v>
      </c>
      <c r="C98" s="209">
        <v>0</v>
      </c>
      <c r="D98" s="436" t="s">
        <v>480</v>
      </c>
      <c r="E98" s="209">
        <v>0</v>
      </c>
      <c r="F98" s="209">
        <v>0</v>
      </c>
      <c r="G98" s="436" t="s">
        <v>525</v>
      </c>
      <c r="H98" s="209">
        <v>0</v>
      </c>
      <c r="I98" s="209">
        <v>0</v>
      </c>
      <c r="J98" s="437" t="s">
        <v>489</v>
      </c>
      <c r="N98" s="51" t="s">
        <v>10</v>
      </c>
    </row>
    <row r="99" spans="1:14" x14ac:dyDescent="0.2">
      <c r="A99" s="210" t="s">
        <v>464</v>
      </c>
      <c r="B99" s="209">
        <v>0</v>
      </c>
      <c r="C99" s="209">
        <v>0</v>
      </c>
      <c r="D99" s="296">
        <v>15000</v>
      </c>
      <c r="E99" s="209">
        <v>0</v>
      </c>
      <c r="F99" s="209">
        <v>0</v>
      </c>
      <c r="G99" s="296">
        <v>0</v>
      </c>
      <c r="H99" s="209">
        <v>0</v>
      </c>
      <c r="I99" s="209">
        <v>0</v>
      </c>
      <c r="J99" s="329">
        <f t="shared" ref="J99:J106" si="6">M25+D99+G99</f>
        <v>15000</v>
      </c>
      <c r="N99" s="51" t="s">
        <v>10</v>
      </c>
    </row>
    <row r="100" spans="1:14" x14ac:dyDescent="0.2">
      <c r="A100" s="210" t="str">
        <f>A26</f>
        <v>Campus Public Safety - National Center for Public Safety</v>
      </c>
      <c r="B100" s="209">
        <v>0</v>
      </c>
      <c r="C100" s="209">
        <v>0</v>
      </c>
      <c r="D100" s="296">
        <v>0</v>
      </c>
      <c r="E100" s="209">
        <v>0</v>
      </c>
      <c r="F100" s="209">
        <v>0</v>
      </c>
      <c r="G100" s="296">
        <v>-2000</v>
      </c>
      <c r="H100" s="209">
        <v>0</v>
      </c>
      <c r="I100" s="209">
        <v>0</v>
      </c>
      <c r="J100" s="329">
        <f t="shared" si="6"/>
        <v>0</v>
      </c>
      <c r="N100" s="51" t="s">
        <v>10</v>
      </c>
    </row>
    <row r="101" spans="1:14" x14ac:dyDescent="0.2">
      <c r="A101" s="210" t="str">
        <f>A27</f>
        <v>Capital Litigation Improvement Grant Program</v>
      </c>
      <c r="B101" s="209">
        <v>0</v>
      </c>
      <c r="C101" s="209">
        <v>0</v>
      </c>
      <c r="D101" s="296">
        <v>0</v>
      </c>
      <c r="E101" s="209">
        <v>0</v>
      </c>
      <c r="F101" s="209">
        <v>0</v>
      </c>
      <c r="G101" s="296">
        <v>0</v>
      </c>
      <c r="H101" s="209">
        <v>0</v>
      </c>
      <c r="I101" s="209">
        <v>0</v>
      </c>
      <c r="J101" s="329">
        <f t="shared" si="6"/>
        <v>2000</v>
      </c>
      <c r="N101" s="51" t="s">
        <v>10</v>
      </c>
    </row>
    <row r="102" spans="1:14" x14ac:dyDescent="0.2">
      <c r="A102" s="210" t="s">
        <v>465</v>
      </c>
      <c r="B102" s="209">
        <v>0</v>
      </c>
      <c r="C102" s="209">
        <v>0</v>
      </c>
      <c r="D102" s="296">
        <v>5000</v>
      </c>
      <c r="E102" s="209">
        <v>0</v>
      </c>
      <c r="F102" s="209">
        <v>0</v>
      </c>
      <c r="G102" s="296">
        <v>0</v>
      </c>
      <c r="H102" s="209">
        <v>0</v>
      </c>
      <c r="I102" s="209">
        <v>0</v>
      </c>
      <c r="J102" s="329">
        <f t="shared" si="6"/>
        <v>5000</v>
      </c>
      <c r="N102" s="51" t="s">
        <v>10</v>
      </c>
    </row>
    <row r="103" spans="1:14" x14ac:dyDescent="0.2">
      <c r="A103" s="210" t="s">
        <v>466</v>
      </c>
      <c r="B103" s="209">
        <v>0</v>
      </c>
      <c r="C103" s="209">
        <v>0</v>
      </c>
      <c r="D103" s="296">
        <v>35000</v>
      </c>
      <c r="E103" s="209">
        <v>0</v>
      </c>
      <c r="F103" s="209">
        <v>0</v>
      </c>
      <c r="G103" s="296">
        <v>0</v>
      </c>
      <c r="H103" s="209">
        <v>0</v>
      </c>
      <c r="I103" s="209">
        <v>0</v>
      </c>
      <c r="J103" s="329">
        <f t="shared" si="6"/>
        <v>35000</v>
      </c>
      <c r="N103" s="51" t="s">
        <v>10</v>
      </c>
    </row>
    <row r="104" spans="1:14" x14ac:dyDescent="0.2">
      <c r="A104" s="210" t="str">
        <f t="shared" ref="A104:A116" si="7">A30</f>
        <v>Comprehensive School Safety Initiative</v>
      </c>
      <c r="B104" s="209">
        <v>0</v>
      </c>
      <c r="C104" s="209">
        <v>0</v>
      </c>
      <c r="D104" s="296">
        <v>0</v>
      </c>
      <c r="E104" s="209">
        <v>0</v>
      </c>
      <c r="F104" s="209">
        <v>0</v>
      </c>
      <c r="G104" s="296">
        <v>0</v>
      </c>
      <c r="H104" s="209">
        <v>0</v>
      </c>
      <c r="I104" s="209">
        <v>0</v>
      </c>
      <c r="J104" s="329">
        <f t="shared" si="6"/>
        <v>75000</v>
      </c>
      <c r="N104" s="51" t="s">
        <v>10</v>
      </c>
    </row>
    <row r="105" spans="1:14" x14ac:dyDescent="0.2">
      <c r="A105" s="210" t="str">
        <f t="shared" si="7"/>
        <v xml:space="preserve">Court Appointed Special Advocate Program </v>
      </c>
      <c r="B105" s="209">
        <v>0</v>
      </c>
      <c r="C105" s="209">
        <v>0</v>
      </c>
      <c r="D105" s="296">
        <v>0</v>
      </c>
      <c r="E105" s="209">
        <v>0</v>
      </c>
      <c r="F105" s="209">
        <v>0</v>
      </c>
      <c r="G105" s="296">
        <v>0</v>
      </c>
      <c r="H105" s="209">
        <v>0</v>
      </c>
      <c r="I105" s="209">
        <v>0</v>
      </c>
      <c r="J105" s="329">
        <f t="shared" si="6"/>
        <v>6000</v>
      </c>
      <c r="N105" s="51" t="s">
        <v>10</v>
      </c>
    </row>
    <row r="106" spans="1:14" x14ac:dyDescent="0.2">
      <c r="A106" s="210" t="str">
        <f t="shared" si="7"/>
        <v>DNA Related and Forensic Programs and Activities</v>
      </c>
      <c r="B106" s="209">
        <v>0</v>
      </c>
      <c r="C106" s="209">
        <v>0</v>
      </c>
      <c r="D106" s="296">
        <v>0</v>
      </c>
      <c r="E106" s="209">
        <v>0</v>
      </c>
      <c r="F106" s="209">
        <v>0</v>
      </c>
      <c r="G106" s="296">
        <v>-25000</v>
      </c>
      <c r="H106" s="209">
        <v>0</v>
      </c>
      <c r="I106" s="209">
        <v>0</v>
      </c>
      <c r="J106" s="329">
        <f t="shared" si="6"/>
        <v>100000</v>
      </c>
      <c r="N106" s="51" t="s">
        <v>10</v>
      </c>
    </row>
    <row r="107" spans="1:14" x14ac:dyDescent="0.2">
      <c r="A107" s="330" t="str">
        <f t="shared" si="7"/>
        <v>DNA Backlog</v>
      </c>
      <c r="B107" s="209">
        <v>0</v>
      </c>
      <c r="C107" s="209">
        <v>0</v>
      </c>
      <c r="D107" s="436" t="s">
        <v>480</v>
      </c>
      <c r="E107" s="209">
        <v>0</v>
      </c>
      <c r="F107" s="209">
        <v>0</v>
      </c>
      <c r="G107" s="436" t="s">
        <v>519</v>
      </c>
      <c r="H107" s="209">
        <v>0</v>
      </c>
      <c r="I107" s="209">
        <v>0</v>
      </c>
      <c r="J107" s="437" t="s">
        <v>480</v>
      </c>
      <c r="N107" s="51" t="s">
        <v>10</v>
      </c>
    </row>
    <row r="108" spans="1:14" x14ac:dyDescent="0.2">
      <c r="A108" s="330" t="str">
        <f t="shared" si="7"/>
        <v>Post-Conviction DNA Testing</v>
      </c>
      <c r="B108" s="209">
        <v>0</v>
      </c>
      <c r="C108" s="209">
        <v>0</v>
      </c>
      <c r="D108" s="436" t="s">
        <v>480</v>
      </c>
      <c r="E108" s="209">
        <v>0</v>
      </c>
      <c r="F108" s="209">
        <v>0</v>
      </c>
      <c r="G108" s="436" t="s">
        <v>610</v>
      </c>
      <c r="H108" s="209">
        <v>0</v>
      </c>
      <c r="I108" s="209">
        <v>0</v>
      </c>
      <c r="J108" s="437" t="s">
        <v>480</v>
      </c>
      <c r="N108" s="51" t="s">
        <v>10</v>
      </c>
    </row>
    <row r="109" spans="1:14" x14ac:dyDescent="0.2">
      <c r="A109" s="330" t="str">
        <f t="shared" si="7"/>
        <v>Sexual Assault Nurse Examiners</v>
      </c>
      <c r="B109" s="209">
        <v>0</v>
      </c>
      <c r="C109" s="209">
        <v>0</v>
      </c>
      <c r="D109" s="436" t="s">
        <v>480</v>
      </c>
      <c r="E109" s="209">
        <v>0</v>
      </c>
      <c r="F109" s="209">
        <v>0</v>
      </c>
      <c r="G109" s="436" t="s">
        <v>610</v>
      </c>
      <c r="H109" s="209">
        <v>0</v>
      </c>
      <c r="I109" s="209">
        <v>0</v>
      </c>
      <c r="J109" s="437" t="s">
        <v>480</v>
      </c>
      <c r="N109" s="51" t="s">
        <v>10</v>
      </c>
    </row>
    <row r="110" spans="1:14" x14ac:dyDescent="0.2">
      <c r="A110" s="330" t="str">
        <f t="shared" si="7"/>
        <v>Sexual Assault Kit Backlog Reduction</v>
      </c>
      <c r="B110" s="209">
        <v>0</v>
      </c>
      <c r="C110" s="209">
        <v>0</v>
      </c>
      <c r="D110" s="437" t="s">
        <v>496</v>
      </c>
      <c r="E110" s="209">
        <v>0</v>
      </c>
      <c r="F110" s="209">
        <v>0</v>
      </c>
      <c r="G110" s="436" t="s">
        <v>480</v>
      </c>
      <c r="H110" s="209">
        <v>0</v>
      </c>
      <c r="I110" s="209">
        <v>0</v>
      </c>
      <c r="J110" s="437" t="s">
        <v>496</v>
      </c>
      <c r="N110" s="51" t="s">
        <v>10</v>
      </c>
    </row>
    <row r="111" spans="1:14" x14ac:dyDescent="0.2">
      <c r="A111" s="210" t="str">
        <f t="shared" si="7"/>
        <v>Defending Childhood/Children Exposed to Violence</v>
      </c>
      <c r="B111" s="209">
        <v>0</v>
      </c>
      <c r="C111" s="209">
        <v>0</v>
      </c>
      <c r="D111" s="296">
        <v>15000</v>
      </c>
      <c r="E111" s="209">
        <v>0</v>
      </c>
      <c r="F111" s="209">
        <v>0</v>
      </c>
      <c r="G111" s="296">
        <v>0</v>
      </c>
      <c r="H111" s="209">
        <v>0</v>
      </c>
      <c r="I111" s="209">
        <v>0</v>
      </c>
      <c r="J111" s="329">
        <f>M37+D111+G111</f>
        <v>23000</v>
      </c>
      <c r="N111" s="51" t="s">
        <v>10</v>
      </c>
    </row>
    <row r="112" spans="1:14" x14ac:dyDescent="0.2">
      <c r="A112" s="210" t="str">
        <f t="shared" si="7"/>
        <v xml:space="preserve">Drug Court Program </v>
      </c>
      <c r="B112" s="209">
        <v>0</v>
      </c>
      <c r="C112" s="209">
        <v>0</v>
      </c>
      <c r="D112" s="296">
        <v>0</v>
      </c>
      <c r="E112" s="209">
        <v>0</v>
      </c>
      <c r="F112" s="209">
        <v>0</v>
      </c>
      <c r="G112" s="296">
        <v>-40500</v>
      </c>
      <c r="H112" s="209">
        <v>0</v>
      </c>
      <c r="I112" s="209">
        <v>0</v>
      </c>
      <c r="J112" s="329">
        <f>M38+D112+G112</f>
        <v>0</v>
      </c>
      <c r="N112" s="51" t="s">
        <v>10</v>
      </c>
    </row>
    <row r="113" spans="1:14" x14ac:dyDescent="0.2">
      <c r="A113" s="210" t="str">
        <f t="shared" si="7"/>
        <v>Economic, High-tech, Cybercrime Prevention</v>
      </c>
      <c r="B113" s="209">
        <v>0</v>
      </c>
      <c r="C113" s="209">
        <v>0</v>
      </c>
      <c r="D113" s="296">
        <v>5000</v>
      </c>
      <c r="E113" s="209">
        <v>0</v>
      </c>
      <c r="F113" s="209">
        <v>0</v>
      </c>
      <c r="G113" s="296">
        <v>0</v>
      </c>
      <c r="H113" s="209">
        <v>0</v>
      </c>
      <c r="I113" s="209">
        <v>0</v>
      </c>
      <c r="J113" s="329">
        <f>M39+D113+G113</f>
        <v>15000</v>
      </c>
      <c r="N113" s="51" t="s">
        <v>10</v>
      </c>
    </row>
    <row r="114" spans="1:14" x14ac:dyDescent="0.2">
      <c r="A114" s="330" t="str">
        <f t="shared" si="7"/>
        <v>Intellectual Property Enforcement Program</v>
      </c>
      <c r="B114" s="209">
        <v>0</v>
      </c>
      <c r="C114" s="209">
        <v>0</v>
      </c>
      <c r="D114" s="436" t="s">
        <v>489</v>
      </c>
      <c r="E114" s="209">
        <v>0</v>
      </c>
      <c r="F114" s="209">
        <v>0</v>
      </c>
      <c r="G114" s="436" t="s">
        <v>480</v>
      </c>
      <c r="H114" s="209">
        <v>0</v>
      </c>
      <c r="I114" s="209">
        <v>0</v>
      </c>
      <c r="J114" s="437" t="s">
        <v>489</v>
      </c>
      <c r="N114" s="51" t="s">
        <v>10</v>
      </c>
    </row>
    <row r="115" spans="1:14" x14ac:dyDescent="0.2">
      <c r="A115" s="210" t="str">
        <f t="shared" si="7"/>
        <v>Emergency Law Enforcement Assistance</v>
      </c>
      <c r="B115" s="209">
        <v>0</v>
      </c>
      <c r="C115" s="209">
        <v>0</v>
      </c>
      <c r="D115" s="296">
        <v>0</v>
      </c>
      <c r="E115" s="209">
        <v>0</v>
      </c>
      <c r="F115" s="209">
        <v>0</v>
      </c>
      <c r="G115" s="296">
        <v>0</v>
      </c>
      <c r="H115" s="209">
        <v>0</v>
      </c>
      <c r="I115" s="209">
        <v>0</v>
      </c>
      <c r="J115" s="329">
        <f>M41+D115+G115</f>
        <v>0</v>
      </c>
      <c r="N115" s="51" t="s">
        <v>10</v>
      </c>
    </row>
    <row r="116" spans="1:14" x14ac:dyDescent="0.2">
      <c r="A116" s="207" t="str">
        <f t="shared" si="7"/>
        <v>Indian Country Initiatives</v>
      </c>
      <c r="B116" s="154">
        <v>0</v>
      </c>
      <c r="C116" s="154">
        <v>0</v>
      </c>
      <c r="D116" s="268">
        <v>0</v>
      </c>
      <c r="E116" s="154">
        <v>0</v>
      </c>
      <c r="F116" s="154">
        <v>0</v>
      </c>
      <c r="G116" s="268">
        <v>-30000</v>
      </c>
      <c r="H116" s="154">
        <v>0</v>
      </c>
      <c r="I116" s="154">
        <v>0</v>
      </c>
      <c r="J116" s="279">
        <f>M42+D116+G116</f>
        <v>0</v>
      </c>
      <c r="N116" s="51" t="s">
        <v>10</v>
      </c>
    </row>
    <row r="117" spans="1:14" x14ac:dyDescent="0.2">
      <c r="A117" s="207" t="s">
        <v>467</v>
      </c>
      <c r="B117" s="154">
        <v>0</v>
      </c>
      <c r="C117" s="154">
        <v>0</v>
      </c>
      <c r="D117" s="268">
        <v>5400</v>
      </c>
      <c r="E117" s="154">
        <v>0</v>
      </c>
      <c r="F117" s="154">
        <v>0</v>
      </c>
      <c r="G117" s="268">
        <v>0</v>
      </c>
      <c r="H117" s="154">
        <v>0</v>
      </c>
      <c r="I117" s="154">
        <v>0</v>
      </c>
      <c r="J117" s="279">
        <f>M43+D117+G117</f>
        <v>5400</v>
      </c>
      <c r="N117" s="51" t="s">
        <v>10</v>
      </c>
    </row>
    <row r="118" spans="1:14" x14ac:dyDescent="0.2">
      <c r="A118" s="207" t="str">
        <f>A44</f>
        <v>John R. Justice Loan Repayment Grant Program</v>
      </c>
      <c r="B118" s="154">
        <v>0</v>
      </c>
      <c r="C118" s="154">
        <v>0</v>
      </c>
      <c r="D118" s="268">
        <v>0</v>
      </c>
      <c r="E118" s="154">
        <v>0</v>
      </c>
      <c r="F118" s="154">
        <v>0</v>
      </c>
      <c r="G118" s="268">
        <v>-2000</v>
      </c>
      <c r="H118" s="154">
        <v>0</v>
      </c>
      <c r="I118" s="154">
        <v>0</v>
      </c>
      <c r="J118" s="279">
        <f>M44+D118+G118</f>
        <v>0</v>
      </c>
      <c r="N118" s="51" t="s">
        <v>10</v>
      </c>
    </row>
    <row r="119" spans="1:14" x14ac:dyDescent="0.2">
      <c r="A119" s="207" t="str">
        <f>A45</f>
        <v>Justice Reinvestment (Criminal Justice Reform and Recidivism Reduction)</v>
      </c>
      <c r="B119" s="154">
        <v>0</v>
      </c>
      <c r="C119" s="154">
        <v>0</v>
      </c>
      <c r="D119" s="268">
        <v>2500</v>
      </c>
      <c r="E119" s="154">
        <v>0</v>
      </c>
      <c r="F119" s="154">
        <v>0</v>
      </c>
      <c r="G119" s="268">
        <v>0</v>
      </c>
      <c r="H119" s="154">
        <v>0</v>
      </c>
      <c r="I119" s="154">
        <v>0</v>
      </c>
      <c r="J119" s="279">
        <f>M45+D119+G119</f>
        <v>30000</v>
      </c>
      <c r="N119" s="51" t="s">
        <v>10</v>
      </c>
    </row>
    <row r="120" spans="1:14" x14ac:dyDescent="0.2">
      <c r="A120" s="328" t="str">
        <f>A46</f>
        <v>Task Force on Federal Corrections</v>
      </c>
      <c r="B120" s="154">
        <v>0</v>
      </c>
      <c r="C120" s="154">
        <v>0</v>
      </c>
      <c r="D120" s="436" t="s">
        <v>480</v>
      </c>
      <c r="E120" s="154">
        <v>0</v>
      </c>
      <c r="F120" s="154">
        <v>0</v>
      </c>
      <c r="G120" s="440" t="s">
        <v>490</v>
      </c>
      <c r="H120" s="154">
        <v>0</v>
      </c>
      <c r="I120" s="154">
        <v>0</v>
      </c>
      <c r="J120" s="436" t="s">
        <v>480</v>
      </c>
      <c r="N120" s="51" t="s">
        <v>10</v>
      </c>
    </row>
    <row r="121" spans="1:14" x14ac:dyDescent="0.2">
      <c r="A121" s="207" t="str">
        <f>A47</f>
        <v xml:space="preserve">Mentally Ill Offender Act Program </v>
      </c>
      <c r="B121" s="154">
        <v>0</v>
      </c>
      <c r="C121" s="154">
        <v>0</v>
      </c>
      <c r="D121" s="268">
        <v>0</v>
      </c>
      <c r="E121" s="154">
        <v>0</v>
      </c>
      <c r="F121" s="154">
        <v>0</v>
      </c>
      <c r="G121" s="268">
        <v>-8250</v>
      </c>
      <c r="H121" s="154">
        <v>0</v>
      </c>
      <c r="I121" s="154">
        <v>0</v>
      </c>
      <c r="J121" s="279">
        <f>M47+D121+G121</f>
        <v>0</v>
      </c>
      <c r="N121" s="51" t="s">
        <v>10</v>
      </c>
    </row>
    <row r="122" spans="1:14" x14ac:dyDescent="0.2">
      <c r="A122" s="207" t="str">
        <f>A48</f>
        <v>Missing Alzheimer's Patient Alert Program</v>
      </c>
      <c r="B122" s="154">
        <v>0</v>
      </c>
      <c r="C122" s="154">
        <v>0</v>
      </c>
      <c r="D122" s="268">
        <v>0</v>
      </c>
      <c r="E122" s="154">
        <v>0</v>
      </c>
      <c r="F122" s="154">
        <v>0</v>
      </c>
      <c r="G122" s="268">
        <v>-750</v>
      </c>
      <c r="H122" s="154">
        <v>0</v>
      </c>
      <c r="I122" s="154">
        <v>0</v>
      </c>
      <c r="J122" s="279">
        <f>M48+D122+G122</f>
        <v>0</v>
      </c>
      <c r="N122" s="51" t="s">
        <v>10</v>
      </c>
    </row>
    <row r="123" spans="1:14" x14ac:dyDescent="0.2">
      <c r="A123" s="207" t="s">
        <v>290</v>
      </c>
      <c r="B123" s="154">
        <v>0</v>
      </c>
      <c r="C123" s="154">
        <v>0</v>
      </c>
      <c r="D123" s="268">
        <v>0</v>
      </c>
      <c r="E123" s="154">
        <v>0</v>
      </c>
      <c r="F123" s="154">
        <v>0</v>
      </c>
      <c r="G123" s="440" t="s">
        <v>520</v>
      </c>
      <c r="H123" s="154">
        <v>0</v>
      </c>
      <c r="I123" s="154">
        <v>0</v>
      </c>
      <c r="J123" s="223" t="s">
        <v>514</v>
      </c>
      <c r="N123" s="51" t="s">
        <v>10</v>
      </c>
    </row>
    <row r="124" spans="1:14" x14ac:dyDescent="0.2">
      <c r="A124" s="207" t="s">
        <v>274</v>
      </c>
      <c r="B124" s="154">
        <v>0</v>
      </c>
      <c r="C124" s="154">
        <v>0</v>
      </c>
      <c r="D124" s="268">
        <v>3500</v>
      </c>
      <c r="E124" s="154">
        <v>0</v>
      </c>
      <c r="F124" s="154">
        <v>0</v>
      </c>
      <c r="G124" s="268">
        <v>0</v>
      </c>
      <c r="H124" s="154">
        <v>0</v>
      </c>
      <c r="I124" s="154">
        <v>0</v>
      </c>
      <c r="J124" s="279">
        <f t="shared" ref="J124:J134" si="8">M50+D124+G124</f>
        <v>50000</v>
      </c>
      <c r="N124" s="51" t="s">
        <v>10</v>
      </c>
    </row>
    <row r="125" spans="1:14" x14ac:dyDescent="0.2">
      <c r="A125" s="207" t="s">
        <v>261</v>
      </c>
      <c r="B125" s="154">
        <v>0</v>
      </c>
      <c r="C125" s="154">
        <v>0</v>
      </c>
      <c r="D125" s="268">
        <v>0</v>
      </c>
      <c r="E125" s="154">
        <v>0</v>
      </c>
      <c r="F125" s="154">
        <v>0</v>
      </c>
      <c r="G125" s="268">
        <v>-7000</v>
      </c>
      <c r="H125" s="154">
        <v>0</v>
      </c>
      <c r="I125" s="154">
        <v>0</v>
      </c>
      <c r="J125" s="279">
        <f t="shared" si="8"/>
        <v>5000</v>
      </c>
      <c r="N125" s="51" t="s">
        <v>10</v>
      </c>
    </row>
    <row r="126" spans="1:14" x14ac:dyDescent="0.2">
      <c r="A126" s="207" t="str">
        <f>A52</f>
        <v xml:space="preserve">National Sex Offender Public Website </v>
      </c>
      <c r="B126" s="154">
        <v>0</v>
      </c>
      <c r="C126" s="154">
        <v>0</v>
      </c>
      <c r="D126" s="268">
        <v>0</v>
      </c>
      <c r="E126" s="154">
        <v>0</v>
      </c>
      <c r="F126" s="154">
        <v>0</v>
      </c>
      <c r="G126" s="268">
        <v>0</v>
      </c>
      <c r="H126" s="154">
        <v>0</v>
      </c>
      <c r="I126" s="154">
        <v>0</v>
      </c>
      <c r="J126" s="279">
        <f t="shared" si="8"/>
        <v>1000</v>
      </c>
      <c r="N126" s="51" t="s">
        <v>10</v>
      </c>
    </row>
    <row r="127" spans="1:14" x14ac:dyDescent="0.2">
      <c r="A127" s="207" t="str">
        <f>A53</f>
        <v>Paul Coverdell Grants</v>
      </c>
      <c r="B127" s="154">
        <v>0</v>
      </c>
      <c r="C127" s="154">
        <v>0</v>
      </c>
      <c r="D127" s="268">
        <v>0</v>
      </c>
      <c r="E127" s="154">
        <v>0</v>
      </c>
      <c r="F127" s="154">
        <v>0</v>
      </c>
      <c r="G127" s="268">
        <v>-12000</v>
      </c>
      <c r="H127" s="154">
        <v>0</v>
      </c>
      <c r="I127" s="154">
        <v>0</v>
      </c>
      <c r="J127" s="279">
        <f t="shared" si="8"/>
        <v>0</v>
      </c>
      <c r="N127" s="51" t="s">
        <v>10</v>
      </c>
    </row>
    <row r="128" spans="1:14" x14ac:dyDescent="0.2">
      <c r="A128" s="207" t="str">
        <f>A54</f>
        <v>Prescription Drug Monitoring Program</v>
      </c>
      <c r="B128" s="154">
        <v>0</v>
      </c>
      <c r="C128" s="154">
        <v>0</v>
      </c>
      <c r="D128" s="268">
        <v>0</v>
      </c>
      <c r="E128" s="154">
        <v>0</v>
      </c>
      <c r="F128" s="154">
        <v>0</v>
      </c>
      <c r="G128" s="268">
        <v>0</v>
      </c>
      <c r="H128" s="154">
        <v>0</v>
      </c>
      <c r="I128" s="154">
        <v>0</v>
      </c>
      <c r="J128" s="279">
        <f t="shared" si="8"/>
        <v>7000</v>
      </c>
      <c r="N128" s="51" t="s">
        <v>10</v>
      </c>
    </row>
    <row r="129" spans="1:14" x14ac:dyDescent="0.2">
      <c r="A129" s="207" t="str">
        <f>A55</f>
        <v>Prison Rape Prevention and Prosecution Program</v>
      </c>
      <c r="B129" s="154">
        <v>0</v>
      </c>
      <c r="C129" s="154">
        <v>0</v>
      </c>
      <c r="D129" s="268">
        <v>0</v>
      </c>
      <c r="E129" s="154">
        <v>0</v>
      </c>
      <c r="F129" s="154">
        <v>0</v>
      </c>
      <c r="G129" s="268">
        <v>-2000</v>
      </c>
      <c r="H129" s="154">
        <v>0</v>
      </c>
      <c r="I129" s="154">
        <v>0</v>
      </c>
      <c r="J129" s="279">
        <f t="shared" si="8"/>
        <v>10500</v>
      </c>
      <c r="N129" s="51" t="s">
        <v>10</v>
      </c>
    </row>
    <row r="130" spans="1:14" x14ac:dyDescent="0.2">
      <c r="A130" s="207" t="str">
        <f>A56</f>
        <v>Problem Solving Courts (Drug, Mental Health, Other) / Problem Solving Justice</v>
      </c>
      <c r="B130" s="154">
        <v>0</v>
      </c>
      <c r="C130" s="154">
        <v>0</v>
      </c>
      <c r="D130" s="268">
        <v>44000</v>
      </c>
      <c r="E130" s="154">
        <v>0</v>
      </c>
      <c r="F130" s="154">
        <v>0</v>
      </c>
      <c r="G130" s="268">
        <v>0</v>
      </c>
      <c r="H130" s="154">
        <v>0</v>
      </c>
      <c r="I130" s="154">
        <v>0</v>
      </c>
      <c r="J130" s="279">
        <f t="shared" si="8"/>
        <v>44000</v>
      </c>
      <c r="N130" s="51" t="s">
        <v>10</v>
      </c>
    </row>
    <row r="131" spans="1:14" x14ac:dyDescent="0.2">
      <c r="A131" s="207" t="s">
        <v>468</v>
      </c>
      <c r="B131" s="154">
        <v>0</v>
      </c>
      <c r="C131" s="154">
        <v>0</v>
      </c>
      <c r="D131" s="268">
        <v>9000</v>
      </c>
      <c r="E131" s="154">
        <v>0</v>
      </c>
      <c r="F131" s="154">
        <v>0</v>
      </c>
      <c r="G131" s="268">
        <v>0</v>
      </c>
      <c r="H131" s="154">
        <v>0</v>
      </c>
      <c r="I131" s="154">
        <v>0</v>
      </c>
      <c r="J131" s="279">
        <f t="shared" si="8"/>
        <v>9000</v>
      </c>
      <c r="N131" s="51" t="s">
        <v>10</v>
      </c>
    </row>
    <row r="132" spans="1:14" x14ac:dyDescent="0.2">
      <c r="A132" s="207" t="str">
        <f t="shared" ref="A132:A143" si="9">A58</f>
        <v xml:space="preserve">Project Hope Opportunity Probation with Enforcement (HOPE) </v>
      </c>
      <c r="B132" s="154">
        <v>0</v>
      </c>
      <c r="C132" s="154">
        <v>0</v>
      </c>
      <c r="D132" s="268">
        <v>6000</v>
      </c>
      <c r="E132" s="154">
        <v>0</v>
      </c>
      <c r="F132" s="154">
        <v>0</v>
      </c>
      <c r="G132" s="268">
        <v>0</v>
      </c>
      <c r="H132" s="154">
        <v>0</v>
      </c>
      <c r="I132" s="154">
        <v>0</v>
      </c>
      <c r="J132" s="279">
        <f t="shared" si="8"/>
        <v>10000</v>
      </c>
      <c r="N132" s="51" t="s">
        <v>10</v>
      </c>
    </row>
    <row r="133" spans="1:14" x14ac:dyDescent="0.2">
      <c r="A133" s="207" t="str">
        <f t="shared" si="9"/>
        <v>Residential Substance Abuse Treatment</v>
      </c>
      <c r="B133" s="154">
        <v>0</v>
      </c>
      <c r="C133" s="154">
        <v>0</v>
      </c>
      <c r="D133" s="268">
        <v>4000</v>
      </c>
      <c r="E133" s="154">
        <v>0</v>
      </c>
      <c r="F133" s="154">
        <v>0</v>
      </c>
      <c r="G133" s="268">
        <v>0</v>
      </c>
      <c r="H133" s="154">
        <v>0</v>
      </c>
      <c r="I133" s="154">
        <v>0</v>
      </c>
      <c r="J133" s="279">
        <f t="shared" si="8"/>
        <v>14000</v>
      </c>
      <c r="N133" s="51" t="s">
        <v>10</v>
      </c>
    </row>
    <row r="134" spans="1:14" x14ac:dyDescent="0.2">
      <c r="A134" s="207" t="str">
        <f t="shared" si="9"/>
        <v xml:space="preserve">Second Chance Act/Offender Re-entry </v>
      </c>
      <c r="B134" s="154">
        <v>0</v>
      </c>
      <c r="C134" s="154">
        <v>0</v>
      </c>
      <c r="D134" s="268">
        <v>47250</v>
      </c>
      <c r="E134" s="154">
        <v>0</v>
      </c>
      <c r="F134" s="154">
        <v>0</v>
      </c>
      <c r="G134" s="268">
        <v>0</v>
      </c>
      <c r="H134" s="154">
        <v>0</v>
      </c>
      <c r="I134" s="154">
        <v>0</v>
      </c>
      <c r="J134" s="279">
        <f t="shared" si="8"/>
        <v>115000</v>
      </c>
      <c r="N134" s="51" t="s">
        <v>10</v>
      </c>
    </row>
    <row r="135" spans="1:14" x14ac:dyDescent="0.2">
      <c r="A135" s="328" t="str">
        <f t="shared" si="9"/>
        <v>Children of Incarcerated Parents Demonstration Grants</v>
      </c>
      <c r="B135" s="154">
        <v>0</v>
      </c>
      <c r="C135" s="154">
        <v>0</v>
      </c>
      <c r="D135" s="440" t="s">
        <v>521</v>
      </c>
      <c r="E135" s="154">
        <v>0</v>
      </c>
      <c r="F135" s="154">
        <v>0</v>
      </c>
      <c r="G135" s="436" t="s">
        <v>480</v>
      </c>
      <c r="H135" s="154">
        <v>0</v>
      </c>
      <c r="I135" s="154">
        <v>0</v>
      </c>
      <c r="J135" s="223" t="s">
        <v>488</v>
      </c>
      <c r="N135" s="51" t="s">
        <v>10</v>
      </c>
    </row>
    <row r="136" spans="1:14" x14ac:dyDescent="0.2">
      <c r="A136" s="328" t="str">
        <f t="shared" si="9"/>
        <v xml:space="preserve">Pay for Success  (discretionary) </v>
      </c>
      <c r="B136" s="154">
        <v>0</v>
      </c>
      <c r="C136" s="154">
        <v>0</v>
      </c>
      <c r="D136" s="440" t="s">
        <v>522</v>
      </c>
      <c r="E136" s="154">
        <v>0</v>
      </c>
      <c r="F136" s="154">
        <v>0</v>
      </c>
      <c r="G136" s="436" t="s">
        <v>480</v>
      </c>
      <c r="H136" s="154">
        <v>0</v>
      </c>
      <c r="I136" s="154">
        <v>0</v>
      </c>
      <c r="J136" s="223" t="s">
        <v>497</v>
      </c>
      <c r="N136" s="51" t="s">
        <v>10</v>
      </c>
    </row>
    <row r="137" spans="1:14" x14ac:dyDescent="0.2">
      <c r="A137" s="328" t="str">
        <f t="shared" si="9"/>
        <v xml:space="preserve">Pay for Success (Permanent Supportive Housing Model) </v>
      </c>
      <c r="B137" s="154">
        <v>0</v>
      </c>
      <c r="C137" s="154">
        <v>0</v>
      </c>
      <c r="D137" s="440" t="s">
        <v>488</v>
      </c>
      <c r="E137" s="154">
        <v>0</v>
      </c>
      <c r="F137" s="154">
        <v>0</v>
      </c>
      <c r="G137" s="436" t="s">
        <v>480</v>
      </c>
      <c r="H137" s="154">
        <v>0</v>
      </c>
      <c r="I137" s="154">
        <v>0</v>
      </c>
      <c r="J137" s="223" t="s">
        <v>495</v>
      </c>
      <c r="N137" s="51" t="s">
        <v>10</v>
      </c>
    </row>
    <row r="138" spans="1:14" x14ac:dyDescent="0.2">
      <c r="A138" s="328" t="str">
        <f t="shared" si="9"/>
        <v>Smart Probation</v>
      </c>
      <c r="B138" s="154">
        <v>0</v>
      </c>
      <c r="C138" s="154">
        <v>0</v>
      </c>
      <c r="D138" s="440" t="s">
        <v>494</v>
      </c>
      <c r="E138" s="154">
        <v>0</v>
      </c>
      <c r="F138" s="154">
        <v>0</v>
      </c>
      <c r="G138" s="436" t="s">
        <v>480</v>
      </c>
      <c r="H138" s="154">
        <v>0</v>
      </c>
      <c r="I138" s="154">
        <v>0</v>
      </c>
      <c r="J138" s="223" t="s">
        <v>495</v>
      </c>
      <c r="N138" s="51" t="s">
        <v>10</v>
      </c>
    </row>
    <row r="139" spans="1:14" x14ac:dyDescent="0.2">
      <c r="A139" s="207" t="str">
        <f t="shared" si="9"/>
        <v>State Criminal Alien Assistance Program (SCAAP)</v>
      </c>
      <c r="B139" s="154">
        <v>0</v>
      </c>
      <c r="C139" s="154">
        <v>0</v>
      </c>
      <c r="D139" s="268">
        <v>0</v>
      </c>
      <c r="E139" s="154">
        <v>0</v>
      </c>
      <c r="F139" s="154">
        <v>0</v>
      </c>
      <c r="G139" s="268">
        <v>-180000</v>
      </c>
      <c r="H139" s="154">
        <v>0</v>
      </c>
      <c r="I139" s="154">
        <v>0</v>
      </c>
      <c r="J139" s="279">
        <f>M65+D139+G139</f>
        <v>0</v>
      </c>
      <c r="N139" s="51" t="s">
        <v>10</v>
      </c>
    </row>
    <row r="140" spans="1:14" x14ac:dyDescent="0.2">
      <c r="A140" s="207" t="str">
        <f t="shared" si="9"/>
        <v>Veterans Treatment Courts</v>
      </c>
      <c r="B140" s="154">
        <v>0</v>
      </c>
      <c r="C140" s="154">
        <v>0</v>
      </c>
      <c r="D140" s="268">
        <v>0</v>
      </c>
      <c r="E140" s="154">
        <v>0</v>
      </c>
      <c r="F140" s="154">
        <v>0</v>
      </c>
      <c r="G140" s="268">
        <v>-4000</v>
      </c>
      <c r="H140" s="154">
        <v>0</v>
      </c>
      <c r="I140" s="154">
        <v>0</v>
      </c>
      <c r="J140" s="279">
        <f>M66+D140+G140</f>
        <v>0</v>
      </c>
      <c r="N140" s="51" t="s">
        <v>10</v>
      </c>
    </row>
    <row r="141" spans="1:14" x14ac:dyDescent="0.2">
      <c r="A141" s="207" t="str">
        <f t="shared" si="9"/>
        <v>Victims of Trafficking</v>
      </c>
      <c r="B141" s="154">
        <v>0</v>
      </c>
      <c r="C141" s="154">
        <v>0</v>
      </c>
      <c r="D141" s="268">
        <v>0</v>
      </c>
      <c r="E141" s="154">
        <v>0</v>
      </c>
      <c r="F141" s="154">
        <v>0</v>
      </c>
      <c r="G141" s="268">
        <v>-3750</v>
      </c>
      <c r="H141" s="154">
        <v>0</v>
      </c>
      <c r="I141" s="154">
        <v>0</v>
      </c>
      <c r="J141" s="279">
        <f>M67+D141+G141</f>
        <v>10500</v>
      </c>
      <c r="N141" s="51" t="s">
        <v>10</v>
      </c>
    </row>
    <row r="142" spans="1:14" x14ac:dyDescent="0.2">
      <c r="A142" s="207" t="str">
        <f t="shared" si="9"/>
        <v>Violent Gang and Gun Crime Reduction (S&amp;L Gun Crime Prosecution Assistance)</v>
      </c>
      <c r="B142" s="154">
        <v>0</v>
      </c>
      <c r="C142" s="154">
        <v>0</v>
      </c>
      <c r="D142" s="268">
        <v>0</v>
      </c>
      <c r="E142" s="154">
        <v>0</v>
      </c>
      <c r="F142" s="154">
        <v>0</v>
      </c>
      <c r="G142" s="268">
        <v>-3500</v>
      </c>
      <c r="H142" s="154">
        <v>0</v>
      </c>
      <c r="I142" s="154">
        <v>0</v>
      </c>
      <c r="J142" s="279">
        <f>M68+D142+G142</f>
        <v>5000</v>
      </c>
      <c r="N142" s="51" t="s">
        <v>10</v>
      </c>
    </row>
    <row r="143" spans="1:14" x14ac:dyDescent="0.2">
      <c r="A143" s="222" t="str">
        <f t="shared" si="9"/>
        <v>Vision 21</v>
      </c>
      <c r="B143" s="213">
        <v>0</v>
      </c>
      <c r="C143" s="213">
        <v>0</v>
      </c>
      <c r="D143" s="212">
        <v>0</v>
      </c>
      <c r="E143" s="213">
        <v>0</v>
      </c>
      <c r="F143" s="213">
        <v>0</v>
      </c>
      <c r="G143" s="212">
        <v>-12500</v>
      </c>
      <c r="H143" s="213">
        <f>K69+B143+E143</f>
        <v>0</v>
      </c>
      <c r="I143" s="213">
        <f>L69+C143+F143</f>
        <v>0</v>
      </c>
      <c r="J143" s="325">
        <f>M69+D143+G143</f>
        <v>0</v>
      </c>
      <c r="N143" s="51" t="s">
        <v>10</v>
      </c>
    </row>
    <row r="144" spans="1:14" ht="15" x14ac:dyDescent="0.25">
      <c r="A144" s="13" t="s">
        <v>98</v>
      </c>
      <c r="B144" s="118">
        <f t="shared" ref="B144:J144" si="10">SUM(B83:B143)</f>
        <v>0</v>
      </c>
      <c r="C144" s="118">
        <f t="shared" si="10"/>
        <v>0</v>
      </c>
      <c r="D144" s="219">
        <f t="shared" si="10"/>
        <v>217150</v>
      </c>
      <c r="E144" s="118">
        <f t="shared" si="10"/>
        <v>0</v>
      </c>
      <c r="F144" s="118">
        <f t="shared" si="10"/>
        <v>0</v>
      </c>
      <c r="G144" s="219">
        <f t="shared" si="10"/>
        <v>-355750</v>
      </c>
      <c r="H144" s="118">
        <f t="shared" si="10"/>
        <v>0</v>
      </c>
      <c r="I144" s="118">
        <f t="shared" si="10"/>
        <v>0</v>
      </c>
      <c r="J144" s="327">
        <f t="shared" si="10"/>
        <v>1032900</v>
      </c>
      <c r="N144" s="51" t="s">
        <v>10</v>
      </c>
    </row>
    <row r="145" spans="1:14" ht="15" x14ac:dyDescent="0.25">
      <c r="A145" s="218" t="s">
        <v>97</v>
      </c>
      <c r="B145" s="120"/>
      <c r="C145" s="120"/>
      <c r="D145" s="216">
        <v>0</v>
      </c>
      <c r="E145" s="120"/>
      <c r="F145" s="120"/>
      <c r="G145" s="216">
        <v>-45000</v>
      </c>
      <c r="H145" s="120"/>
      <c r="I145" s="120"/>
      <c r="J145" s="215">
        <v>-45000</v>
      </c>
      <c r="L145" s="326"/>
      <c r="N145" s="51" t="s">
        <v>10</v>
      </c>
    </row>
    <row r="146" spans="1:14" ht="15" x14ac:dyDescent="0.25">
      <c r="A146" s="214" t="s">
        <v>111</v>
      </c>
      <c r="B146" s="25"/>
      <c r="C146" s="25"/>
      <c r="D146" s="212">
        <f>SUM(D144:D145)</f>
        <v>217150</v>
      </c>
      <c r="E146" s="25"/>
      <c r="F146" s="25"/>
      <c r="G146" s="212">
        <f>SUM(G144:G145)</f>
        <v>-400750</v>
      </c>
      <c r="H146" s="25"/>
      <c r="I146" s="25"/>
      <c r="J146" s="325">
        <f>J144+J145</f>
        <v>987900</v>
      </c>
      <c r="N146" s="51" t="s">
        <v>10</v>
      </c>
    </row>
    <row r="147" spans="1:14" x14ac:dyDescent="0.2">
      <c r="A147" s="210" t="s">
        <v>13</v>
      </c>
      <c r="B147" s="209"/>
      <c r="C147" s="209">
        <v>0</v>
      </c>
      <c r="D147" s="209"/>
      <c r="E147" s="209"/>
      <c r="F147" s="209">
        <v>0</v>
      </c>
      <c r="G147" s="296"/>
      <c r="H147" s="209"/>
      <c r="I147" s="209">
        <f t="shared" ref="I147:I153" si="11">L73+C147+F147</f>
        <v>0</v>
      </c>
      <c r="J147" s="208"/>
      <c r="N147" s="51" t="s">
        <v>10</v>
      </c>
    </row>
    <row r="148" spans="1:14" x14ac:dyDescent="0.2">
      <c r="A148" s="207" t="s">
        <v>99</v>
      </c>
      <c r="B148" s="154"/>
      <c r="C148" s="154">
        <f>C144+C147</f>
        <v>0</v>
      </c>
      <c r="D148" s="154"/>
      <c r="E148" s="154"/>
      <c r="F148" s="154">
        <f>F144+F147</f>
        <v>0</v>
      </c>
      <c r="G148" s="154"/>
      <c r="H148" s="154"/>
      <c r="I148" s="154">
        <f t="shared" si="11"/>
        <v>0</v>
      </c>
      <c r="J148" s="151"/>
      <c r="N148" s="51" t="s">
        <v>10</v>
      </c>
    </row>
    <row r="149" spans="1:14" x14ac:dyDescent="0.2">
      <c r="A149" s="207"/>
      <c r="B149" s="154"/>
      <c r="C149" s="154"/>
      <c r="D149" s="154"/>
      <c r="E149" s="154"/>
      <c r="F149" s="154"/>
      <c r="G149" s="154"/>
      <c r="H149" s="154"/>
      <c r="I149" s="154">
        <f t="shared" si="11"/>
        <v>0</v>
      </c>
      <c r="J149" s="151"/>
      <c r="N149" s="51" t="s">
        <v>10</v>
      </c>
    </row>
    <row r="150" spans="1:14" x14ac:dyDescent="0.2">
      <c r="A150" s="207" t="s">
        <v>14</v>
      </c>
      <c r="B150" s="154"/>
      <c r="C150" s="154"/>
      <c r="D150" s="154"/>
      <c r="E150" s="154"/>
      <c r="F150" s="154"/>
      <c r="G150" s="154"/>
      <c r="H150" s="154"/>
      <c r="I150" s="154">
        <f t="shared" si="11"/>
        <v>0</v>
      </c>
      <c r="J150" s="151"/>
      <c r="N150" s="51" t="s">
        <v>10</v>
      </c>
    </row>
    <row r="151" spans="1:14" x14ac:dyDescent="0.2">
      <c r="A151" s="206" t="s">
        <v>15</v>
      </c>
      <c r="B151" s="154"/>
      <c r="C151" s="154">
        <v>0</v>
      </c>
      <c r="D151" s="154"/>
      <c r="E151" s="154"/>
      <c r="F151" s="154">
        <v>0</v>
      </c>
      <c r="G151" s="154"/>
      <c r="H151" s="154"/>
      <c r="I151" s="154">
        <f t="shared" si="11"/>
        <v>0</v>
      </c>
      <c r="J151" s="151"/>
      <c r="N151" s="51" t="s">
        <v>10</v>
      </c>
    </row>
    <row r="152" spans="1:14" x14ac:dyDescent="0.2">
      <c r="A152" s="205" t="s">
        <v>16</v>
      </c>
      <c r="B152" s="204"/>
      <c r="C152" s="204">
        <v>0</v>
      </c>
      <c r="D152" s="204"/>
      <c r="E152" s="204"/>
      <c r="F152" s="204">
        <v>0</v>
      </c>
      <c r="G152" s="204"/>
      <c r="H152" s="204"/>
      <c r="I152" s="204">
        <f t="shared" si="11"/>
        <v>0</v>
      </c>
      <c r="J152" s="203"/>
      <c r="N152" s="51" t="s">
        <v>10</v>
      </c>
    </row>
    <row r="153" spans="1:14" ht="15" thickBot="1" x14ac:dyDescent="0.25">
      <c r="A153" s="202" t="s">
        <v>100</v>
      </c>
      <c r="B153" s="201"/>
      <c r="C153" s="201">
        <f>C148+C151+C152</f>
        <v>0</v>
      </c>
      <c r="D153" s="201"/>
      <c r="E153" s="201"/>
      <c r="F153" s="201">
        <f>F148+F151+F152</f>
        <v>0</v>
      </c>
      <c r="G153" s="201"/>
      <c r="H153" s="201"/>
      <c r="I153" s="201">
        <f t="shared" si="11"/>
        <v>0</v>
      </c>
      <c r="J153" s="200"/>
      <c r="N153" s="51" t="s">
        <v>10</v>
      </c>
    </row>
    <row r="154" spans="1:14" x14ac:dyDescent="0.2">
      <c r="N154" s="4" t="s">
        <v>11</v>
      </c>
    </row>
    <row r="155" spans="1:14" x14ac:dyDescent="0.2">
      <c r="A155" s="30"/>
    </row>
    <row r="156" spans="1:14" x14ac:dyDescent="0.2">
      <c r="A156" s="160"/>
    </row>
  </sheetData>
  <customSheetViews>
    <customSheetView guid="{EE916FE7-61FB-4021-ADDD-E082241FC03C}" scale="80" showPageBreaks="1" printArea="1" view="pageBreakPreview" topLeftCell="A79">
      <selection activeCell="D14" sqref="D14"/>
      <pageMargins left="0.7" right="0.7" top="0.75" bottom="0.75" header="0.3" footer="0.3"/>
      <printOptions horizontalCentered="1"/>
      <pageSetup scale="43" orientation="landscape" r:id="rId1"/>
      <headerFooter>
        <oddHeader>&amp;L&amp;"Arial,Bold"&amp;12B. Summary of Requirements</oddHeader>
        <oddFooter>&amp;C&amp;"Arial,Regular"Exhibit B - Summary of Requirements&amp;RState and Local Law Enforcement Assistance</oddFooter>
      </headerFooter>
    </customSheetView>
    <customSheetView guid="{0BB5DC4B-BC2A-4489-BE17-5E267FA1EF63}" scale="80" showPageBreaks="1" printArea="1" view="pageBreakPreview" topLeftCell="A49">
      <selection activeCell="D14" sqref="D14"/>
      <pageMargins left="0.7" right="0.7" top="0.75" bottom="0.75" header="0.3" footer="0.3"/>
      <printOptions horizontalCentered="1"/>
      <pageSetup scale="43" orientation="landscape" r:id="rId2"/>
      <headerFooter>
        <oddHeader>&amp;L&amp;"Arial,Bold"&amp;12B. Summary of Requirements</oddHeader>
        <oddFooter>&amp;C&amp;"Arial,Regular"Exhibit B - Summary of Requirements&amp;RState and Local Law Enforcement Assistance</oddFooter>
      </headerFooter>
    </customSheetView>
    <customSheetView guid="{6C58FFE1-D756-42C4-A1BC-AA7F1DC1E56F}" scale="80" showPageBreaks="1" printArea="1" view="pageBreakPreview" topLeftCell="C1">
      <selection activeCell="K45" sqref="K45"/>
      <pageMargins left="0.7" right="0.7" top="0.75" bottom="0.75" header="0.3" footer="0.3"/>
      <printOptions horizontalCentered="1"/>
      <pageSetup scale="43" orientation="landscape" r:id="rId3"/>
      <headerFooter>
        <oddHeader>&amp;L&amp;"Arial,Bold"&amp;12B. Summary of Requirements</oddHeader>
        <oddFooter>&amp;C&amp;"Arial,Regular"Exhibit B - Summary of Requirements&amp;RState and Local Law Enforcement Assistance</oddFooter>
      </headerFooter>
    </customSheetView>
    <customSheetView guid="{CFA5D1C9-F4C9-4B8D-923D-4C71CB6E7D3B}" scale="80" showPageBreaks="1" printArea="1" view="pageBreakPreview" topLeftCell="A79">
      <selection activeCell="D14" sqref="D14"/>
      <pageMargins left="0.7" right="0.7" top="0.75" bottom="0.75" header="0.3" footer="0.3"/>
      <printOptions horizontalCentered="1"/>
      <pageSetup scale="43" orientation="landscape" r:id="rId4"/>
      <headerFooter>
        <oddHeader>&amp;L&amp;"Arial,Bold"&amp;12B. Summary of Requirements</oddHeader>
        <oddFooter>&amp;C&amp;"Arial,Regular"Exhibit B - Summary of Requirements&amp;RState and Local Law Enforcement Assistance</oddFooter>
      </headerFooter>
    </customSheetView>
    <customSheetView guid="{A788DF77-74F1-49E4-8B34-BFBDB7664F30}" scale="70" showPageBreaks="1" printArea="1" view="pageBreakPreview" topLeftCell="A117">
      <selection activeCell="N82" sqref="N82"/>
      <pageMargins left="0.7" right="0.7" top="0.75" bottom="0.75" header="0.3" footer="0.3"/>
      <printOptions horizontalCentered="1"/>
      <pageSetup scale="43" orientation="landscape" r:id="rId5"/>
      <headerFooter>
        <oddHeader>&amp;L&amp;"Arial,Bold"&amp;12B. Summary of Requirements</oddHeader>
        <oddFooter>&amp;C&amp;"Arial,Regular"Exhibit B - Summary of Requirements&amp;RState and Local Law Enforcement Assistance</oddFooter>
      </headerFooter>
    </customSheetView>
  </customSheetViews>
  <mergeCells count="15">
    <mergeCell ref="A5:M5"/>
    <mergeCell ref="A6:M6"/>
    <mergeCell ref="A81:A82"/>
    <mergeCell ref="A1:M1"/>
    <mergeCell ref="A2:M2"/>
    <mergeCell ref="A3:M3"/>
    <mergeCell ref="A4:M4"/>
    <mergeCell ref="A7:A8"/>
    <mergeCell ref="B7:D7"/>
    <mergeCell ref="E7:G7"/>
    <mergeCell ref="H7:J7"/>
    <mergeCell ref="K7:M7"/>
    <mergeCell ref="B81:D81"/>
    <mergeCell ref="E81:G81"/>
    <mergeCell ref="H81:J81"/>
  </mergeCells>
  <printOptions horizontalCentered="1"/>
  <pageMargins left="0.5" right="0.5" top="0.5" bottom="0.5" header="0.3" footer="0.3"/>
  <pageSetup scale="45" orientation="landscape" r:id="rId6"/>
  <headerFooter>
    <oddHeader>&amp;L&amp;"Arial,Bold"&amp;12B. Summary of Requirements</oddHeader>
    <oddFooter>&amp;C&amp;"Arial,Regular"Exhibit B - Summary of Requirements&amp;RState and Local Law Enforcement Assistance</oddFooter>
  </headerFooter>
  <rowBreaks count="1" manualBreakCount="1">
    <brk id="79"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view="pageBreakPreview" topLeftCell="A13" zoomScale="80" zoomScaleNormal="100" zoomScaleSheetLayoutView="80" workbookViewId="0">
      <selection activeCell="A25" sqref="A25:J43"/>
    </sheetView>
  </sheetViews>
  <sheetFormatPr defaultRowHeight="14.25" x14ac:dyDescent="0.2"/>
  <cols>
    <col min="1" max="1" width="88.140625" style="143" customWidth="1"/>
    <col min="2" max="2" width="45.85546875" style="143" customWidth="1"/>
    <col min="3" max="5" width="8.7109375" style="143" customWidth="1"/>
    <col min="6" max="6" width="12.7109375" style="143" customWidth="1"/>
    <col min="7" max="9" width="8.7109375" style="143" customWidth="1"/>
    <col min="10" max="10" width="12.7109375" style="143" customWidth="1"/>
    <col min="11" max="11" width="14" style="4" bestFit="1" customWidth="1"/>
    <col min="12" max="12" width="4.5703125" style="143" customWidth="1"/>
    <col min="13" max="13" width="122.85546875" style="143" customWidth="1"/>
    <col min="14" max="15" width="8.28515625" style="143" customWidth="1"/>
    <col min="16" max="16" width="12.7109375" style="143" customWidth="1"/>
    <col min="17" max="18" width="8.28515625" style="143" customWidth="1"/>
    <col min="19" max="19" width="12.7109375" style="143" customWidth="1"/>
    <col min="20" max="16384" width="9.140625" style="143"/>
  </cols>
  <sheetData>
    <row r="1" spans="1:19" ht="18" x14ac:dyDescent="0.25">
      <c r="A1" s="577" t="s">
        <v>131</v>
      </c>
      <c r="B1" s="577"/>
      <c r="C1" s="577"/>
      <c r="D1" s="577"/>
      <c r="E1" s="577"/>
      <c r="F1" s="577"/>
      <c r="G1" s="577"/>
      <c r="H1" s="577"/>
      <c r="I1" s="577"/>
      <c r="J1" s="577"/>
      <c r="K1" s="243" t="s">
        <v>10</v>
      </c>
      <c r="L1" s="6"/>
      <c r="M1" s="256"/>
      <c r="N1" s="6"/>
      <c r="O1" s="6"/>
      <c r="P1" s="6"/>
      <c r="Q1" s="6"/>
      <c r="R1" s="6"/>
      <c r="S1" s="6"/>
    </row>
    <row r="2" spans="1:19" ht="18" x14ac:dyDescent="0.25">
      <c r="A2" s="578" t="s">
        <v>152</v>
      </c>
      <c r="B2" s="578"/>
      <c r="C2" s="578"/>
      <c r="D2" s="578"/>
      <c r="E2" s="578"/>
      <c r="F2" s="578"/>
      <c r="G2" s="578"/>
      <c r="H2" s="578"/>
      <c r="I2" s="578"/>
      <c r="J2" s="578"/>
      <c r="K2" s="243" t="s">
        <v>10</v>
      </c>
      <c r="L2" s="7"/>
      <c r="M2" s="255"/>
      <c r="N2" s="7"/>
      <c r="O2" s="7"/>
      <c r="P2" s="7"/>
      <c r="Q2" s="7"/>
      <c r="R2" s="7"/>
      <c r="S2" s="7"/>
    </row>
    <row r="3" spans="1:19" ht="18" x14ac:dyDescent="0.25">
      <c r="A3" s="579" t="s">
        <v>282</v>
      </c>
      <c r="B3" s="579"/>
      <c r="C3" s="579"/>
      <c r="D3" s="579"/>
      <c r="E3" s="579"/>
      <c r="F3" s="579"/>
      <c r="G3" s="579"/>
      <c r="H3" s="579"/>
      <c r="I3" s="579"/>
      <c r="J3" s="579"/>
      <c r="K3" s="243" t="s">
        <v>10</v>
      </c>
      <c r="L3" s="163"/>
      <c r="M3" s="254"/>
      <c r="N3" s="163"/>
      <c r="O3" s="163"/>
      <c r="P3" s="163"/>
      <c r="Q3" s="163"/>
      <c r="R3" s="163"/>
      <c r="S3" s="163"/>
    </row>
    <row r="4" spans="1:19" ht="18" x14ac:dyDescent="0.25">
      <c r="A4" s="608" t="s">
        <v>1</v>
      </c>
      <c r="B4" s="608"/>
      <c r="C4" s="608"/>
      <c r="D4" s="608"/>
      <c r="E4" s="608"/>
      <c r="F4" s="608"/>
      <c r="G4" s="608"/>
      <c r="H4" s="608"/>
      <c r="I4" s="608"/>
      <c r="J4" s="608"/>
      <c r="K4" s="243" t="s">
        <v>10</v>
      </c>
      <c r="L4" s="162"/>
      <c r="M4" s="254"/>
      <c r="N4" s="162"/>
      <c r="O4" s="162"/>
      <c r="P4" s="162"/>
      <c r="Q4" s="162"/>
      <c r="R4" s="162"/>
      <c r="S4" s="162"/>
    </row>
    <row r="5" spans="1:19" ht="18.75" thickBot="1" x14ac:dyDescent="0.3">
      <c r="K5" s="243" t="s">
        <v>10</v>
      </c>
      <c r="M5" s="247"/>
    </row>
    <row r="6" spans="1:19" ht="33.75" customHeight="1" x14ac:dyDescent="0.25">
      <c r="A6" s="585" t="s">
        <v>18</v>
      </c>
      <c r="B6" s="590" t="s">
        <v>146</v>
      </c>
      <c r="C6" s="588" t="s">
        <v>282</v>
      </c>
      <c r="D6" s="588"/>
      <c r="E6" s="588"/>
      <c r="F6" s="588"/>
      <c r="G6" s="588" t="s">
        <v>19</v>
      </c>
      <c r="H6" s="588"/>
      <c r="I6" s="588"/>
      <c r="J6" s="589"/>
      <c r="K6" s="243" t="s">
        <v>10</v>
      </c>
      <c r="M6" s="247"/>
    </row>
    <row r="7" spans="1:19" ht="28.5" x14ac:dyDescent="0.25">
      <c r="A7" s="586"/>
      <c r="B7" s="591"/>
      <c r="C7" s="235" t="s">
        <v>2</v>
      </c>
      <c r="D7" s="235" t="s">
        <v>22</v>
      </c>
      <c r="E7" s="235" t="s">
        <v>110</v>
      </c>
      <c r="F7" s="235" t="s">
        <v>3</v>
      </c>
      <c r="G7" s="235" t="s">
        <v>2</v>
      </c>
      <c r="H7" s="235" t="s">
        <v>22</v>
      </c>
      <c r="I7" s="235" t="s">
        <v>110</v>
      </c>
      <c r="J7" s="234" t="s">
        <v>3</v>
      </c>
      <c r="K7" s="243" t="s">
        <v>10</v>
      </c>
      <c r="M7" s="247"/>
    </row>
    <row r="8" spans="1:19" ht="18" x14ac:dyDescent="0.25">
      <c r="A8" s="156" t="s">
        <v>279</v>
      </c>
      <c r="B8" s="248">
        <v>197</v>
      </c>
      <c r="C8" s="414">
        <v>0</v>
      </c>
      <c r="D8" s="414">
        <v>0</v>
      </c>
      <c r="E8" s="414">
        <v>0</v>
      </c>
      <c r="F8" s="414">
        <f>'B. Summ of Req. - S&amp;L'!D28</f>
        <v>1500</v>
      </c>
      <c r="G8" s="414">
        <f t="shared" ref="G8:G22" si="0">C8</f>
        <v>0</v>
      </c>
      <c r="H8" s="414">
        <f t="shared" ref="H8:H22" si="1">D8</f>
        <v>0</v>
      </c>
      <c r="I8" s="414">
        <f t="shared" ref="I8:I22" si="2">E8</f>
        <v>0</v>
      </c>
      <c r="J8" s="415">
        <f t="shared" ref="J8:J22" si="3">F8</f>
        <v>1500</v>
      </c>
      <c r="K8" s="243" t="s">
        <v>10</v>
      </c>
      <c r="M8" s="244"/>
    </row>
    <row r="9" spans="1:19" ht="18" x14ac:dyDescent="0.25">
      <c r="A9" s="156" t="s">
        <v>278</v>
      </c>
      <c r="B9" s="337">
        <v>164</v>
      </c>
      <c r="C9" s="154">
        <v>0</v>
      </c>
      <c r="D9" s="154">
        <v>0</v>
      </c>
      <c r="E9" s="154">
        <v>0</v>
      </c>
      <c r="F9" s="154">
        <f>'B. Summ of Req. - S&amp;L'!D29</f>
        <v>19000</v>
      </c>
      <c r="G9" s="154">
        <f t="shared" si="0"/>
        <v>0</v>
      </c>
      <c r="H9" s="154">
        <f t="shared" si="1"/>
        <v>0</v>
      </c>
      <c r="I9" s="154">
        <f t="shared" si="2"/>
        <v>0</v>
      </c>
      <c r="J9" s="151">
        <f t="shared" si="3"/>
        <v>19000</v>
      </c>
      <c r="K9" s="243" t="s">
        <v>10</v>
      </c>
      <c r="M9" s="244"/>
    </row>
    <row r="10" spans="1:19" ht="18" x14ac:dyDescent="0.25">
      <c r="A10" s="156" t="s">
        <v>354</v>
      </c>
      <c r="B10" s="337">
        <v>189</v>
      </c>
      <c r="C10" s="154">
        <v>0</v>
      </c>
      <c r="D10" s="154">
        <v>0</v>
      </c>
      <c r="E10" s="154">
        <v>0</v>
      </c>
      <c r="F10" s="154">
        <f>'B. Summ of Req. - S&amp;L'!D30</f>
        <v>15000</v>
      </c>
      <c r="G10" s="154">
        <f t="shared" si="0"/>
        <v>0</v>
      </c>
      <c r="H10" s="154">
        <f t="shared" si="1"/>
        <v>0</v>
      </c>
      <c r="I10" s="154">
        <f t="shared" si="2"/>
        <v>0</v>
      </c>
      <c r="J10" s="151">
        <f t="shared" si="3"/>
        <v>15000</v>
      </c>
      <c r="K10" s="243" t="s">
        <v>10</v>
      </c>
      <c r="M10" s="244"/>
    </row>
    <row r="11" spans="1:19" ht="18" x14ac:dyDescent="0.25">
      <c r="A11" s="156" t="s">
        <v>516</v>
      </c>
      <c r="B11" s="337">
        <v>183</v>
      </c>
      <c r="C11" s="154">
        <v>0</v>
      </c>
      <c r="D11" s="154">
        <v>0</v>
      </c>
      <c r="E11" s="154">
        <v>0</v>
      </c>
      <c r="F11" s="154">
        <f>'B. Summ of Req. - S&amp;L'!D31</f>
        <v>5000</v>
      </c>
      <c r="G11" s="154">
        <f t="shared" si="0"/>
        <v>0</v>
      </c>
      <c r="H11" s="154">
        <f t="shared" si="1"/>
        <v>0</v>
      </c>
      <c r="I11" s="154">
        <f t="shared" si="2"/>
        <v>0</v>
      </c>
      <c r="J11" s="151">
        <f t="shared" si="3"/>
        <v>5000</v>
      </c>
      <c r="K11" s="243" t="s">
        <v>10</v>
      </c>
      <c r="M11" s="5"/>
    </row>
    <row r="12" spans="1:19" ht="18" x14ac:dyDescent="0.25">
      <c r="A12" s="156" t="s">
        <v>382</v>
      </c>
      <c r="B12" s="337">
        <v>179</v>
      </c>
      <c r="C12" s="154">
        <v>0</v>
      </c>
      <c r="D12" s="154">
        <v>0</v>
      </c>
      <c r="E12" s="154">
        <v>0</v>
      </c>
      <c r="F12" s="154">
        <f>'B. Summ of Req. - S&amp;L'!D32</f>
        <v>35000</v>
      </c>
      <c r="G12" s="154">
        <f t="shared" si="0"/>
        <v>0</v>
      </c>
      <c r="H12" s="154">
        <f t="shared" si="1"/>
        <v>0</v>
      </c>
      <c r="I12" s="154">
        <f t="shared" si="2"/>
        <v>0</v>
      </c>
      <c r="J12" s="151">
        <f t="shared" si="3"/>
        <v>35000</v>
      </c>
      <c r="K12" s="243" t="s">
        <v>10</v>
      </c>
      <c r="M12" s="5"/>
    </row>
    <row r="13" spans="1:19" ht="18" x14ac:dyDescent="0.25">
      <c r="A13" s="156" t="s">
        <v>277</v>
      </c>
      <c r="B13" s="337">
        <v>114</v>
      </c>
      <c r="C13" s="154">
        <v>0</v>
      </c>
      <c r="D13" s="154">
        <v>0</v>
      </c>
      <c r="E13" s="154">
        <v>0</v>
      </c>
      <c r="F13" s="154">
        <f>'B. Summ of Req. - S&amp;L'!D33</f>
        <v>15000</v>
      </c>
      <c r="G13" s="154">
        <f t="shared" si="0"/>
        <v>0</v>
      </c>
      <c r="H13" s="154">
        <f t="shared" si="1"/>
        <v>0</v>
      </c>
      <c r="I13" s="154">
        <f t="shared" si="2"/>
        <v>0</v>
      </c>
      <c r="J13" s="151">
        <f t="shared" si="3"/>
        <v>15000</v>
      </c>
      <c r="K13" s="243" t="s">
        <v>10</v>
      </c>
      <c r="M13" s="5"/>
    </row>
    <row r="14" spans="1:19" ht="18" x14ac:dyDescent="0.25">
      <c r="A14" s="156" t="s">
        <v>276</v>
      </c>
      <c r="B14" s="337">
        <v>193</v>
      </c>
      <c r="C14" s="154">
        <v>0</v>
      </c>
      <c r="D14" s="154">
        <v>0</v>
      </c>
      <c r="E14" s="154">
        <v>0</v>
      </c>
      <c r="F14" s="154">
        <f>'B. Summ of Req. - S&amp;L'!D34</f>
        <v>5000</v>
      </c>
      <c r="G14" s="154">
        <f t="shared" si="0"/>
        <v>0</v>
      </c>
      <c r="H14" s="154">
        <f t="shared" si="1"/>
        <v>0</v>
      </c>
      <c r="I14" s="154">
        <f t="shared" si="2"/>
        <v>0</v>
      </c>
      <c r="J14" s="151">
        <f t="shared" si="3"/>
        <v>5000</v>
      </c>
      <c r="K14" s="243" t="s">
        <v>10</v>
      </c>
      <c r="M14" s="5"/>
    </row>
    <row r="15" spans="1:19" ht="18" x14ac:dyDescent="0.25">
      <c r="A15" s="156" t="s">
        <v>462</v>
      </c>
      <c r="B15" s="337">
        <v>135</v>
      </c>
      <c r="C15" s="154">
        <v>0</v>
      </c>
      <c r="D15" s="154">
        <v>0</v>
      </c>
      <c r="E15" s="154">
        <v>0</v>
      </c>
      <c r="F15" s="154">
        <f>'B. Summ of Req. - S&amp;L'!D35</f>
        <v>5400</v>
      </c>
      <c r="G15" s="154">
        <f t="shared" si="0"/>
        <v>0</v>
      </c>
      <c r="H15" s="154">
        <f t="shared" si="1"/>
        <v>0</v>
      </c>
      <c r="I15" s="154">
        <f t="shared" si="2"/>
        <v>0</v>
      </c>
      <c r="J15" s="151">
        <f t="shared" si="3"/>
        <v>5400</v>
      </c>
      <c r="K15" s="243" t="s">
        <v>10</v>
      </c>
      <c r="M15" s="5"/>
    </row>
    <row r="16" spans="1:19" ht="18" x14ac:dyDescent="0.25">
      <c r="A16" s="156" t="s">
        <v>275</v>
      </c>
      <c r="B16" s="337">
        <v>197</v>
      </c>
      <c r="C16" s="154">
        <v>0</v>
      </c>
      <c r="D16" s="154">
        <v>0</v>
      </c>
      <c r="E16" s="154">
        <v>0</v>
      </c>
      <c r="F16" s="154">
        <f>'B. Summ of Req. - S&amp;L'!D36</f>
        <v>2500</v>
      </c>
      <c r="G16" s="154">
        <f t="shared" si="0"/>
        <v>0</v>
      </c>
      <c r="H16" s="154">
        <f t="shared" si="1"/>
        <v>0</v>
      </c>
      <c r="I16" s="154">
        <f t="shared" si="2"/>
        <v>0</v>
      </c>
      <c r="J16" s="151">
        <f t="shared" si="3"/>
        <v>2500</v>
      </c>
      <c r="K16" s="243" t="s">
        <v>10</v>
      </c>
      <c r="M16" s="5"/>
    </row>
    <row r="17" spans="1:13" ht="18" x14ac:dyDescent="0.25">
      <c r="A17" s="156" t="s">
        <v>342</v>
      </c>
      <c r="B17" s="337">
        <v>173</v>
      </c>
      <c r="C17" s="268">
        <v>0</v>
      </c>
      <c r="D17" s="154">
        <v>0</v>
      </c>
      <c r="E17" s="154">
        <v>0</v>
      </c>
      <c r="F17" s="268">
        <v>3500</v>
      </c>
      <c r="G17" s="268">
        <f t="shared" si="0"/>
        <v>0</v>
      </c>
      <c r="H17" s="268">
        <f t="shared" si="1"/>
        <v>0</v>
      </c>
      <c r="I17" s="268">
        <f t="shared" si="2"/>
        <v>0</v>
      </c>
      <c r="J17" s="279">
        <f t="shared" si="3"/>
        <v>3500</v>
      </c>
      <c r="K17" s="243" t="s">
        <v>10</v>
      </c>
      <c r="M17" s="5"/>
    </row>
    <row r="18" spans="1:13" ht="18" x14ac:dyDescent="0.25">
      <c r="A18" s="156" t="s">
        <v>517</v>
      </c>
      <c r="B18" s="337">
        <v>168</v>
      </c>
      <c r="C18" s="154">
        <v>0</v>
      </c>
      <c r="D18" s="154">
        <v>0</v>
      </c>
      <c r="E18" s="154">
        <v>0</v>
      </c>
      <c r="F18" s="154">
        <f>'B. Summ of Req. - S&amp;L'!D38</f>
        <v>44000</v>
      </c>
      <c r="G18" s="154">
        <f t="shared" si="0"/>
        <v>0</v>
      </c>
      <c r="H18" s="154">
        <f t="shared" si="1"/>
        <v>0</v>
      </c>
      <c r="I18" s="154">
        <f t="shared" si="2"/>
        <v>0</v>
      </c>
      <c r="J18" s="151">
        <f t="shared" si="3"/>
        <v>44000</v>
      </c>
      <c r="K18" s="243" t="s">
        <v>10</v>
      </c>
      <c r="M18" s="5"/>
    </row>
    <row r="19" spans="1:13" ht="18" x14ac:dyDescent="0.25">
      <c r="A19" s="156" t="s">
        <v>463</v>
      </c>
      <c r="B19" s="337">
        <v>131</v>
      </c>
      <c r="C19" s="154">
        <v>0</v>
      </c>
      <c r="D19" s="154">
        <v>0</v>
      </c>
      <c r="E19" s="154">
        <v>0</v>
      </c>
      <c r="F19" s="154">
        <f>'B. Summ of Req. - S&amp;L'!D39</f>
        <v>9000</v>
      </c>
      <c r="G19" s="154">
        <f t="shared" si="0"/>
        <v>0</v>
      </c>
      <c r="H19" s="154">
        <f t="shared" si="1"/>
        <v>0</v>
      </c>
      <c r="I19" s="154">
        <f t="shared" si="2"/>
        <v>0</v>
      </c>
      <c r="J19" s="151">
        <f t="shared" si="3"/>
        <v>9000</v>
      </c>
      <c r="K19" s="243" t="s">
        <v>10</v>
      </c>
      <c r="M19" s="5"/>
    </row>
    <row r="20" spans="1:13" ht="18" x14ac:dyDescent="0.25">
      <c r="A20" s="156" t="s">
        <v>518</v>
      </c>
      <c r="B20" s="337">
        <v>160</v>
      </c>
      <c r="C20" s="154">
        <v>0</v>
      </c>
      <c r="D20" s="154">
        <v>0</v>
      </c>
      <c r="E20" s="154">
        <v>0</v>
      </c>
      <c r="F20" s="154">
        <f>'B. Summ of Req. - S&amp;L'!D40</f>
        <v>6000</v>
      </c>
      <c r="G20" s="154">
        <f t="shared" si="0"/>
        <v>0</v>
      </c>
      <c r="H20" s="154">
        <f t="shared" si="1"/>
        <v>0</v>
      </c>
      <c r="I20" s="154">
        <f t="shared" si="2"/>
        <v>0</v>
      </c>
      <c r="J20" s="151">
        <f t="shared" si="3"/>
        <v>6000</v>
      </c>
      <c r="K20" s="243" t="s">
        <v>10</v>
      </c>
      <c r="M20" s="5"/>
    </row>
    <row r="21" spans="1:13" ht="18" x14ac:dyDescent="0.25">
      <c r="A21" s="156" t="s">
        <v>271</v>
      </c>
      <c r="B21" s="337">
        <v>186</v>
      </c>
      <c r="C21" s="154">
        <v>0</v>
      </c>
      <c r="D21" s="154">
        <v>0</v>
      </c>
      <c r="E21" s="154">
        <v>0</v>
      </c>
      <c r="F21" s="154">
        <f>'B. Summ of Req. - S&amp;L'!D41</f>
        <v>4000</v>
      </c>
      <c r="G21" s="154">
        <f t="shared" si="0"/>
        <v>0</v>
      </c>
      <c r="H21" s="154">
        <f t="shared" si="1"/>
        <v>0</v>
      </c>
      <c r="I21" s="154">
        <f t="shared" si="2"/>
        <v>0</v>
      </c>
      <c r="J21" s="151">
        <f t="shared" si="3"/>
        <v>4000</v>
      </c>
      <c r="K21" s="243" t="s">
        <v>10</v>
      </c>
    </row>
    <row r="22" spans="1:13" ht="18" x14ac:dyDescent="0.25">
      <c r="A22" s="156" t="s">
        <v>270</v>
      </c>
      <c r="B22" s="336">
        <v>140</v>
      </c>
      <c r="C22" s="213">
        <v>0</v>
      </c>
      <c r="D22" s="213">
        <v>0</v>
      </c>
      <c r="E22" s="213">
        <v>0</v>
      </c>
      <c r="F22" s="213">
        <f>'B. Summ of Req. - S&amp;L'!D42</f>
        <v>47250</v>
      </c>
      <c r="G22" s="213">
        <f t="shared" si="0"/>
        <v>0</v>
      </c>
      <c r="H22" s="213">
        <f t="shared" si="1"/>
        <v>0</v>
      </c>
      <c r="I22" s="213">
        <f t="shared" si="2"/>
        <v>0</v>
      </c>
      <c r="J22" s="211">
        <f t="shared" si="3"/>
        <v>47250</v>
      </c>
      <c r="K22" s="243" t="s">
        <v>10</v>
      </c>
    </row>
    <row r="23" spans="1:13" ht="18.75" thickBot="1" x14ac:dyDescent="0.3">
      <c r="A23" s="21" t="s">
        <v>21</v>
      </c>
      <c r="B23" s="22"/>
      <c r="C23" s="27">
        <f t="shared" ref="C23:J23" si="4">SUM(C8:C22)</f>
        <v>0</v>
      </c>
      <c r="D23" s="27">
        <f t="shared" si="4"/>
        <v>0</v>
      </c>
      <c r="E23" s="27">
        <f t="shared" si="4"/>
        <v>0</v>
      </c>
      <c r="F23" s="27">
        <f t="shared" si="4"/>
        <v>217150</v>
      </c>
      <c r="G23" s="27">
        <f t="shared" si="4"/>
        <v>0</v>
      </c>
      <c r="H23" s="27">
        <f t="shared" si="4"/>
        <v>0</v>
      </c>
      <c r="I23" s="27">
        <f t="shared" si="4"/>
        <v>0</v>
      </c>
      <c r="J23" s="251">
        <f t="shared" si="4"/>
        <v>217150</v>
      </c>
      <c r="K23" s="243" t="s">
        <v>10</v>
      </c>
      <c r="M23" s="5"/>
    </row>
    <row r="24" spans="1:13" ht="18.75" thickBot="1" x14ac:dyDescent="0.3">
      <c r="K24" s="243" t="s">
        <v>10</v>
      </c>
    </row>
    <row r="25" spans="1:13" ht="33.75" customHeight="1" x14ac:dyDescent="0.25">
      <c r="A25" s="585" t="s">
        <v>20</v>
      </c>
      <c r="B25" s="590" t="s">
        <v>146</v>
      </c>
      <c r="C25" s="588" t="s">
        <v>282</v>
      </c>
      <c r="D25" s="588"/>
      <c r="E25" s="588"/>
      <c r="F25" s="588"/>
      <c r="G25" s="588" t="s">
        <v>189</v>
      </c>
      <c r="H25" s="588"/>
      <c r="I25" s="588"/>
      <c r="J25" s="589"/>
      <c r="K25" s="243" t="s">
        <v>10</v>
      </c>
    </row>
    <row r="26" spans="1:13" ht="28.5" x14ac:dyDescent="0.25">
      <c r="A26" s="586"/>
      <c r="B26" s="591"/>
      <c r="C26" s="235" t="s">
        <v>2</v>
      </c>
      <c r="D26" s="235" t="s">
        <v>22</v>
      </c>
      <c r="E26" s="235" t="s">
        <v>110</v>
      </c>
      <c r="F26" s="235" t="s">
        <v>3</v>
      </c>
      <c r="G26" s="235" t="s">
        <v>2</v>
      </c>
      <c r="H26" s="235" t="s">
        <v>22</v>
      </c>
      <c r="I26" s="235" t="s">
        <v>110</v>
      </c>
      <c r="J26" s="234" t="s">
        <v>3</v>
      </c>
      <c r="K26" s="243" t="s">
        <v>10</v>
      </c>
    </row>
    <row r="27" spans="1:13" ht="18" x14ac:dyDescent="0.25">
      <c r="A27" s="156" t="s">
        <v>269</v>
      </c>
      <c r="B27" s="248">
        <v>206</v>
      </c>
      <c r="C27" s="216">
        <v>0</v>
      </c>
      <c r="D27" s="216">
        <v>0</v>
      </c>
      <c r="E27" s="216">
        <v>0</v>
      </c>
      <c r="F27" s="216">
        <f>'B. Summ of Req. - S&amp;L'!D45</f>
        <v>-22500</v>
      </c>
      <c r="G27" s="216">
        <f t="shared" ref="G27:G42" si="5">C27</f>
        <v>0</v>
      </c>
      <c r="H27" s="216">
        <f t="shared" ref="H27:H42" si="6">D27</f>
        <v>0</v>
      </c>
      <c r="I27" s="216">
        <f t="shared" ref="I27:I42" si="7">E27</f>
        <v>0</v>
      </c>
      <c r="J27" s="215">
        <f t="shared" ref="J27:J42" si="8">F27</f>
        <v>-22500</v>
      </c>
      <c r="K27" s="243" t="s">
        <v>10</v>
      </c>
      <c r="M27" s="5"/>
    </row>
    <row r="28" spans="1:13" ht="18" x14ac:dyDescent="0.25">
      <c r="A28" s="156" t="s">
        <v>268</v>
      </c>
      <c r="B28" s="337">
        <v>206</v>
      </c>
      <c r="C28" s="268">
        <v>0</v>
      </c>
      <c r="D28" s="268">
        <v>0</v>
      </c>
      <c r="E28" s="268">
        <v>0</v>
      </c>
      <c r="F28" s="268">
        <f>'B. Summ of Req. - S&amp;L'!D46</f>
        <v>-2000</v>
      </c>
      <c r="G28" s="268">
        <f t="shared" si="5"/>
        <v>0</v>
      </c>
      <c r="H28" s="268">
        <f t="shared" si="6"/>
        <v>0</v>
      </c>
      <c r="I28" s="268">
        <f t="shared" si="7"/>
        <v>0</v>
      </c>
      <c r="J28" s="279">
        <f t="shared" si="8"/>
        <v>-2000</v>
      </c>
      <c r="K28" s="243" t="s">
        <v>10</v>
      </c>
      <c r="M28" s="5"/>
    </row>
    <row r="29" spans="1:13" ht="18" x14ac:dyDescent="0.25">
      <c r="A29" s="156" t="s">
        <v>267</v>
      </c>
      <c r="B29" s="337">
        <v>216</v>
      </c>
      <c r="C29" s="268">
        <v>0</v>
      </c>
      <c r="D29" s="268">
        <v>0</v>
      </c>
      <c r="E29" s="268">
        <v>0</v>
      </c>
      <c r="F29" s="268">
        <f>'B. Summ of Req. - S&amp;L'!D47</f>
        <v>-25000</v>
      </c>
      <c r="G29" s="268">
        <f t="shared" si="5"/>
        <v>0</v>
      </c>
      <c r="H29" s="268">
        <f t="shared" si="6"/>
        <v>0</v>
      </c>
      <c r="I29" s="268">
        <f t="shared" si="7"/>
        <v>0</v>
      </c>
      <c r="J29" s="279">
        <f t="shared" si="8"/>
        <v>-25000</v>
      </c>
      <c r="K29" s="243" t="s">
        <v>10</v>
      </c>
      <c r="M29" s="5"/>
    </row>
    <row r="30" spans="1:13" ht="18" x14ac:dyDescent="0.25">
      <c r="A30" s="156" t="s">
        <v>266</v>
      </c>
      <c r="B30" s="337">
        <v>206</v>
      </c>
      <c r="C30" s="268">
        <v>0</v>
      </c>
      <c r="D30" s="268">
        <v>0</v>
      </c>
      <c r="E30" s="268">
        <v>0</v>
      </c>
      <c r="F30" s="268">
        <f>'B. Summ of Req. - S&amp;L'!D48</f>
        <v>-40500</v>
      </c>
      <c r="G30" s="268">
        <f t="shared" si="5"/>
        <v>0</v>
      </c>
      <c r="H30" s="268">
        <f t="shared" si="6"/>
        <v>0</v>
      </c>
      <c r="I30" s="268">
        <f t="shared" si="7"/>
        <v>0</v>
      </c>
      <c r="J30" s="279">
        <f t="shared" si="8"/>
        <v>-40500</v>
      </c>
      <c r="K30" s="243" t="s">
        <v>10</v>
      </c>
      <c r="M30" s="5"/>
    </row>
    <row r="31" spans="1:13" ht="18" x14ac:dyDescent="0.25">
      <c r="A31" s="156" t="s">
        <v>265</v>
      </c>
      <c r="B31" s="337">
        <v>206</v>
      </c>
      <c r="C31" s="268">
        <v>0</v>
      </c>
      <c r="D31" s="268">
        <v>0</v>
      </c>
      <c r="E31" s="268">
        <v>0</v>
      </c>
      <c r="F31" s="268">
        <f>'B. Summ of Req. - S&amp;L'!D49</f>
        <v>-30000</v>
      </c>
      <c r="G31" s="268">
        <f t="shared" si="5"/>
        <v>0</v>
      </c>
      <c r="H31" s="268">
        <f t="shared" si="6"/>
        <v>0</v>
      </c>
      <c r="I31" s="268">
        <f t="shared" si="7"/>
        <v>0</v>
      </c>
      <c r="J31" s="279">
        <f t="shared" si="8"/>
        <v>-30000</v>
      </c>
      <c r="K31" s="243" t="s">
        <v>10</v>
      </c>
      <c r="M31" s="5"/>
    </row>
    <row r="32" spans="1:13" ht="18" x14ac:dyDescent="0.25">
      <c r="A32" s="156" t="s">
        <v>264</v>
      </c>
      <c r="B32" s="337">
        <v>206</v>
      </c>
      <c r="C32" s="268">
        <v>0</v>
      </c>
      <c r="D32" s="268">
        <v>0</v>
      </c>
      <c r="E32" s="268">
        <v>0</v>
      </c>
      <c r="F32" s="268">
        <f>'B. Summ of Req. - S&amp;L'!D50</f>
        <v>-2000</v>
      </c>
      <c r="G32" s="268">
        <f t="shared" si="5"/>
        <v>0</v>
      </c>
      <c r="H32" s="268">
        <f t="shared" si="6"/>
        <v>0</v>
      </c>
      <c r="I32" s="268">
        <f t="shared" si="7"/>
        <v>0</v>
      </c>
      <c r="J32" s="279">
        <f t="shared" si="8"/>
        <v>-2000</v>
      </c>
      <c r="K32" s="243" t="s">
        <v>10</v>
      </c>
      <c r="M32" s="5"/>
    </row>
    <row r="33" spans="1:13" ht="18" x14ac:dyDescent="0.25">
      <c r="A33" s="156" t="s">
        <v>263</v>
      </c>
      <c r="B33" s="337">
        <v>206</v>
      </c>
      <c r="C33" s="268">
        <v>0</v>
      </c>
      <c r="D33" s="268">
        <v>0</v>
      </c>
      <c r="E33" s="268">
        <v>0</v>
      </c>
      <c r="F33" s="268">
        <f>'B. Summ of Req. - S&amp;L'!D51</f>
        <v>-8250</v>
      </c>
      <c r="G33" s="268">
        <f t="shared" si="5"/>
        <v>0</v>
      </c>
      <c r="H33" s="268">
        <f t="shared" si="6"/>
        <v>0</v>
      </c>
      <c r="I33" s="268">
        <f t="shared" si="7"/>
        <v>0</v>
      </c>
      <c r="J33" s="279">
        <f t="shared" si="8"/>
        <v>-8250</v>
      </c>
      <c r="K33" s="243" t="s">
        <v>10</v>
      </c>
      <c r="M33" s="5"/>
    </row>
    <row r="34" spans="1:13" ht="18" x14ac:dyDescent="0.25">
      <c r="A34" s="156" t="s">
        <v>262</v>
      </c>
      <c r="B34" s="337">
        <v>206</v>
      </c>
      <c r="C34" s="268">
        <v>0</v>
      </c>
      <c r="D34" s="268">
        <v>0</v>
      </c>
      <c r="E34" s="268">
        <v>0</v>
      </c>
      <c r="F34" s="268">
        <f>'B. Summ of Req. - S&amp;L'!D52</f>
        <v>-750</v>
      </c>
      <c r="G34" s="268">
        <f t="shared" si="5"/>
        <v>0</v>
      </c>
      <c r="H34" s="268">
        <f t="shared" si="6"/>
        <v>0</v>
      </c>
      <c r="I34" s="268">
        <f t="shared" si="7"/>
        <v>0</v>
      </c>
      <c r="J34" s="279">
        <f t="shared" si="8"/>
        <v>-750</v>
      </c>
      <c r="K34" s="243" t="s">
        <v>10</v>
      </c>
      <c r="M34" s="5"/>
    </row>
    <row r="35" spans="1:13" ht="18" x14ac:dyDescent="0.25">
      <c r="A35" s="156" t="s">
        <v>261</v>
      </c>
      <c r="B35" s="337">
        <v>213</v>
      </c>
      <c r="C35" s="154">
        <v>0</v>
      </c>
      <c r="D35" s="268">
        <v>0</v>
      </c>
      <c r="E35" s="268">
        <v>0</v>
      </c>
      <c r="F35" s="268">
        <v>-7000</v>
      </c>
      <c r="G35" s="154">
        <f>C35</f>
        <v>0</v>
      </c>
      <c r="H35" s="268">
        <f>D35</f>
        <v>0</v>
      </c>
      <c r="I35" s="268">
        <f>E35</f>
        <v>0</v>
      </c>
      <c r="J35" s="279">
        <f>F35</f>
        <v>-7000</v>
      </c>
      <c r="K35" s="243" t="s">
        <v>10</v>
      </c>
      <c r="M35" s="5"/>
    </row>
    <row r="36" spans="1:13" ht="18" x14ac:dyDescent="0.25">
      <c r="A36" s="156" t="s">
        <v>260</v>
      </c>
      <c r="B36" s="337">
        <v>206</v>
      </c>
      <c r="C36" s="268">
        <v>0</v>
      </c>
      <c r="D36" s="268">
        <v>0</v>
      </c>
      <c r="E36" s="268">
        <v>0</v>
      </c>
      <c r="F36" s="268">
        <f>'B. Summ of Req. - S&amp;L'!D54</f>
        <v>-12000</v>
      </c>
      <c r="G36" s="268">
        <f t="shared" si="5"/>
        <v>0</v>
      </c>
      <c r="H36" s="268">
        <f t="shared" si="6"/>
        <v>0</v>
      </c>
      <c r="I36" s="268">
        <f t="shared" si="7"/>
        <v>0</v>
      </c>
      <c r="J36" s="279">
        <f t="shared" si="8"/>
        <v>-12000</v>
      </c>
      <c r="K36" s="243" t="s">
        <v>10</v>
      </c>
      <c r="M36" s="5"/>
    </row>
    <row r="37" spans="1:13" ht="18" x14ac:dyDescent="0.25">
      <c r="A37" s="156" t="s">
        <v>259</v>
      </c>
      <c r="B37" s="337">
        <v>210</v>
      </c>
      <c r="C37" s="268">
        <v>0</v>
      </c>
      <c r="D37" s="268">
        <v>0</v>
      </c>
      <c r="E37" s="268">
        <v>0</v>
      </c>
      <c r="F37" s="268">
        <f>'B. Summ of Req. - S&amp;L'!D55</f>
        <v>-2000</v>
      </c>
      <c r="G37" s="268">
        <f t="shared" si="5"/>
        <v>0</v>
      </c>
      <c r="H37" s="268">
        <f t="shared" si="6"/>
        <v>0</v>
      </c>
      <c r="I37" s="268">
        <f t="shared" si="7"/>
        <v>0</v>
      </c>
      <c r="J37" s="279">
        <f t="shared" si="8"/>
        <v>-2000</v>
      </c>
      <c r="K37" s="243" t="s">
        <v>10</v>
      </c>
      <c r="M37" s="5"/>
    </row>
    <row r="38" spans="1:13" ht="18" x14ac:dyDescent="0.25">
      <c r="A38" s="156" t="s">
        <v>258</v>
      </c>
      <c r="B38" s="337">
        <v>201</v>
      </c>
      <c r="C38" s="268">
        <v>0</v>
      </c>
      <c r="D38" s="268">
        <v>0</v>
      </c>
      <c r="E38" s="268">
        <v>0</v>
      </c>
      <c r="F38" s="268">
        <f>'B. Summ of Req. - S&amp;L'!D56</f>
        <v>-180000</v>
      </c>
      <c r="G38" s="268">
        <f t="shared" si="5"/>
        <v>0</v>
      </c>
      <c r="H38" s="268">
        <f t="shared" si="6"/>
        <v>0</v>
      </c>
      <c r="I38" s="268">
        <f t="shared" si="7"/>
        <v>0</v>
      </c>
      <c r="J38" s="279">
        <f t="shared" si="8"/>
        <v>-180000</v>
      </c>
      <c r="K38" s="243" t="s">
        <v>10</v>
      </c>
      <c r="M38" s="5"/>
    </row>
    <row r="39" spans="1:13" ht="18" x14ac:dyDescent="0.25">
      <c r="A39" s="156" t="s">
        <v>257</v>
      </c>
      <c r="B39" s="337">
        <v>206</v>
      </c>
      <c r="C39" s="268">
        <v>0</v>
      </c>
      <c r="D39" s="268">
        <v>0</v>
      </c>
      <c r="E39" s="268">
        <v>0</v>
      </c>
      <c r="F39" s="268">
        <f>'B. Summ of Req. - S&amp;L'!D57</f>
        <v>-4000</v>
      </c>
      <c r="G39" s="268">
        <f t="shared" si="5"/>
        <v>0</v>
      </c>
      <c r="H39" s="268">
        <f t="shared" si="6"/>
        <v>0</v>
      </c>
      <c r="I39" s="268">
        <f t="shared" si="7"/>
        <v>0</v>
      </c>
      <c r="J39" s="279">
        <f t="shared" si="8"/>
        <v>-4000</v>
      </c>
      <c r="K39" s="243" t="s">
        <v>10</v>
      </c>
      <c r="M39" s="5"/>
    </row>
    <row r="40" spans="1:13" ht="18" x14ac:dyDescent="0.25">
      <c r="A40" s="156" t="s">
        <v>256</v>
      </c>
      <c r="B40" s="337">
        <v>219</v>
      </c>
      <c r="C40" s="268">
        <v>0</v>
      </c>
      <c r="D40" s="268">
        <v>0</v>
      </c>
      <c r="E40" s="268">
        <v>0</v>
      </c>
      <c r="F40" s="268">
        <f>'B. Summ of Req. - S&amp;L'!D58</f>
        <v>-3750</v>
      </c>
      <c r="G40" s="268">
        <f t="shared" si="5"/>
        <v>0</v>
      </c>
      <c r="H40" s="268">
        <f t="shared" si="6"/>
        <v>0</v>
      </c>
      <c r="I40" s="268">
        <f t="shared" si="7"/>
        <v>0</v>
      </c>
      <c r="J40" s="279">
        <f t="shared" si="8"/>
        <v>-3750</v>
      </c>
      <c r="K40" s="243" t="s">
        <v>10</v>
      </c>
      <c r="M40" s="5"/>
    </row>
    <row r="41" spans="1:13" ht="18" x14ac:dyDescent="0.25">
      <c r="A41" s="156" t="s">
        <v>255</v>
      </c>
      <c r="B41" s="337">
        <v>222</v>
      </c>
      <c r="C41" s="268">
        <v>0</v>
      </c>
      <c r="D41" s="268">
        <v>0</v>
      </c>
      <c r="E41" s="268">
        <v>0</v>
      </c>
      <c r="F41" s="268">
        <f>'B. Summ of Req. - S&amp;L'!D59</f>
        <v>-3500</v>
      </c>
      <c r="G41" s="268">
        <f t="shared" si="5"/>
        <v>0</v>
      </c>
      <c r="H41" s="268">
        <f t="shared" si="6"/>
        <v>0</v>
      </c>
      <c r="I41" s="268">
        <f t="shared" si="7"/>
        <v>0</v>
      </c>
      <c r="J41" s="279">
        <f t="shared" si="8"/>
        <v>-3500</v>
      </c>
      <c r="K41" s="243" t="s">
        <v>10</v>
      </c>
    </row>
    <row r="42" spans="1:13" ht="18" x14ac:dyDescent="0.25">
      <c r="A42" s="156" t="s">
        <v>254</v>
      </c>
      <c r="B42" s="336">
        <v>206</v>
      </c>
      <c r="C42" s="212">
        <v>0</v>
      </c>
      <c r="D42" s="212">
        <v>0</v>
      </c>
      <c r="E42" s="212">
        <v>0</v>
      </c>
      <c r="F42" s="212">
        <f>'B. Summ of Req. - S&amp;L'!D60</f>
        <v>-12500</v>
      </c>
      <c r="G42" s="212">
        <f t="shared" si="5"/>
        <v>0</v>
      </c>
      <c r="H42" s="212">
        <f t="shared" si="6"/>
        <v>0</v>
      </c>
      <c r="I42" s="212">
        <f t="shared" si="7"/>
        <v>0</v>
      </c>
      <c r="J42" s="325">
        <f t="shared" si="8"/>
        <v>-12500</v>
      </c>
      <c r="K42" s="243" t="s">
        <v>10</v>
      </c>
    </row>
    <row r="43" spans="1:13" ht="18.75" thickBot="1" x14ac:dyDescent="0.3">
      <c r="A43" s="21" t="s">
        <v>187</v>
      </c>
      <c r="B43" s="22"/>
      <c r="C43" s="246">
        <f t="shared" ref="C43:J43" si="9">SUM(C27:C42)</f>
        <v>0</v>
      </c>
      <c r="D43" s="246">
        <f t="shared" si="9"/>
        <v>0</v>
      </c>
      <c r="E43" s="246">
        <f t="shared" si="9"/>
        <v>0</v>
      </c>
      <c r="F43" s="246">
        <f t="shared" si="9"/>
        <v>-355750</v>
      </c>
      <c r="G43" s="246">
        <f t="shared" si="9"/>
        <v>0</v>
      </c>
      <c r="H43" s="246">
        <f t="shared" si="9"/>
        <v>0</v>
      </c>
      <c r="I43" s="246">
        <f t="shared" si="9"/>
        <v>0</v>
      </c>
      <c r="J43" s="245">
        <f t="shared" si="9"/>
        <v>-355750</v>
      </c>
      <c r="K43" s="243" t="s">
        <v>10</v>
      </c>
      <c r="M43" s="5"/>
    </row>
    <row r="44" spans="1:13" x14ac:dyDescent="0.2">
      <c r="K44" s="4" t="s">
        <v>11</v>
      </c>
    </row>
    <row r="45" spans="1:13" x14ac:dyDescent="0.2">
      <c r="B45" s="242"/>
    </row>
  </sheetData>
  <customSheetViews>
    <customSheetView guid="{EE916FE7-61FB-4021-ADDD-E082241FC03C}" scale="80" showPageBreaks="1" printArea="1" view="pageBreakPreview" topLeftCell="C1">
      <selection activeCell="D14" sqref="D14"/>
      <pageMargins left="0.7" right="0.7" top="0.66" bottom="0.65" header="0.3" footer="0.3"/>
      <printOptions horizontalCentered="1"/>
      <pageSetup scale="57" orientation="landscape" r:id="rId1"/>
      <headerFooter>
        <oddHeader xml:space="preserve">&amp;L&amp;"Arial,Bold"&amp;12C. Program Changes by Decision Unit
</oddHeader>
        <oddFooter>&amp;C&amp;"Arial,Regular"Exhibit C - Program Changes by Decision Unit&amp;RState and Local Law Enforcement Assistance</oddFooter>
      </headerFooter>
    </customSheetView>
    <customSheetView guid="{0BB5DC4B-BC2A-4489-BE17-5E267FA1EF63}" scale="80" showPageBreaks="1" printArea="1" view="pageBreakPreview" topLeftCell="C1">
      <selection activeCell="D14" sqref="D14"/>
      <pageMargins left="0.7" right="0.7" top="0.66" bottom="0.65" header="0.3" footer="0.3"/>
      <printOptions horizontalCentered="1"/>
      <pageSetup scale="57" orientation="landscape" r:id="rId2"/>
      <headerFooter>
        <oddHeader xml:space="preserve">&amp;L&amp;"Arial,Bold"&amp;12C. Program Changes by Decision Unit
</oddHeader>
        <oddFooter>&amp;C&amp;"Arial,Regular"Exhibit C - Program Changes by Decision Unit&amp;RState and Local Law Enforcement Assistance</oddFooter>
      </headerFooter>
    </customSheetView>
    <customSheetView guid="{6C58FFE1-D756-42C4-A1BC-AA7F1DC1E56F}" scale="80" showPageBreaks="1" printArea="1" view="pageBreakPreview" topLeftCell="B1">
      <selection activeCell="D44" sqref="D44"/>
      <pageMargins left="0.7" right="0.7" top="0.66" bottom="0.65" header="0.3" footer="0.3"/>
      <printOptions horizontalCentered="1"/>
      <pageSetup scale="57" orientation="landscape" r:id="rId3"/>
      <headerFooter>
        <oddHeader xml:space="preserve">&amp;L&amp;"Arial,Bold"&amp;12C. Program Changes by Decision Unit
</oddHeader>
        <oddFooter>&amp;C&amp;"Arial,Regular"Exhibit C - Program Changes by Decision Unit&amp;RState and Local Law Enforcement Assistance</oddFooter>
      </headerFooter>
    </customSheetView>
    <customSheetView guid="{CFA5D1C9-F4C9-4B8D-923D-4C71CB6E7D3B}" scale="80" showPageBreaks="1" printArea="1" view="pageBreakPreview" topLeftCell="C1">
      <selection activeCell="D14" sqref="D14"/>
      <pageMargins left="0.7" right="0.7" top="0.66" bottom="0.65" header="0.3" footer="0.3"/>
      <printOptions horizontalCentered="1"/>
      <pageSetup scale="57" orientation="landscape" r:id="rId4"/>
      <headerFooter>
        <oddHeader xml:space="preserve">&amp;L&amp;"Arial,Bold"&amp;12C. Program Changes by Decision Unit
</oddHeader>
        <oddFooter>&amp;C&amp;"Arial,Regular"Exhibit C - Program Changes by Decision Unit&amp;RState and Local Law Enforcement Assistance</oddFooter>
      </headerFooter>
    </customSheetView>
    <customSheetView guid="{A788DF77-74F1-49E4-8B34-BFBDB7664F30}" scale="80" showPageBreaks="1" printArea="1" view="pageBreakPreview" topLeftCell="A13">
      <selection activeCell="A20" sqref="A20"/>
      <pageMargins left="0.7" right="0.7" top="0.66" bottom="0.65" header="0.3" footer="0.3"/>
      <printOptions horizontalCentered="1"/>
      <pageSetup scale="57" orientation="landscape" r:id="rId5"/>
      <headerFooter>
        <oddHeader xml:space="preserve">&amp;L&amp;"Arial,Bold"&amp;12C. Program Changes by Decision Unit
</oddHeader>
        <oddFooter>&amp;C&amp;"Arial,Regular"Exhibit C - Program Changes by Decision Unit&amp;RState and Local Law Enforcement Assistance</oddFooter>
      </headerFooter>
    </customSheetView>
  </customSheetViews>
  <mergeCells count="12">
    <mergeCell ref="A25:A26"/>
    <mergeCell ref="B25:B26"/>
    <mergeCell ref="C25:F25"/>
    <mergeCell ref="G25:J25"/>
    <mergeCell ref="A1:J1"/>
    <mergeCell ref="A2:J2"/>
    <mergeCell ref="A3:J3"/>
    <mergeCell ref="A4:J4"/>
    <mergeCell ref="A6:A7"/>
    <mergeCell ref="B6:B7"/>
    <mergeCell ref="C6:F6"/>
    <mergeCell ref="G6:J6"/>
  </mergeCells>
  <printOptions horizontalCentered="1"/>
  <pageMargins left="0.7" right="0.7" top="0.66" bottom="0.65" header="0.3" footer="0.3"/>
  <pageSetup scale="57" orientation="landscape" r:id="rId6"/>
  <headerFooter>
    <oddHeader xml:space="preserve">&amp;L&amp;"Arial,Bold"&amp;12C. Program Changes by Decision Unit
</oddHeader>
    <oddFooter>&amp;C&amp;"Arial,Regular"Exhibit C - Program Changes by Decision Unit&amp;RState and Local Law Enforcement Assistance</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view="pageBreakPreview" topLeftCell="A2" zoomScale="80" zoomScaleNormal="100" zoomScaleSheetLayoutView="80" workbookViewId="0">
      <selection activeCell="D27" sqref="D27"/>
    </sheetView>
  </sheetViews>
  <sheetFormatPr defaultRowHeight="14.25" x14ac:dyDescent="0.2"/>
  <cols>
    <col min="1" max="1" width="7.42578125" style="143" bestFit="1" customWidth="1"/>
    <col min="2" max="2" width="58.140625" style="143" customWidth="1"/>
    <col min="3" max="3" width="8.7109375" style="143" customWidth="1"/>
    <col min="4" max="4" width="12.7109375" style="143" customWidth="1"/>
    <col min="5" max="5" width="8.7109375" style="143" customWidth="1"/>
    <col min="6" max="6" width="12.7109375" style="143" customWidth="1"/>
    <col min="7" max="7" width="8.7109375" style="143" customWidth="1"/>
    <col min="8" max="8" width="12.7109375" style="143" customWidth="1"/>
    <col min="9" max="9" width="8.7109375" style="143" customWidth="1"/>
    <col min="10" max="10" width="12.7109375" style="143" customWidth="1"/>
    <col min="11" max="11" width="8.7109375" style="143" customWidth="1"/>
    <col min="12" max="12" width="12.7109375" style="143" customWidth="1"/>
    <col min="13" max="13" width="8.7109375" style="143" customWidth="1"/>
    <col min="14" max="14" width="12.7109375" style="143" customWidth="1"/>
    <col min="15" max="15" width="14" style="4" bestFit="1" customWidth="1"/>
    <col min="16" max="16" width="4.5703125" style="143" customWidth="1"/>
    <col min="17" max="17" width="122.85546875" style="143" customWidth="1"/>
    <col min="18" max="19" width="8.28515625" style="143" customWidth="1"/>
    <col min="20" max="20" width="12.7109375" style="143" customWidth="1"/>
    <col min="21" max="22" width="8.28515625" style="143" customWidth="1"/>
    <col min="23" max="23" width="12.7109375" style="143" customWidth="1"/>
    <col min="24" max="16384" width="9.140625" style="143"/>
  </cols>
  <sheetData>
    <row r="1" spans="1:23" ht="18" x14ac:dyDescent="0.25">
      <c r="A1" s="577" t="s">
        <v>222</v>
      </c>
      <c r="B1" s="577"/>
      <c r="C1" s="577"/>
      <c r="D1" s="577"/>
      <c r="E1" s="577"/>
      <c r="F1" s="577"/>
      <c r="G1" s="577"/>
      <c r="H1" s="577"/>
      <c r="I1" s="577"/>
      <c r="J1" s="577"/>
      <c r="K1" s="577"/>
      <c r="L1" s="577"/>
      <c r="M1" s="577"/>
      <c r="N1" s="577"/>
      <c r="O1" s="51" t="s">
        <v>10</v>
      </c>
      <c r="P1" s="6"/>
      <c r="Q1" s="199"/>
      <c r="R1" s="6"/>
      <c r="S1" s="6"/>
      <c r="T1" s="6"/>
      <c r="U1" s="6"/>
      <c r="V1" s="6"/>
      <c r="W1" s="6"/>
    </row>
    <row r="2" spans="1:23" ht="15" x14ac:dyDescent="0.2">
      <c r="A2" s="578" t="s">
        <v>152</v>
      </c>
      <c r="B2" s="578"/>
      <c r="C2" s="578"/>
      <c r="D2" s="578"/>
      <c r="E2" s="578"/>
      <c r="F2" s="578"/>
      <c r="G2" s="578"/>
      <c r="H2" s="578"/>
      <c r="I2" s="578"/>
      <c r="J2" s="578"/>
      <c r="K2" s="578"/>
      <c r="L2" s="578"/>
      <c r="M2" s="578"/>
      <c r="N2" s="578"/>
      <c r="O2" s="51" t="s">
        <v>10</v>
      </c>
      <c r="P2" s="7"/>
      <c r="Q2" s="198"/>
      <c r="R2" s="7"/>
      <c r="S2" s="7"/>
      <c r="T2" s="7"/>
      <c r="U2" s="7"/>
      <c r="V2" s="7"/>
      <c r="W2" s="7"/>
    </row>
    <row r="3" spans="1:23" x14ac:dyDescent="0.2">
      <c r="A3" s="579" t="s">
        <v>282</v>
      </c>
      <c r="B3" s="579"/>
      <c r="C3" s="579"/>
      <c r="D3" s="579"/>
      <c r="E3" s="579"/>
      <c r="F3" s="579"/>
      <c r="G3" s="579"/>
      <c r="H3" s="579"/>
      <c r="I3" s="579"/>
      <c r="J3" s="579"/>
      <c r="K3" s="579"/>
      <c r="L3" s="579"/>
      <c r="M3" s="579"/>
      <c r="N3" s="579"/>
      <c r="O3" s="51" t="s">
        <v>10</v>
      </c>
      <c r="P3" s="163"/>
      <c r="Q3" s="198"/>
      <c r="R3" s="163"/>
      <c r="S3" s="163"/>
      <c r="T3" s="163"/>
      <c r="U3" s="163"/>
      <c r="V3" s="163"/>
      <c r="W3" s="163"/>
    </row>
    <row r="4" spans="1:23" x14ac:dyDescent="0.2">
      <c r="A4" s="608" t="s">
        <v>1</v>
      </c>
      <c r="B4" s="608"/>
      <c r="C4" s="608"/>
      <c r="D4" s="608"/>
      <c r="E4" s="608"/>
      <c r="F4" s="608"/>
      <c r="G4" s="608"/>
      <c r="H4" s="608"/>
      <c r="I4" s="608"/>
      <c r="J4" s="608"/>
      <c r="K4" s="608"/>
      <c r="L4" s="608"/>
      <c r="M4" s="608"/>
      <c r="N4" s="608"/>
      <c r="O4" s="51" t="s">
        <v>10</v>
      </c>
      <c r="P4" s="162"/>
      <c r="Q4" s="198"/>
      <c r="R4" s="162"/>
      <c r="S4" s="162"/>
      <c r="T4" s="162"/>
      <c r="U4" s="162"/>
      <c r="V4" s="162"/>
      <c r="W4" s="162"/>
    </row>
    <row r="5" spans="1:23" ht="15" x14ac:dyDescent="0.25">
      <c r="A5" s="579"/>
      <c r="B5" s="579"/>
      <c r="C5" s="579"/>
      <c r="D5" s="579"/>
      <c r="E5" s="579"/>
      <c r="F5" s="579"/>
      <c r="G5" s="579"/>
      <c r="H5" s="579"/>
      <c r="I5" s="579"/>
      <c r="J5" s="579"/>
      <c r="K5" s="579"/>
      <c r="L5" s="579"/>
      <c r="M5" s="579"/>
      <c r="N5" s="579"/>
      <c r="O5" s="51" t="s">
        <v>10</v>
      </c>
      <c r="P5" s="162"/>
      <c r="Q5" s="241"/>
      <c r="R5" s="162"/>
      <c r="S5" s="162"/>
      <c r="T5" s="162"/>
      <c r="U5" s="162"/>
      <c r="V5" s="162"/>
      <c r="W5" s="162"/>
    </row>
    <row r="6" spans="1:23" ht="15" thickBot="1" x14ac:dyDescent="0.25">
      <c r="A6" s="613"/>
      <c r="B6" s="613"/>
      <c r="C6" s="613"/>
      <c r="D6" s="613"/>
      <c r="E6" s="613"/>
      <c r="F6" s="613"/>
      <c r="G6" s="613"/>
      <c r="H6" s="613"/>
      <c r="I6" s="613"/>
      <c r="J6" s="613"/>
      <c r="K6" s="613"/>
      <c r="L6" s="613"/>
      <c r="M6" s="613"/>
      <c r="N6" s="613"/>
      <c r="O6" s="51" t="s">
        <v>10</v>
      </c>
      <c r="P6" s="162"/>
      <c r="Q6" s="276"/>
      <c r="R6" s="162"/>
      <c r="S6" s="162"/>
      <c r="T6" s="162"/>
      <c r="U6" s="162"/>
      <c r="V6" s="162"/>
      <c r="W6" s="162"/>
    </row>
    <row r="7" spans="1:23" ht="46.5" customHeight="1" x14ac:dyDescent="0.2">
      <c r="A7" s="623" t="s">
        <v>221</v>
      </c>
      <c r="B7" s="630"/>
      <c r="C7" s="588" t="s">
        <v>126</v>
      </c>
      <c r="D7" s="588"/>
      <c r="E7" s="588" t="s">
        <v>148</v>
      </c>
      <c r="F7" s="588"/>
      <c r="G7" s="588" t="s">
        <v>123</v>
      </c>
      <c r="H7" s="588"/>
      <c r="I7" s="588" t="s">
        <v>128</v>
      </c>
      <c r="J7" s="588"/>
      <c r="K7" s="588" t="s">
        <v>129</v>
      </c>
      <c r="L7" s="588"/>
      <c r="M7" s="588" t="s">
        <v>124</v>
      </c>
      <c r="N7" s="589"/>
      <c r="O7" s="51" t="s">
        <v>10</v>
      </c>
      <c r="Q7" s="247"/>
    </row>
    <row r="8" spans="1:23" ht="42.75" x14ac:dyDescent="0.2">
      <c r="A8" s="624"/>
      <c r="B8" s="631"/>
      <c r="C8" s="235" t="s">
        <v>220</v>
      </c>
      <c r="D8" s="235" t="s">
        <v>219</v>
      </c>
      <c r="E8" s="235" t="s">
        <v>220</v>
      </c>
      <c r="F8" s="235" t="s">
        <v>219</v>
      </c>
      <c r="G8" s="235" t="s">
        <v>220</v>
      </c>
      <c r="H8" s="235" t="s">
        <v>219</v>
      </c>
      <c r="I8" s="235" t="s">
        <v>220</v>
      </c>
      <c r="J8" s="235" t="s">
        <v>219</v>
      </c>
      <c r="K8" s="235" t="s">
        <v>220</v>
      </c>
      <c r="L8" s="235" t="s">
        <v>219</v>
      </c>
      <c r="M8" s="235" t="s">
        <v>220</v>
      </c>
      <c r="N8" s="234" t="s">
        <v>219</v>
      </c>
      <c r="O8" s="51" t="s">
        <v>10</v>
      </c>
      <c r="Q8" s="247"/>
    </row>
    <row r="9" spans="1:23" ht="45" hidden="1" x14ac:dyDescent="0.2">
      <c r="A9" s="272" t="s">
        <v>218</v>
      </c>
      <c r="B9" s="271" t="s">
        <v>217</v>
      </c>
      <c r="C9" s="216"/>
      <c r="D9" s="216"/>
      <c r="E9" s="216"/>
      <c r="F9" s="216"/>
      <c r="G9" s="216"/>
      <c r="H9" s="216"/>
      <c r="I9" s="216"/>
      <c r="J9" s="216"/>
      <c r="K9" s="216"/>
      <c r="L9" s="216"/>
      <c r="M9" s="216"/>
      <c r="N9" s="215"/>
      <c r="O9" s="51" t="s">
        <v>10</v>
      </c>
      <c r="Q9" s="247"/>
    </row>
    <row r="10" spans="1:23" ht="42.75" hidden="1" x14ac:dyDescent="0.2">
      <c r="A10" s="267">
        <v>1.1000000000000001</v>
      </c>
      <c r="B10" s="266" t="s">
        <v>216</v>
      </c>
      <c r="C10" s="268">
        <v>0</v>
      </c>
      <c r="D10" s="339">
        <v>0</v>
      </c>
      <c r="E10" s="268">
        <v>0</v>
      </c>
      <c r="F10" s="268">
        <v>0</v>
      </c>
      <c r="G10" s="268">
        <v>0</v>
      </c>
      <c r="H10" s="268">
        <f>F10</f>
        <v>0</v>
      </c>
      <c r="I10" s="268">
        <v>0</v>
      </c>
      <c r="J10" s="268">
        <v>0</v>
      </c>
      <c r="K10" s="268">
        <v>0</v>
      </c>
      <c r="L10" s="268">
        <v>0</v>
      </c>
      <c r="M10" s="268">
        <f t="shared" ref="M10:N12" si="0">G10+I10+K10</f>
        <v>0</v>
      </c>
      <c r="N10" s="279">
        <f t="shared" si="0"/>
        <v>0</v>
      </c>
      <c r="O10" s="51" t="s">
        <v>10</v>
      </c>
      <c r="Q10" s="247"/>
    </row>
    <row r="11" spans="1:23" hidden="1" x14ac:dyDescent="0.2">
      <c r="A11" s="267">
        <v>1.2</v>
      </c>
      <c r="B11" s="274" t="s">
        <v>215</v>
      </c>
      <c r="C11" s="268">
        <v>0</v>
      </c>
      <c r="D11" s="268">
        <v>0</v>
      </c>
      <c r="E11" s="268">
        <v>0</v>
      </c>
      <c r="F11" s="268">
        <v>0</v>
      </c>
      <c r="G11" s="268">
        <v>0</v>
      </c>
      <c r="H11" s="268">
        <f>F11</f>
        <v>0</v>
      </c>
      <c r="I11" s="268">
        <v>0</v>
      </c>
      <c r="J11" s="268">
        <v>0</v>
      </c>
      <c r="K11" s="268">
        <v>0</v>
      </c>
      <c r="L11" s="268">
        <v>0</v>
      </c>
      <c r="M11" s="268">
        <f t="shared" si="0"/>
        <v>0</v>
      </c>
      <c r="N11" s="279">
        <f t="shared" si="0"/>
        <v>0</v>
      </c>
      <c r="O11" s="51" t="s">
        <v>10</v>
      </c>
      <c r="Q11" s="247"/>
    </row>
    <row r="12" spans="1:23" ht="57" hidden="1" x14ac:dyDescent="0.2">
      <c r="A12" s="267">
        <v>1.3</v>
      </c>
      <c r="B12" s="266" t="s">
        <v>214</v>
      </c>
      <c r="C12" s="268">
        <v>0</v>
      </c>
      <c r="D12" s="268">
        <v>0</v>
      </c>
      <c r="E12" s="268">
        <v>0</v>
      </c>
      <c r="F12" s="268">
        <v>0</v>
      </c>
      <c r="G12" s="268">
        <v>0</v>
      </c>
      <c r="H12" s="268">
        <f>F12</f>
        <v>0</v>
      </c>
      <c r="I12" s="268">
        <v>0</v>
      </c>
      <c r="J12" s="268">
        <v>0</v>
      </c>
      <c r="K12" s="268">
        <v>0</v>
      </c>
      <c r="L12" s="268">
        <v>0</v>
      </c>
      <c r="M12" s="268">
        <f t="shared" si="0"/>
        <v>0</v>
      </c>
      <c r="N12" s="279">
        <f t="shared" si="0"/>
        <v>0</v>
      </c>
      <c r="O12" s="51" t="s">
        <v>10</v>
      </c>
      <c r="Q12" s="247"/>
    </row>
    <row r="13" spans="1:23" ht="45" hidden="1" customHeight="1" x14ac:dyDescent="0.2">
      <c r="A13" s="264">
        <v>1.4</v>
      </c>
      <c r="B13" s="263" t="s">
        <v>213</v>
      </c>
      <c r="C13" s="334">
        <v>0</v>
      </c>
      <c r="D13" s="334">
        <v>0</v>
      </c>
      <c r="E13" s="334">
        <v>0</v>
      </c>
      <c r="F13" s="334">
        <v>0</v>
      </c>
      <c r="G13" s="334"/>
      <c r="H13" s="334">
        <f>F13</f>
        <v>0</v>
      </c>
      <c r="I13" s="334"/>
      <c r="J13" s="334"/>
      <c r="K13" s="334"/>
      <c r="L13" s="334"/>
      <c r="M13" s="334"/>
      <c r="N13" s="333"/>
      <c r="O13" s="51"/>
      <c r="Q13" s="247"/>
    </row>
    <row r="14" spans="1:23" ht="15" hidden="1" x14ac:dyDescent="0.25">
      <c r="A14" s="262"/>
      <c r="B14" s="273" t="s">
        <v>212</v>
      </c>
      <c r="C14" s="260">
        <f t="shared" ref="C14:N14" si="1">SUM(C10:C13)</f>
        <v>0</v>
      </c>
      <c r="D14" s="260">
        <f t="shared" si="1"/>
        <v>0</v>
      </c>
      <c r="E14" s="260">
        <f t="shared" si="1"/>
        <v>0</v>
      </c>
      <c r="F14" s="260">
        <f t="shared" si="1"/>
        <v>0</v>
      </c>
      <c r="G14" s="260">
        <f t="shared" si="1"/>
        <v>0</v>
      </c>
      <c r="H14" s="260">
        <f t="shared" si="1"/>
        <v>0</v>
      </c>
      <c r="I14" s="260">
        <f t="shared" si="1"/>
        <v>0</v>
      </c>
      <c r="J14" s="260">
        <f t="shared" si="1"/>
        <v>0</v>
      </c>
      <c r="K14" s="260">
        <f t="shared" si="1"/>
        <v>0</v>
      </c>
      <c r="L14" s="260">
        <f t="shared" si="1"/>
        <v>0</v>
      </c>
      <c r="M14" s="260">
        <f t="shared" si="1"/>
        <v>0</v>
      </c>
      <c r="N14" s="317">
        <f t="shared" si="1"/>
        <v>0</v>
      </c>
      <c r="O14" s="51" t="s">
        <v>10</v>
      </c>
      <c r="Q14" s="247"/>
    </row>
    <row r="15" spans="1:23" ht="30" x14ac:dyDescent="0.2">
      <c r="A15" s="272" t="s">
        <v>211</v>
      </c>
      <c r="B15" s="271" t="s">
        <v>210</v>
      </c>
      <c r="C15" s="216"/>
      <c r="D15" s="216"/>
      <c r="E15" s="216"/>
      <c r="F15" s="216"/>
      <c r="G15" s="216"/>
      <c r="H15" s="216"/>
      <c r="I15" s="216"/>
      <c r="J15" s="216"/>
      <c r="K15" s="216"/>
      <c r="L15" s="216"/>
      <c r="M15" s="216"/>
      <c r="N15" s="215"/>
      <c r="O15" s="51" t="s">
        <v>10</v>
      </c>
      <c r="Q15" s="247"/>
    </row>
    <row r="16" spans="1:23" ht="57" x14ac:dyDescent="0.2">
      <c r="A16" s="267">
        <v>2.1</v>
      </c>
      <c r="B16" s="266" t="s">
        <v>209</v>
      </c>
      <c r="C16" s="268">
        <v>0</v>
      </c>
      <c r="D16" s="268">
        <v>41380</v>
      </c>
      <c r="E16" s="268">
        <v>0</v>
      </c>
      <c r="F16" s="268">
        <v>134500</v>
      </c>
      <c r="G16" s="268">
        <v>0</v>
      </c>
      <c r="H16" s="268">
        <f t="shared" ref="H16:H21" si="2">F16</f>
        <v>134500</v>
      </c>
      <c r="I16" s="268">
        <v>0</v>
      </c>
      <c r="J16" s="268">
        <f>'B. Summ of Req. - S&amp;L'!D29</f>
        <v>19000</v>
      </c>
      <c r="K16" s="268">
        <v>0</v>
      </c>
      <c r="L16" s="268">
        <f>'B. Summ of Req. - S&amp;L'!D45+'B. Summ of Req. - S&amp;L'!D46+'B. Summ of Req. - S&amp;L'!D59</f>
        <v>-28000</v>
      </c>
      <c r="M16" s="268">
        <f t="shared" ref="M16:N21" si="3">G16+I16+K16</f>
        <v>0</v>
      </c>
      <c r="N16" s="279">
        <f t="shared" si="3"/>
        <v>125500</v>
      </c>
      <c r="O16" s="51" t="s">
        <v>10</v>
      </c>
      <c r="Q16" s="247"/>
    </row>
    <row r="17" spans="1:17" ht="48.75" customHeight="1" x14ac:dyDescent="0.2">
      <c r="A17" s="267">
        <v>2.2000000000000002</v>
      </c>
      <c r="B17" s="266" t="s">
        <v>208</v>
      </c>
      <c r="C17" s="268">
        <v>0</v>
      </c>
      <c r="D17" s="268">
        <v>31003</v>
      </c>
      <c r="E17" s="268">
        <v>0</v>
      </c>
      <c r="F17" s="268">
        <v>46500</v>
      </c>
      <c r="G17" s="268">
        <v>0</v>
      </c>
      <c r="H17" s="268">
        <f t="shared" si="2"/>
        <v>46500</v>
      </c>
      <c r="I17" s="268">
        <v>0</v>
      </c>
      <c r="J17" s="268">
        <f>'B. Summ of Req. - S&amp;L'!D33</f>
        <v>15000</v>
      </c>
      <c r="K17" s="268">
        <v>0</v>
      </c>
      <c r="L17" s="268">
        <f>'B. Summ of Req. - S&amp;L'!D52+'B. Summ of Req. - S&amp;L'!D58+'B. Summ of Req. - S&amp;L'!D60</f>
        <v>-17000</v>
      </c>
      <c r="M17" s="268">
        <f t="shared" si="3"/>
        <v>0</v>
      </c>
      <c r="N17" s="279">
        <f t="shared" si="3"/>
        <v>44500</v>
      </c>
      <c r="O17" s="51" t="s">
        <v>10</v>
      </c>
      <c r="Q17" s="247"/>
    </row>
    <row r="18" spans="1:17" ht="42.75" x14ac:dyDescent="0.2">
      <c r="A18" s="267">
        <v>2.2999999999999998</v>
      </c>
      <c r="B18" s="266" t="s">
        <v>207</v>
      </c>
      <c r="C18" s="268">
        <v>0</v>
      </c>
      <c r="D18" s="268">
        <v>45126</v>
      </c>
      <c r="E18" s="268">
        <v>0</v>
      </c>
      <c r="F18" s="268">
        <f>'B. Summ of Req. by DU - S&amp;L'!G38+'B. Summ of Req. by DU - S&amp;L'!G54</f>
        <v>47500</v>
      </c>
      <c r="G18" s="268">
        <v>0</v>
      </c>
      <c r="H18" s="268">
        <f t="shared" si="2"/>
        <v>47500</v>
      </c>
      <c r="I18" s="268">
        <v>0</v>
      </c>
      <c r="J18" s="268">
        <v>0</v>
      </c>
      <c r="K18" s="268">
        <v>0</v>
      </c>
      <c r="L18" s="268">
        <f>'B. Summ of Req. - S&amp;L'!D48</f>
        <v>-40500</v>
      </c>
      <c r="M18" s="268">
        <f t="shared" si="3"/>
        <v>0</v>
      </c>
      <c r="N18" s="279">
        <f t="shared" si="3"/>
        <v>7000</v>
      </c>
      <c r="O18" s="51" t="s">
        <v>10</v>
      </c>
      <c r="Q18" s="247"/>
    </row>
    <row r="19" spans="1:17" ht="28.5" x14ac:dyDescent="0.2">
      <c r="A19" s="267">
        <v>2.4</v>
      </c>
      <c r="B19" s="266" t="s">
        <v>206</v>
      </c>
      <c r="C19" s="268">
        <v>0</v>
      </c>
      <c r="D19" s="268">
        <v>8369</v>
      </c>
      <c r="E19" s="268">
        <v>0</v>
      </c>
      <c r="F19" s="268">
        <f>'B. Summ of Req. by DU - S&amp;L'!G39</f>
        <v>10000</v>
      </c>
      <c r="G19" s="268">
        <v>0</v>
      </c>
      <c r="H19" s="268">
        <f t="shared" si="2"/>
        <v>10000</v>
      </c>
      <c r="I19" s="268">
        <v>0</v>
      </c>
      <c r="J19" s="268">
        <f>'B. Summ of Req. - S&amp;L'!D34</f>
        <v>5000</v>
      </c>
      <c r="K19" s="268">
        <v>0</v>
      </c>
      <c r="L19" s="268">
        <v>0</v>
      </c>
      <c r="M19" s="268">
        <f t="shared" si="3"/>
        <v>0</v>
      </c>
      <c r="N19" s="279">
        <f t="shared" si="3"/>
        <v>15000</v>
      </c>
      <c r="O19" s="51" t="s">
        <v>10</v>
      </c>
      <c r="Q19" s="247"/>
    </row>
    <row r="20" spans="1:17" ht="28.5" x14ac:dyDescent="0.2">
      <c r="A20" s="267">
        <v>2.5</v>
      </c>
      <c r="B20" s="266" t="s">
        <v>205</v>
      </c>
      <c r="C20" s="268">
        <v>0</v>
      </c>
      <c r="D20" s="268">
        <v>0</v>
      </c>
      <c r="E20" s="268">
        <v>0</v>
      </c>
      <c r="F20" s="268">
        <v>0</v>
      </c>
      <c r="G20" s="268">
        <v>0</v>
      </c>
      <c r="H20" s="268">
        <f t="shared" si="2"/>
        <v>0</v>
      </c>
      <c r="I20" s="268">
        <v>0</v>
      </c>
      <c r="J20" s="268">
        <v>0</v>
      </c>
      <c r="K20" s="268">
        <v>0</v>
      </c>
      <c r="L20" s="268">
        <v>0</v>
      </c>
      <c r="M20" s="268">
        <f t="shared" si="3"/>
        <v>0</v>
      </c>
      <c r="N20" s="279">
        <f t="shared" si="3"/>
        <v>0</v>
      </c>
      <c r="O20" s="51" t="s">
        <v>10</v>
      </c>
      <c r="Q20" s="247"/>
    </row>
    <row r="21" spans="1:17" ht="28.5" x14ac:dyDescent="0.2">
      <c r="A21" s="267">
        <v>2.6</v>
      </c>
      <c r="B21" s="266" t="s">
        <v>204</v>
      </c>
      <c r="C21" s="268">
        <v>0</v>
      </c>
      <c r="D21" s="268">
        <v>0</v>
      </c>
      <c r="E21" s="268">
        <v>0</v>
      </c>
      <c r="F21" s="268">
        <v>0</v>
      </c>
      <c r="G21" s="268">
        <v>0</v>
      </c>
      <c r="H21" s="268">
        <f t="shared" si="2"/>
        <v>0</v>
      </c>
      <c r="I21" s="268">
        <v>0</v>
      </c>
      <c r="J21" s="268">
        <v>0</v>
      </c>
      <c r="K21" s="268">
        <v>0</v>
      </c>
      <c r="L21" s="268">
        <v>0</v>
      </c>
      <c r="M21" s="268">
        <f t="shared" si="3"/>
        <v>0</v>
      </c>
      <c r="N21" s="279">
        <f t="shared" si="3"/>
        <v>0</v>
      </c>
      <c r="O21" s="51" t="s">
        <v>10</v>
      </c>
      <c r="Q21" s="247"/>
    </row>
    <row r="22" spans="1:17" ht="15" x14ac:dyDescent="0.25">
      <c r="A22" s="262"/>
      <c r="B22" s="273" t="s">
        <v>203</v>
      </c>
      <c r="C22" s="260">
        <f t="shared" ref="C22:N22" si="4">SUM(C16:C21)</f>
        <v>0</v>
      </c>
      <c r="D22" s="260">
        <f t="shared" si="4"/>
        <v>125878</v>
      </c>
      <c r="E22" s="260">
        <f t="shared" si="4"/>
        <v>0</v>
      </c>
      <c r="F22" s="260">
        <f t="shared" si="4"/>
        <v>238500</v>
      </c>
      <c r="G22" s="260">
        <f t="shared" si="4"/>
        <v>0</v>
      </c>
      <c r="H22" s="260">
        <f t="shared" si="4"/>
        <v>238500</v>
      </c>
      <c r="I22" s="260">
        <f t="shared" si="4"/>
        <v>0</v>
      </c>
      <c r="J22" s="260">
        <f t="shared" si="4"/>
        <v>39000</v>
      </c>
      <c r="K22" s="260">
        <f t="shared" si="4"/>
        <v>0</v>
      </c>
      <c r="L22" s="260">
        <f t="shared" si="4"/>
        <v>-85500</v>
      </c>
      <c r="M22" s="260">
        <f t="shared" si="4"/>
        <v>0</v>
      </c>
      <c r="N22" s="317">
        <f t="shared" si="4"/>
        <v>192000</v>
      </c>
      <c r="O22" s="51" t="s">
        <v>10</v>
      </c>
      <c r="Q22" s="247"/>
    </row>
    <row r="23" spans="1:17" ht="45" x14ac:dyDescent="0.2">
      <c r="A23" s="272" t="s">
        <v>202</v>
      </c>
      <c r="B23" s="271" t="s">
        <v>201</v>
      </c>
      <c r="C23" s="216"/>
      <c r="D23" s="216"/>
      <c r="E23" s="216"/>
      <c r="F23" s="216"/>
      <c r="G23" s="216"/>
      <c r="H23" s="216"/>
      <c r="I23" s="216"/>
      <c r="J23" s="216"/>
      <c r="K23" s="216"/>
      <c r="L23" s="216"/>
      <c r="M23" s="216"/>
      <c r="N23" s="215"/>
      <c r="O23" s="51" t="s">
        <v>10</v>
      </c>
      <c r="Q23" s="247"/>
    </row>
    <row r="24" spans="1:17" ht="57" x14ac:dyDescent="0.2">
      <c r="A24" s="267">
        <v>3.1</v>
      </c>
      <c r="B24" s="266" t="s">
        <v>200</v>
      </c>
      <c r="C24" s="268">
        <v>0</v>
      </c>
      <c r="D24" s="268">
        <v>934590</v>
      </c>
      <c r="E24" s="268">
        <v>0</v>
      </c>
      <c r="F24" s="268">
        <v>791250</v>
      </c>
      <c r="G24" s="268">
        <v>0</v>
      </c>
      <c r="H24" s="268">
        <f t="shared" ref="H24:H31" si="5">F24</f>
        <v>791250</v>
      </c>
      <c r="I24" s="268">
        <v>0</v>
      </c>
      <c r="J24" s="268">
        <f>'B. Summ of Req. - S&amp;L'!D28+'B. Summ of Req. - S&amp;L'!D30+'B. Summ of Req. - S&amp;L'!D31+'B. Summ of Req. - S&amp;L'!D32+'B. Summ of Req. - S&amp;L'!D35+'B. Summ of Req. - S&amp;L'!D39+'B. Summ of Req. - S&amp;L'!D37</f>
        <v>74400</v>
      </c>
      <c r="K24" s="268">
        <v>0</v>
      </c>
      <c r="L24" s="268">
        <f>'B. Summ of Req. - S&amp;L'!D47+'B. Summ of Req. - S&amp;L'!D50+'B. Summ of Req. - S&amp;L'!D51+'B. Summ of Req. - S&amp;L'!D54+'B. Summ of Req. - S&amp;L'!D56+'B. Summ of Req. - S&amp;L'!D57+'B. Summ of Req. - S&amp;L'!D53</f>
        <v>-238250</v>
      </c>
      <c r="M24" s="268">
        <f t="shared" ref="M24:N27" si="6">G24+I24+K24</f>
        <v>0</v>
      </c>
      <c r="N24" s="279">
        <f t="shared" si="6"/>
        <v>627400</v>
      </c>
      <c r="O24" s="51" t="s">
        <v>10</v>
      </c>
      <c r="Q24" s="247"/>
    </row>
    <row r="25" spans="1:17" ht="42.75" x14ac:dyDescent="0.2">
      <c r="A25" s="267">
        <v>3.2</v>
      </c>
      <c r="B25" s="266" t="s">
        <v>199</v>
      </c>
      <c r="C25" s="268">
        <v>0</v>
      </c>
      <c r="D25" s="268">
        <v>0</v>
      </c>
      <c r="E25" s="268">
        <v>0</v>
      </c>
      <c r="F25" s="268">
        <v>0</v>
      </c>
      <c r="G25" s="268">
        <v>0</v>
      </c>
      <c r="H25" s="268">
        <f t="shared" si="5"/>
        <v>0</v>
      </c>
      <c r="I25" s="268">
        <v>0</v>
      </c>
      <c r="J25" s="268">
        <v>0</v>
      </c>
      <c r="K25" s="268">
        <v>0</v>
      </c>
      <c r="L25" s="268">
        <v>0</v>
      </c>
      <c r="M25" s="268">
        <f t="shared" si="6"/>
        <v>0</v>
      </c>
      <c r="N25" s="279">
        <f t="shared" si="6"/>
        <v>0</v>
      </c>
      <c r="O25" s="51" t="s">
        <v>10</v>
      </c>
      <c r="Q25" s="247"/>
    </row>
    <row r="26" spans="1:17" ht="42.75" x14ac:dyDescent="0.2">
      <c r="A26" s="267">
        <v>3.3</v>
      </c>
      <c r="B26" s="266" t="s">
        <v>198</v>
      </c>
      <c r="C26" s="268">
        <v>0</v>
      </c>
      <c r="D26" s="268">
        <v>0</v>
      </c>
      <c r="E26" s="268">
        <v>0</v>
      </c>
      <c r="F26" s="268">
        <v>107750</v>
      </c>
      <c r="G26" s="268">
        <v>0</v>
      </c>
      <c r="H26" s="268">
        <f t="shared" si="5"/>
        <v>107750</v>
      </c>
      <c r="I26" s="268">
        <v>0</v>
      </c>
      <c r="J26" s="268">
        <f>'B. Summ of Req. - S&amp;L'!D36+'B. Summ of Req. - S&amp;L'!D41+'B. Summ of Req. - S&amp;L'!D42</f>
        <v>53750</v>
      </c>
      <c r="K26" s="268">
        <v>0</v>
      </c>
      <c r="L26" s="268">
        <f>'B. Summ of Req. - S&amp;L'!D55</f>
        <v>-2000</v>
      </c>
      <c r="M26" s="268">
        <f t="shared" si="6"/>
        <v>0</v>
      </c>
      <c r="N26" s="279">
        <f t="shared" si="6"/>
        <v>159500</v>
      </c>
      <c r="O26" s="51" t="s">
        <v>10</v>
      </c>
      <c r="Q26" s="247"/>
    </row>
    <row r="27" spans="1:17" ht="57" x14ac:dyDescent="0.2">
      <c r="A27" s="267">
        <v>3.4</v>
      </c>
      <c r="B27" s="266" t="s">
        <v>197</v>
      </c>
      <c r="C27" s="268">
        <v>0</v>
      </c>
      <c r="D27" s="268">
        <v>0</v>
      </c>
      <c r="E27" s="268">
        <v>0</v>
      </c>
      <c r="F27" s="268">
        <f>'B. Summ of Req. by DU - S&amp;L'!G58</f>
        <v>4000</v>
      </c>
      <c r="G27" s="268">
        <v>0</v>
      </c>
      <c r="H27" s="268">
        <f t="shared" si="5"/>
        <v>4000</v>
      </c>
      <c r="I27" s="268">
        <v>0</v>
      </c>
      <c r="J27" s="268">
        <f>'B. Summ of Req. - S&amp;L'!D38+'B. Summ of Req. - S&amp;L'!D40</f>
        <v>50000</v>
      </c>
      <c r="K27" s="268">
        <v>0</v>
      </c>
      <c r="L27" s="268">
        <v>0</v>
      </c>
      <c r="M27" s="268">
        <f t="shared" si="6"/>
        <v>0</v>
      </c>
      <c r="N27" s="279">
        <f t="shared" si="6"/>
        <v>54000</v>
      </c>
      <c r="O27" s="51" t="s">
        <v>10</v>
      </c>
      <c r="Q27" s="247"/>
    </row>
    <row r="28" spans="1:17" ht="28.5" hidden="1" x14ac:dyDescent="0.2">
      <c r="A28" s="264">
        <v>3.5</v>
      </c>
      <c r="B28" s="263" t="s">
        <v>196</v>
      </c>
      <c r="C28" s="334">
        <v>0</v>
      </c>
      <c r="D28" s="334">
        <v>0</v>
      </c>
      <c r="E28" s="334"/>
      <c r="F28" s="334">
        <v>0</v>
      </c>
      <c r="G28" s="334"/>
      <c r="H28" s="334">
        <f t="shared" si="5"/>
        <v>0</v>
      </c>
      <c r="I28" s="334">
        <v>0</v>
      </c>
      <c r="J28" s="334">
        <v>0</v>
      </c>
      <c r="K28" s="334">
        <v>0</v>
      </c>
      <c r="L28" s="334"/>
      <c r="M28" s="334">
        <v>0</v>
      </c>
      <c r="N28" s="333">
        <f>H28+J28+L28</f>
        <v>0</v>
      </c>
      <c r="O28" s="51" t="s">
        <v>10</v>
      </c>
      <c r="Q28" s="247"/>
    </row>
    <row r="29" spans="1:17" ht="57" hidden="1" x14ac:dyDescent="0.2">
      <c r="A29" s="264">
        <v>3.6</v>
      </c>
      <c r="B29" s="263" t="s">
        <v>195</v>
      </c>
      <c r="C29" s="334">
        <v>0</v>
      </c>
      <c r="D29" s="334">
        <v>0</v>
      </c>
      <c r="E29" s="334"/>
      <c r="F29" s="334">
        <v>0</v>
      </c>
      <c r="G29" s="334">
        <v>0</v>
      </c>
      <c r="H29" s="334">
        <f t="shared" si="5"/>
        <v>0</v>
      </c>
      <c r="I29" s="334">
        <v>0</v>
      </c>
      <c r="J29" s="334">
        <v>0</v>
      </c>
      <c r="K29" s="334">
        <v>0</v>
      </c>
      <c r="L29" s="334">
        <v>0</v>
      </c>
      <c r="M29" s="334">
        <v>0</v>
      </c>
      <c r="N29" s="333">
        <v>0</v>
      </c>
      <c r="O29" s="51" t="s">
        <v>10</v>
      </c>
      <c r="Q29" s="247"/>
    </row>
    <row r="30" spans="1:17" ht="28.5" hidden="1" x14ac:dyDescent="0.2">
      <c r="A30" s="264">
        <v>3.7</v>
      </c>
      <c r="B30" s="338" t="s">
        <v>194</v>
      </c>
      <c r="C30" s="334">
        <v>0</v>
      </c>
      <c r="D30" s="334">
        <v>0</v>
      </c>
      <c r="E30" s="334"/>
      <c r="F30" s="334">
        <v>0</v>
      </c>
      <c r="G30" s="334">
        <v>0</v>
      </c>
      <c r="H30" s="334">
        <f t="shared" si="5"/>
        <v>0</v>
      </c>
      <c r="I30" s="334">
        <v>0</v>
      </c>
      <c r="J30" s="334">
        <v>0</v>
      </c>
      <c r="K30" s="334">
        <v>0</v>
      </c>
      <c r="L30" s="334">
        <v>0</v>
      </c>
      <c r="M30" s="334">
        <v>0</v>
      </c>
      <c r="N30" s="333">
        <v>0</v>
      </c>
      <c r="O30" s="51" t="s">
        <v>10</v>
      </c>
      <c r="Q30" s="247"/>
    </row>
    <row r="31" spans="1:17" ht="71.25" x14ac:dyDescent="0.2">
      <c r="A31" s="264">
        <v>3.8</v>
      </c>
      <c r="B31" s="263" t="s">
        <v>193</v>
      </c>
      <c r="C31" s="334">
        <v>0</v>
      </c>
      <c r="D31" s="334">
        <v>0</v>
      </c>
      <c r="E31" s="334"/>
      <c r="F31" s="334">
        <f>'B. Summ of Req. by DU - S&amp;L'!G42</f>
        <v>30000</v>
      </c>
      <c r="G31" s="334">
        <v>0</v>
      </c>
      <c r="H31" s="334">
        <f t="shared" si="5"/>
        <v>30000</v>
      </c>
      <c r="I31" s="334">
        <v>0</v>
      </c>
      <c r="J31" s="334">
        <v>0</v>
      </c>
      <c r="K31" s="334">
        <v>0</v>
      </c>
      <c r="L31" s="334">
        <f>'B. Summ of Req. - S&amp;L'!D49</f>
        <v>-30000</v>
      </c>
      <c r="M31" s="334">
        <v>0</v>
      </c>
      <c r="N31" s="333">
        <v>0</v>
      </c>
      <c r="O31" s="51" t="s">
        <v>10</v>
      </c>
      <c r="Q31" s="247"/>
    </row>
    <row r="32" spans="1:17" ht="15" x14ac:dyDescent="0.25">
      <c r="A32" s="262"/>
      <c r="B32" s="261" t="s">
        <v>192</v>
      </c>
      <c r="C32" s="260">
        <f t="shared" ref="C32:N32" si="7">SUM(C24:C31)</f>
        <v>0</v>
      </c>
      <c r="D32" s="260">
        <f t="shared" si="7"/>
        <v>934590</v>
      </c>
      <c r="E32" s="260">
        <f t="shared" si="7"/>
        <v>0</v>
      </c>
      <c r="F32" s="260">
        <f t="shared" si="7"/>
        <v>933000</v>
      </c>
      <c r="G32" s="260">
        <f t="shared" si="7"/>
        <v>0</v>
      </c>
      <c r="H32" s="260">
        <f t="shared" si="7"/>
        <v>933000</v>
      </c>
      <c r="I32" s="260">
        <f t="shared" si="7"/>
        <v>0</v>
      </c>
      <c r="J32" s="260">
        <f t="shared" si="7"/>
        <v>178150</v>
      </c>
      <c r="K32" s="260">
        <f t="shared" si="7"/>
        <v>0</v>
      </c>
      <c r="L32" s="260">
        <f t="shared" si="7"/>
        <v>-270250</v>
      </c>
      <c r="M32" s="260">
        <f t="shared" si="7"/>
        <v>0</v>
      </c>
      <c r="N32" s="317">
        <f t="shared" si="7"/>
        <v>840900</v>
      </c>
      <c r="O32" s="51" t="s">
        <v>10</v>
      </c>
      <c r="Q32" s="247"/>
    </row>
    <row r="33" spans="1:17" ht="15.75" thickBot="1" x14ac:dyDescent="0.3">
      <c r="A33" s="259"/>
      <c r="B33" s="258" t="s">
        <v>191</v>
      </c>
      <c r="C33" s="246">
        <f t="shared" ref="C33:N33" si="8">C32+C22+C14</f>
        <v>0</v>
      </c>
      <c r="D33" s="246">
        <f t="shared" si="8"/>
        <v>1060468</v>
      </c>
      <c r="E33" s="246">
        <f t="shared" si="8"/>
        <v>0</v>
      </c>
      <c r="F33" s="246">
        <f t="shared" si="8"/>
        <v>1171500</v>
      </c>
      <c r="G33" s="246">
        <f t="shared" si="8"/>
        <v>0</v>
      </c>
      <c r="H33" s="246">
        <f t="shared" si="8"/>
        <v>1171500</v>
      </c>
      <c r="I33" s="246">
        <f t="shared" si="8"/>
        <v>0</v>
      </c>
      <c r="J33" s="246">
        <f t="shared" si="8"/>
        <v>217150</v>
      </c>
      <c r="K33" s="246">
        <f t="shared" si="8"/>
        <v>0</v>
      </c>
      <c r="L33" s="246">
        <f t="shared" si="8"/>
        <v>-355750</v>
      </c>
      <c r="M33" s="246">
        <f t="shared" si="8"/>
        <v>0</v>
      </c>
      <c r="N33" s="245">
        <f t="shared" si="8"/>
        <v>1032900</v>
      </c>
      <c r="O33" s="51" t="s">
        <v>10</v>
      </c>
      <c r="Q33" s="244"/>
    </row>
    <row r="34" spans="1:17" x14ac:dyDescent="0.2">
      <c r="O34" s="51" t="s">
        <v>10</v>
      </c>
      <c r="Q34" s="247"/>
    </row>
    <row r="35" spans="1:17" ht="15" x14ac:dyDescent="0.2">
      <c r="A35" s="629" t="s">
        <v>190</v>
      </c>
      <c r="B35" s="629"/>
      <c r="C35" s="629"/>
      <c r="D35" s="629"/>
      <c r="E35" s="629"/>
      <c r="F35" s="629"/>
      <c r="G35" s="629"/>
      <c r="H35" s="629"/>
      <c r="I35" s="629"/>
      <c r="J35" s="629"/>
      <c r="K35" s="629"/>
      <c r="L35" s="629"/>
      <c r="M35" s="629"/>
      <c r="N35" s="629"/>
      <c r="O35" s="51" t="s">
        <v>11</v>
      </c>
      <c r="Q35" s="247"/>
    </row>
    <row r="36" spans="1:17" x14ac:dyDescent="0.2">
      <c r="Q36" s="247"/>
    </row>
    <row r="37" spans="1:17" x14ac:dyDescent="0.2">
      <c r="A37" s="257"/>
      <c r="Q37" s="247"/>
    </row>
    <row r="38" spans="1:17" x14ac:dyDescent="0.2">
      <c r="F38" s="147"/>
      <c r="Q38" s="247"/>
    </row>
  </sheetData>
  <customSheetViews>
    <customSheetView guid="{EE916FE7-61FB-4021-ADDD-E082241FC03C}" scale="80" showPageBreaks="1" printArea="1" view="pageBreakPreview">
      <selection activeCell="D14" sqref="D14"/>
      <rowBreaks count="1" manualBreakCount="1">
        <brk id="22" max="13" man="1"/>
      </rowBreaks>
      <pageMargins left="0.7" right="0.7" top="0.75" bottom="0.75" header="0.3" footer="0.3"/>
      <printOptions horizontalCentered="1"/>
      <pageSetup scale="60" orientation="landscape" r:id="rId1"/>
      <headerFooter>
        <oddHeader>&amp;L&amp;"Arial,Bold"&amp;12D. Resources by DOJ Strategic Goal and Strategic Objective</oddHeader>
        <oddFooter>&amp;C&amp;"Arial,Regular"Exhibit D - Resources by DOJ Strategic Goal and Strategic Objective&amp;RState and Local Law Enforcement Assistance</oddFooter>
      </headerFooter>
    </customSheetView>
    <customSheetView guid="{0BB5DC4B-BC2A-4489-BE17-5E267FA1EF63}" scale="80" showPageBreaks="1" printArea="1" view="pageBreakPreview">
      <selection activeCell="D14" sqref="D14"/>
      <rowBreaks count="1" manualBreakCount="1">
        <brk id="22" max="13" man="1"/>
      </rowBreaks>
      <pageMargins left="0.7" right="0.7" top="0.75" bottom="0.75" header="0.3" footer="0.3"/>
      <printOptions horizontalCentered="1"/>
      <pageSetup scale="60" orientation="landscape" r:id="rId2"/>
      <headerFooter>
        <oddHeader>&amp;L&amp;"Arial,Bold"&amp;12D. Resources by DOJ Strategic Goal and Strategic Objective</oddHeader>
        <oddFooter>&amp;C&amp;"Arial,Regular"Exhibit D - Resources by DOJ Strategic Goal and Strategic Objective&amp;RState and Local Law Enforcement Assistance</oddFooter>
      </headerFooter>
    </customSheetView>
    <customSheetView guid="{6C58FFE1-D756-42C4-A1BC-AA7F1DC1E56F}" scale="80" showPageBreaks="1" printArea="1" view="pageBreakPreview" topLeftCell="C1">
      <selection activeCell="K10" sqref="K10"/>
      <rowBreaks count="1" manualBreakCount="1">
        <brk id="22" max="13" man="1"/>
      </rowBreaks>
      <pageMargins left="0.7" right="0.7" top="0.75" bottom="0.75" header="0.3" footer="0.3"/>
      <printOptions horizontalCentered="1"/>
      <pageSetup scale="60" orientation="landscape" r:id="rId3"/>
      <headerFooter>
        <oddHeader>&amp;L&amp;"Arial,Bold"&amp;12D. Resources by DOJ Strategic Goal and Strategic Objective</oddHeader>
        <oddFooter>&amp;C&amp;"Arial,Regular"Exhibit D - Resources by DOJ Strategic Goal and Strategic Objective&amp;RState and Local Law Enforcement Assistance</oddFooter>
      </headerFooter>
    </customSheetView>
    <customSheetView guid="{CFA5D1C9-F4C9-4B8D-923D-4C71CB6E7D3B}" scale="80" showPageBreaks="1" printArea="1" view="pageBreakPreview">
      <selection activeCell="D14" sqref="D14"/>
      <rowBreaks count="1" manualBreakCount="1">
        <brk id="22" max="13" man="1"/>
      </rowBreaks>
      <pageMargins left="0.7" right="0.7" top="0.75" bottom="0.75" header="0.3" footer="0.3"/>
      <printOptions horizontalCentered="1"/>
      <pageSetup scale="60" orientation="landscape" r:id="rId4"/>
      <headerFooter>
        <oddHeader>&amp;L&amp;"Arial,Bold"&amp;12D. Resources by DOJ Strategic Goal and Strategic Objective</oddHeader>
        <oddFooter>&amp;C&amp;"Arial,Regular"Exhibit D - Resources by DOJ Strategic Goal and Strategic Objective&amp;RState and Local Law Enforcement Assistance</oddFooter>
      </headerFooter>
    </customSheetView>
    <customSheetView guid="{A788DF77-74F1-49E4-8B34-BFBDB7664F30}" scale="80" showPageBreaks="1" printArea="1" view="pageBreakPreview" topLeftCell="C1">
      <selection activeCell="K10" sqref="K10"/>
      <rowBreaks count="1" manualBreakCount="1">
        <brk id="22" max="13" man="1"/>
      </rowBreaks>
      <pageMargins left="0.7" right="0.7" top="0.75" bottom="0.75" header="0.3" footer="0.3"/>
      <printOptions horizontalCentered="1"/>
      <pageSetup scale="60" orientation="landscape" r:id="rId5"/>
      <headerFooter>
        <oddHeader>&amp;L&amp;"Arial,Bold"&amp;12D. Resources by DOJ Strategic Goal and Strategic Objective</oddHeader>
        <oddFooter>&amp;C&amp;"Arial,Regular"Exhibit D - Resources by DOJ Strategic Goal and Strategic Objective&amp;RState and Local Law Enforcement Assistance</oddFooter>
      </headerFooter>
    </customSheetView>
  </customSheetViews>
  <mergeCells count="14">
    <mergeCell ref="A35:N35"/>
    <mergeCell ref="M7:N7"/>
    <mergeCell ref="A7:B8"/>
    <mergeCell ref="A6:N6"/>
    <mergeCell ref="C7:D7"/>
    <mergeCell ref="E7:F7"/>
    <mergeCell ref="G7:H7"/>
    <mergeCell ref="I7:J7"/>
    <mergeCell ref="K7:L7"/>
    <mergeCell ref="A1:N1"/>
    <mergeCell ref="A2:N2"/>
    <mergeCell ref="A3:N3"/>
    <mergeCell ref="A4:N4"/>
    <mergeCell ref="A5:N5"/>
  </mergeCells>
  <printOptions horizontalCentered="1"/>
  <pageMargins left="0.7" right="0.7" top="0.75" bottom="0.75" header="0.3" footer="0.3"/>
  <pageSetup scale="60" orientation="landscape" r:id="rId6"/>
  <headerFooter>
    <oddHeader>&amp;L&amp;"Arial,Bold"&amp;12D. Resources by DOJ Strategic Goal and Strategic Objective</oddHeader>
    <oddFooter>&amp;C&amp;"Arial,Regular"Exhibit D - Resources by DOJ Strategic Goal and Strategic Objective&amp;RState and Local Law Enforcement Assistance</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1"/>
  <sheetViews>
    <sheetView view="pageBreakPreview" zoomScale="60" zoomScaleNormal="100" workbookViewId="0">
      <selection activeCell="A7" sqref="A7:U8"/>
    </sheetView>
  </sheetViews>
  <sheetFormatPr defaultRowHeight="14.25" x14ac:dyDescent="0.2"/>
  <cols>
    <col min="1" max="1" width="83.140625" style="143" customWidth="1"/>
    <col min="2" max="3" width="8.28515625" style="143" customWidth="1"/>
    <col min="4" max="4" width="12.7109375" style="143" customWidth="1"/>
    <col min="5" max="5" width="7.140625" style="143" hidden="1" customWidth="1"/>
    <col min="6" max="6" width="8.7109375" style="143" hidden="1" customWidth="1"/>
    <col min="7" max="7" width="8.28515625" style="143" hidden="1" customWidth="1"/>
    <col min="8" max="8" width="7.140625" style="143" customWidth="1"/>
    <col min="9" max="9" width="8.7109375" style="143" customWidth="1"/>
    <col min="10" max="10" width="10.7109375" style="143" customWidth="1"/>
    <col min="11" max="11" width="7.140625" style="143" hidden="1" customWidth="1"/>
    <col min="12" max="12" width="8.7109375" style="143" hidden="1" customWidth="1"/>
    <col min="13" max="13" width="12.28515625" style="143" customWidth="1"/>
    <col min="14" max="15" width="8.28515625" style="143" customWidth="1"/>
    <col min="16" max="16" width="11.42578125" style="143" customWidth="1"/>
    <col min="17" max="17" width="11.28515625" style="143" customWidth="1"/>
    <col min="18" max="18" width="12.7109375" style="143" customWidth="1"/>
    <col min="19" max="20" width="8.28515625" style="143" customWidth="1"/>
    <col min="21" max="21" width="13.5703125" style="143" customWidth="1"/>
    <col min="22" max="22" width="14" style="4" bestFit="1" customWidth="1"/>
    <col min="23" max="23" width="4.5703125" style="143" customWidth="1"/>
    <col min="24" max="24" width="28" style="143" customWidth="1"/>
    <col min="25" max="26" width="8.28515625" style="143" customWidth="1"/>
    <col min="27" max="27" width="12.7109375" style="143" customWidth="1"/>
    <col min="28" max="29" width="8.28515625" style="143" customWidth="1"/>
    <col min="30" max="30" width="12.7109375" style="143" customWidth="1"/>
    <col min="31" max="16384" width="9.140625" style="143"/>
  </cols>
  <sheetData>
    <row r="1" spans="1:30" ht="18" x14ac:dyDescent="0.25">
      <c r="A1" s="577" t="s">
        <v>29</v>
      </c>
      <c r="B1" s="577"/>
      <c r="C1" s="577"/>
      <c r="D1" s="577"/>
      <c r="E1" s="577"/>
      <c r="F1" s="577"/>
      <c r="G1" s="577"/>
      <c r="H1" s="577"/>
      <c r="I1" s="577"/>
      <c r="J1" s="577"/>
      <c r="K1" s="577"/>
      <c r="L1" s="577"/>
      <c r="M1" s="577"/>
      <c r="N1" s="577"/>
      <c r="O1" s="577"/>
      <c r="P1" s="577"/>
      <c r="Q1" s="577"/>
      <c r="R1" s="577"/>
      <c r="S1" s="577"/>
      <c r="T1" s="577"/>
      <c r="U1" s="577"/>
      <c r="V1" s="51" t="s">
        <v>10</v>
      </c>
      <c r="W1" s="6"/>
      <c r="X1" s="199"/>
      <c r="Y1" s="6"/>
      <c r="Z1" s="6"/>
      <c r="AA1" s="6"/>
      <c r="AB1" s="6"/>
      <c r="AC1" s="6"/>
      <c r="AD1" s="6"/>
    </row>
    <row r="2" spans="1:30" ht="15" x14ac:dyDescent="0.2">
      <c r="A2" s="578" t="s">
        <v>152</v>
      </c>
      <c r="B2" s="578"/>
      <c r="C2" s="578"/>
      <c r="D2" s="578"/>
      <c r="E2" s="578"/>
      <c r="F2" s="578"/>
      <c r="G2" s="578"/>
      <c r="H2" s="578"/>
      <c r="I2" s="578"/>
      <c r="J2" s="578"/>
      <c r="K2" s="578"/>
      <c r="L2" s="578"/>
      <c r="M2" s="578"/>
      <c r="N2" s="578"/>
      <c r="O2" s="578"/>
      <c r="P2" s="578"/>
      <c r="Q2" s="578"/>
      <c r="R2" s="578"/>
      <c r="S2" s="578"/>
      <c r="T2" s="578"/>
      <c r="U2" s="578"/>
      <c r="V2" s="51" t="s">
        <v>10</v>
      </c>
      <c r="W2" s="7"/>
      <c r="X2" s="198"/>
      <c r="Y2" s="7"/>
      <c r="Z2" s="7"/>
      <c r="AA2" s="7"/>
      <c r="AB2" s="7"/>
      <c r="AC2" s="7"/>
      <c r="AD2" s="7"/>
    </row>
    <row r="3" spans="1:30" x14ac:dyDescent="0.2">
      <c r="A3" s="579" t="s">
        <v>282</v>
      </c>
      <c r="B3" s="579"/>
      <c r="C3" s="579"/>
      <c r="D3" s="579"/>
      <c r="E3" s="579"/>
      <c r="F3" s="579"/>
      <c r="G3" s="579"/>
      <c r="H3" s="579"/>
      <c r="I3" s="579"/>
      <c r="J3" s="579"/>
      <c r="K3" s="579"/>
      <c r="L3" s="579"/>
      <c r="M3" s="579"/>
      <c r="N3" s="579"/>
      <c r="O3" s="579"/>
      <c r="P3" s="579"/>
      <c r="Q3" s="579"/>
      <c r="R3" s="579"/>
      <c r="S3" s="579"/>
      <c r="T3" s="579"/>
      <c r="U3" s="579"/>
      <c r="V3" s="51" t="s">
        <v>10</v>
      </c>
      <c r="W3" s="163"/>
      <c r="X3" s="198"/>
      <c r="Y3" s="163"/>
      <c r="Z3" s="163"/>
      <c r="AA3" s="163"/>
      <c r="AB3" s="163"/>
      <c r="AC3" s="163"/>
      <c r="AD3" s="163"/>
    </row>
    <row r="4" spans="1:30" x14ac:dyDescent="0.2">
      <c r="A4" s="608" t="s">
        <v>1</v>
      </c>
      <c r="B4" s="608"/>
      <c r="C4" s="608"/>
      <c r="D4" s="608"/>
      <c r="E4" s="608"/>
      <c r="F4" s="608"/>
      <c r="G4" s="608"/>
      <c r="H4" s="608"/>
      <c r="I4" s="608"/>
      <c r="J4" s="608"/>
      <c r="K4" s="608"/>
      <c r="L4" s="608"/>
      <c r="M4" s="608"/>
      <c r="N4" s="608"/>
      <c r="O4" s="608"/>
      <c r="P4" s="608"/>
      <c r="Q4" s="608"/>
      <c r="R4" s="608"/>
      <c r="S4" s="608"/>
      <c r="T4" s="608"/>
      <c r="U4" s="608"/>
      <c r="V4" s="51" t="s">
        <v>10</v>
      </c>
      <c r="W4" s="162"/>
      <c r="X4" s="198"/>
      <c r="Y4" s="162"/>
      <c r="Z4" s="162"/>
      <c r="AA4" s="162"/>
      <c r="AB4" s="162"/>
      <c r="AC4" s="162"/>
      <c r="AD4" s="162"/>
    </row>
    <row r="5" spans="1:30" ht="15" x14ac:dyDescent="0.25">
      <c r="A5" s="162"/>
      <c r="B5" s="162"/>
      <c r="C5" s="162"/>
      <c r="D5" s="162"/>
      <c r="E5" s="162"/>
      <c r="F5" s="162"/>
      <c r="G5" s="162"/>
      <c r="H5" s="162"/>
      <c r="I5" s="162"/>
      <c r="J5" s="162"/>
      <c r="K5" s="162"/>
      <c r="L5" s="162"/>
      <c r="M5" s="162"/>
      <c r="N5" s="162"/>
      <c r="O5" s="162"/>
      <c r="P5" s="162"/>
      <c r="Q5" s="162"/>
      <c r="R5" s="162"/>
      <c r="S5" s="162"/>
      <c r="T5" s="162"/>
      <c r="U5" s="162"/>
      <c r="V5" s="51" t="s">
        <v>10</v>
      </c>
      <c r="W5" s="162"/>
      <c r="X5" s="241"/>
      <c r="Y5" s="162"/>
      <c r="Z5" s="162"/>
      <c r="AA5" s="162"/>
      <c r="AB5" s="162"/>
      <c r="AC5" s="162"/>
      <c r="AD5" s="162"/>
    </row>
    <row r="6" spans="1:30" ht="15" thickBot="1" x14ac:dyDescent="0.25">
      <c r="A6" s="287"/>
      <c r="B6" s="287"/>
      <c r="C6" s="287"/>
      <c r="D6" s="287"/>
      <c r="E6" s="287"/>
      <c r="F6" s="287"/>
      <c r="G6" s="287"/>
      <c r="H6" s="287"/>
      <c r="I6" s="287"/>
      <c r="J6" s="287"/>
      <c r="K6" s="287"/>
      <c r="L6" s="287"/>
      <c r="M6" s="287"/>
      <c r="N6" s="287"/>
      <c r="O6" s="287"/>
      <c r="P6" s="287"/>
      <c r="Q6" s="287"/>
      <c r="R6" s="287"/>
      <c r="S6" s="287"/>
      <c r="T6" s="287"/>
      <c r="U6" s="287"/>
      <c r="V6" s="51" t="s">
        <v>10</v>
      </c>
      <c r="W6" s="162"/>
      <c r="X6" s="247"/>
      <c r="Y6" s="162"/>
      <c r="Z6" s="162"/>
      <c r="AA6" s="162"/>
      <c r="AB6" s="162"/>
      <c r="AC6" s="162"/>
      <c r="AD6" s="162"/>
    </row>
    <row r="7" spans="1:30" ht="43.5" customHeight="1" x14ac:dyDescent="0.25">
      <c r="A7" s="585" t="s">
        <v>101</v>
      </c>
      <c r="B7" s="588" t="s">
        <v>137</v>
      </c>
      <c r="C7" s="588"/>
      <c r="D7" s="588"/>
      <c r="E7" s="588" t="s">
        <v>366</v>
      </c>
      <c r="F7" s="618"/>
      <c r="G7" s="619"/>
      <c r="H7" s="588" t="s">
        <v>97</v>
      </c>
      <c r="I7" s="618"/>
      <c r="J7" s="619"/>
      <c r="K7" s="588" t="s">
        <v>132</v>
      </c>
      <c r="L7" s="618"/>
      <c r="M7" s="619"/>
      <c r="N7" s="588" t="s">
        <v>365</v>
      </c>
      <c r="O7" s="588"/>
      <c r="P7" s="588"/>
      <c r="Q7" s="520" t="s">
        <v>28</v>
      </c>
      <c r="R7" s="520" t="s">
        <v>104</v>
      </c>
      <c r="S7" s="588" t="s">
        <v>133</v>
      </c>
      <c r="T7" s="588"/>
      <c r="U7" s="589"/>
      <c r="V7" s="51" t="s">
        <v>10</v>
      </c>
      <c r="X7" s="244"/>
    </row>
    <row r="8" spans="1:30" ht="28.5" x14ac:dyDescent="0.25">
      <c r="A8" s="586"/>
      <c r="B8" s="235" t="s">
        <v>2</v>
      </c>
      <c r="C8" s="235" t="s">
        <v>95</v>
      </c>
      <c r="D8" s="235" t="s">
        <v>3</v>
      </c>
      <c r="E8" s="235" t="s">
        <v>2</v>
      </c>
      <c r="F8" s="235" t="s">
        <v>95</v>
      </c>
      <c r="G8" s="235" t="s">
        <v>3</v>
      </c>
      <c r="H8" s="235" t="s">
        <v>2</v>
      </c>
      <c r="I8" s="235" t="s">
        <v>95</v>
      </c>
      <c r="J8" s="235" t="s">
        <v>3</v>
      </c>
      <c r="K8" s="235" t="s">
        <v>2</v>
      </c>
      <c r="L8" s="235" t="s">
        <v>95</v>
      </c>
      <c r="M8" s="235" t="s">
        <v>3</v>
      </c>
      <c r="N8" s="235" t="s">
        <v>2</v>
      </c>
      <c r="O8" s="235" t="s">
        <v>95</v>
      </c>
      <c r="P8" s="235" t="s">
        <v>3</v>
      </c>
      <c r="Q8" s="235" t="s">
        <v>3</v>
      </c>
      <c r="R8" s="235" t="s">
        <v>3</v>
      </c>
      <c r="S8" s="235" t="s">
        <v>2</v>
      </c>
      <c r="T8" s="235" t="s">
        <v>95</v>
      </c>
      <c r="U8" s="234" t="s">
        <v>3</v>
      </c>
      <c r="V8" s="51" t="s">
        <v>10</v>
      </c>
      <c r="X8" s="244"/>
    </row>
    <row r="9" spans="1:30" x14ac:dyDescent="0.2">
      <c r="A9" s="207" t="s">
        <v>315</v>
      </c>
      <c r="B9" s="268">
        <v>0</v>
      </c>
      <c r="C9" s="268">
        <v>0</v>
      </c>
      <c r="D9" s="268">
        <v>19585.3508</v>
      </c>
      <c r="E9" s="268">
        <v>0</v>
      </c>
      <c r="F9" s="268">
        <v>0</v>
      </c>
      <c r="G9" s="268">
        <v>0</v>
      </c>
      <c r="H9" s="268">
        <v>0</v>
      </c>
      <c r="I9" s="268">
        <v>0</v>
      </c>
      <c r="J9" s="268">
        <v>-681.83330999999998</v>
      </c>
      <c r="K9" s="268">
        <v>0</v>
      </c>
      <c r="L9" s="268">
        <v>0</v>
      </c>
      <c r="M9" s="268">
        <v>-987</v>
      </c>
      <c r="N9" s="296">
        <v>0</v>
      </c>
      <c r="O9" s="296">
        <v>0</v>
      </c>
      <c r="P9" s="296">
        <v>-371.95777498450599</v>
      </c>
      <c r="Q9" s="296">
        <v>554.41291000000001</v>
      </c>
      <c r="R9" s="296">
        <v>681.83330999999998</v>
      </c>
      <c r="S9" s="296">
        <v>0</v>
      </c>
      <c r="T9" s="296">
        <v>0</v>
      </c>
      <c r="U9" s="329">
        <f>SUM(D9,G9,J9,M9,P9,Q9,R9)</f>
        <v>18780.805935015494</v>
      </c>
      <c r="V9" s="51" t="s">
        <v>10</v>
      </c>
      <c r="X9" s="347"/>
    </row>
    <row r="10" spans="1:30" x14ac:dyDescent="0.2">
      <c r="A10" s="207" t="s">
        <v>314</v>
      </c>
      <c r="B10" s="268">
        <v>0</v>
      </c>
      <c r="C10" s="268">
        <v>0</v>
      </c>
      <c r="D10" s="268">
        <v>4896.3377</v>
      </c>
      <c r="E10" s="268">
        <v>0</v>
      </c>
      <c r="F10" s="268">
        <v>0</v>
      </c>
      <c r="G10" s="268">
        <v>0</v>
      </c>
      <c r="H10" s="268">
        <v>0</v>
      </c>
      <c r="I10" s="268">
        <v>0</v>
      </c>
      <c r="J10" s="268">
        <v>0</v>
      </c>
      <c r="K10" s="268">
        <v>0</v>
      </c>
      <c r="L10" s="268">
        <v>0</v>
      </c>
      <c r="M10" s="268">
        <v>-247</v>
      </c>
      <c r="N10" s="296">
        <v>0</v>
      </c>
      <c r="O10" s="296">
        <v>0</v>
      </c>
      <c r="P10" s="296">
        <v>-92.989443746126398</v>
      </c>
      <c r="Q10" s="296">
        <v>0</v>
      </c>
      <c r="R10" s="296">
        <v>0</v>
      </c>
      <c r="S10" s="296">
        <v>0</v>
      </c>
      <c r="T10" s="296">
        <v>0</v>
      </c>
      <c r="U10" s="329">
        <f>SUM(D10,G10,J10,M10,P10,Q10,R10)</f>
        <v>4556.3482562538738</v>
      </c>
      <c r="V10" s="51" t="s">
        <v>10</v>
      </c>
      <c r="X10" s="347"/>
    </row>
    <row r="11" spans="1:30" x14ac:dyDescent="0.2">
      <c r="A11" s="207" t="s">
        <v>311</v>
      </c>
      <c r="B11" s="268">
        <v>0</v>
      </c>
      <c r="C11" s="268">
        <v>0</v>
      </c>
      <c r="D11" s="268">
        <v>21054.252110000001</v>
      </c>
      <c r="E11" s="268">
        <v>0</v>
      </c>
      <c r="F11" s="268">
        <v>0</v>
      </c>
      <c r="G11" s="268">
        <v>0</v>
      </c>
      <c r="H11" s="268">
        <v>0</v>
      </c>
      <c r="I11" s="268">
        <v>0</v>
      </c>
      <c r="J11" s="268">
        <v>0</v>
      </c>
      <c r="K11" s="268">
        <v>0</v>
      </c>
      <c r="L11" s="268">
        <v>0</v>
      </c>
      <c r="M11" s="268">
        <v>-1062</v>
      </c>
      <c r="N11" s="296">
        <v>0</v>
      </c>
      <c r="O11" s="296">
        <v>0</v>
      </c>
      <c r="P11" s="296">
        <f>-1868.75591810834-P12</f>
        <v>-399.85460810834002</v>
      </c>
      <c r="Q11" s="296">
        <v>-1949.2673499999901</v>
      </c>
      <c r="R11" s="296">
        <v>12497.749260000001</v>
      </c>
      <c r="S11" s="296">
        <v>0</v>
      </c>
      <c r="T11" s="296">
        <v>0</v>
      </c>
      <c r="U11" s="329">
        <f>SUM(D11,G11,J11,M11,P11,Q11,R11)+SUM(J12,P12,Q12,R12)</f>
        <v>28671.978101891669</v>
      </c>
      <c r="V11" s="51" t="s">
        <v>10</v>
      </c>
      <c r="X11" s="347"/>
    </row>
    <row r="12" spans="1:30" s="344" customFormat="1" x14ac:dyDescent="0.2">
      <c r="A12" s="210" t="s">
        <v>364</v>
      </c>
      <c r="B12" s="268">
        <v>0</v>
      </c>
      <c r="C12" s="268">
        <v>0</v>
      </c>
      <c r="D12" s="440" t="s">
        <v>479</v>
      </c>
      <c r="E12" s="268">
        <v>0</v>
      </c>
      <c r="F12" s="268">
        <v>0</v>
      </c>
      <c r="G12" s="440" t="s">
        <v>480</v>
      </c>
      <c r="H12" s="268">
        <v>0</v>
      </c>
      <c r="I12" s="268">
        <v>0</v>
      </c>
      <c r="J12" s="268">
        <v>0</v>
      </c>
      <c r="K12" s="268">
        <v>0</v>
      </c>
      <c r="L12" s="268">
        <v>0</v>
      </c>
      <c r="M12" s="268">
        <v>0</v>
      </c>
      <c r="N12" s="296">
        <v>0</v>
      </c>
      <c r="O12" s="296">
        <v>0</v>
      </c>
      <c r="P12" s="296">
        <v>-1468.90131</v>
      </c>
      <c r="Q12" s="296">
        <v>0</v>
      </c>
      <c r="R12" s="296">
        <v>0</v>
      </c>
      <c r="S12" s="296">
        <v>0</v>
      </c>
      <c r="T12" s="296">
        <v>0</v>
      </c>
      <c r="U12" s="437" t="s">
        <v>480</v>
      </c>
      <c r="V12" s="51" t="s">
        <v>10</v>
      </c>
      <c r="X12" s="514"/>
    </row>
    <row r="13" spans="1:30" x14ac:dyDescent="0.2">
      <c r="A13" s="207" t="s">
        <v>279</v>
      </c>
      <c r="B13" s="268">
        <v>0</v>
      </c>
      <c r="C13" s="268">
        <v>0</v>
      </c>
      <c r="D13" s="268">
        <v>18606.083259999999</v>
      </c>
      <c r="E13" s="268">
        <v>0</v>
      </c>
      <c r="F13" s="268">
        <v>0</v>
      </c>
      <c r="G13" s="268">
        <v>0</v>
      </c>
      <c r="H13" s="268">
        <v>0</v>
      </c>
      <c r="I13" s="268">
        <v>0</v>
      </c>
      <c r="J13" s="268">
        <v>-453.26127000000002</v>
      </c>
      <c r="K13" s="268">
        <v>0</v>
      </c>
      <c r="L13" s="268">
        <v>0</v>
      </c>
      <c r="M13" s="268">
        <v>-938</v>
      </c>
      <c r="N13" s="296">
        <v>0</v>
      </c>
      <c r="O13" s="296">
        <v>0</v>
      </c>
      <c r="P13" s="296">
        <v>-353.35988623527999</v>
      </c>
      <c r="Q13" s="296">
        <v>29.247231699997901</v>
      </c>
      <c r="R13" s="296">
        <v>428.37558000000001</v>
      </c>
      <c r="S13" s="296">
        <v>0</v>
      </c>
      <c r="T13" s="296">
        <v>0</v>
      </c>
      <c r="U13" s="329">
        <f>SUM(D13,G13,J13,M13,P13,Q13,R13)</f>
        <v>17319.084915464719</v>
      </c>
      <c r="V13" s="51" t="s">
        <v>10</v>
      </c>
      <c r="X13" s="347"/>
    </row>
    <row r="14" spans="1:30" x14ac:dyDescent="0.2">
      <c r="A14" s="207" t="s">
        <v>278</v>
      </c>
      <c r="B14" s="268">
        <v>0</v>
      </c>
      <c r="C14" s="268">
        <v>0</v>
      </c>
      <c r="D14" s="268">
        <v>17626.815719999999</v>
      </c>
      <c r="E14" s="268">
        <v>0</v>
      </c>
      <c r="F14" s="268">
        <v>0</v>
      </c>
      <c r="G14" s="268">
        <v>0</v>
      </c>
      <c r="H14" s="268">
        <v>0</v>
      </c>
      <c r="I14" s="268">
        <v>0</v>
      </c>
      <c r="J14" s="268">
        <v>0</v>
      </c>
      <c r="K14" s="268">
        <v>0</v>
      </c>
      <c r="L14" s="268">
        <v>0</v>
      </c>
      <c r="M14" s="268">
        <v>-889</v>
      </c>
      <c r="N14" s="296">
        <v>0</v>
      </c>
      <c r="O14" s="296">
        <v>0</v>
      </c>
      <c r="P14" s="296">
        <v>-334.76199748605501</v>
      </c>
      <c r="Q14" s="296">
        <v>0</v>
      </c>
      <c r="R14" s="296">
        <v>0</v>
      </c>
      <c r="S14" s="296">
        <v>0</v>
      </c>
      <c r="T14" s="296">
        <v>0</v>
      </c>
      <c r="U14" s="329">
        <f>SUM(D14,G14,J14,M14,P14,Q14,R14)</f>
        <v>16403.053722513945</v>
      </c>
      <c r="V14" s="51" t="s">
        <v>10</v>
      </c>
      <c r="X14" s="347"/>
    </row>
    <row r="15" spans="1:30" x14ac:dyDescent="0.2">
      <c r="A15" s="292" t="s">
        <v>363</v>
      </c>
      <c r="B15" s="268">
        <v>0</v>
      </c>
      <c r="C15" s="268">
        <v>0</v>
      </c>
      <c r="D15" s="268">
        <v>384282.20951171999</v>
      </c>
      <c r="E15" s="268">
        <v>0</v>
      </c>
      <c r="F15" s="268">
        <v>0</v>
      </c>
      <c r="G15" s="268">
        <v>0</v>
      </c>
      <c r="H15" s="268">
        <v>0</v>
      </c>
      <c r="I15" s="268">
        <v>0</v>
      </c>
      <c r="J15" s="268">
        <f>-15.00309+-1794.7853+-2296.74331</f>
        <v>-4106.5316999999995</v>
      </c>
      <c r="K15" s="268">
        <v>0</v>
      </c>
      <c r="L15" s="268">
        <v>0</v>
      </c>
      <c r="M15" s="268">
        <f>-19375</f>
        <v>-19375</v>
      </c>
      <c r="N15" s="296">
        <v>0</v>
      </c>
      <c r="O15" s="296">
        <v>0</v>
      </c>
      <c r="P15" s="296">
        <f>-6907.59062486187</f>
        <v>-6907.5906248618703</v>
      </c>
      <c r="Q15" s="296">
        <f>-2.49201548285782E-13+570.00957+9382.00283999997+11.675</f>
        <v>9963.6874099999695</v>
      </c>
      <c r="R15" s="296">
        <f>46.77908+2633.09424+2296.75961</f>
        <v>4976.6329299999998</v>
      </c>
      <c r="S15" s="296">
        <v>0</v>
      </c>
      <c r="T15" s="296">
        <v>0</v>
      </c>
      <c r="U15" s="329">
        <f>SUM(D15,G15,J15,M15,P15,Q15,R15)+SUM(J16:J20,P16:P20,Q16:Q20,R16:R20)</f>
        <v>368603.71274452645</v>
      </c>
      <c r="V15" s="51" t="s">
        <v>10</v>
      </c>
      <c r="X15" s="347"/>
    </row>
    <row r="16" spans="1:30" s="344" customFormat="1" x14ac:dyDescent="0.2">
      <c r="A16" s="207" t="s">
        <v>362</v>
      </c>
      <c r="B16" s="268">
        <v>0</v>
      </c>
      <c r="C16" s="268">
        <v>0</v>
      </c>
      <c r="D16" s="440" t="s">
        <v>617</v>
      </c>
      <c r="E16" s="268">
        <v>0</v>
      </c>
      <c r="F16" s="268">
        <v>0</v>
      </c>
      <c r="G16" s="440" t="s">
        <v>480</v>
      </c>
      <c r="H16" s="268">
        <v>0</v>
      </c>
      <c r="I16" s="268">
        <v>0</v>
      </c>
      <c r="J16" s="268">
        <v>0</v>
      </c>
      <c r="K16" s="268">
        <v>0</v>
      </c>
      <c r="L16" s="268">
        <v>0</v>
      </c>
      <c r="M16" s="268">
        <v>-99</v>
      </c>
      <c r="N16" s="296">
        <v>0</v>
      </c>
      <c r="O16" s="296">
        <v>0</v>
      </c>
      <c r="P16" s="296">
        <v>-37.195777498450603</v>
      </c>
      <c r="Q16" s="296">
        <v>0</v>
      </c>
      <c r="R16" s="296">
        <v>0</v>
      </c>
      <c r="S16" s="296">
        <v>0</v>
      </c>
      <c r="T16" s="296">
        <v>0</v>
      </c>
      <c r="U16" s="437" t="s">
        <v>642</v>
      </c>
      <c r="V16" s="51" t="s">
        <v>10</v>
      </c>
      <c r="X16" s="515"/>
    </row>
    <row r="17" spans="1:24" s="344" customFormat="1" x14ac:dyDescent="0.2">
      <c r="A17" s="207" t="s">
        <v>361</v>
      </c>
      <c r="B17" s="268">
        <v>0</v>
      </c>
      <c r="C17" s="268">
        <v>0</v>
      </c>
      <c r="D17" s="440" t="s">
        <v>618</v>
      </c>
      <c r="E17" s="268">
        <v>0</v>
      </c>
      <c r="F17" s="268">
        <v>0</v>
      </c>
      <c r="G17" s="440" t="s">
        <v>480</v>
      </c>
      <c r="H17" s="268">
        <v>0</v>
      </c>
      <c r="I17" s="268">
        <v>0</v>
      </c>
      <c r="J17" s="268">
        <v>0</v>
      </c>
      <c r="K17" s="268">
        <v>0</v>
      </c>
      <c r="L17" s="268">
        <v>0</v>
      </c>
      <c r="M17" s="268">
        <v>-197</v>
      </c>
      <c r="N17" s="296">
        <v>0</v>
      </c>
      <c r="O17" s="296">
        <v>0</v>
      </c>
      <c r="P17" s="296">
        <v>-74.391554996901107</v>
      </c>
      <c r="Q17" s="296">
        <v>60.860349999999997</v>
      </c>
      <c r="R17" s="296">
        <v>0</v>
      </c>
      <c r="S17" s="296">
        <v>0</v>
      </c>
      <c r="T17" s="296">
        <v>0</v>
      </c>
      <c r="U17" s="437" t="s">
        <v>643</v>
      </c>
      <c r="V17" s="51" t="s">
        <v>10</v>
      </c>
      <c r="X17" s="515"/>
    </row>
    <row r="18" spans="1:24" s="344" customFormat="1" x14ac:dyDescent="0.2">
      <c r="A18" s="292" t="s">
        <v>360</v>
      </c>
      <c r="B18" s="268">
        <v>0</v>
      </c>
      <c r="C18" s="268">
        <v>0</v>
      </c>
      <c r="D18" s="440" t="s">
        <v>619</v>
      </c>
      <c r="E18" s="268">
        <v>0</v>
      </c>
      <c r="F18" s="268">
        <v>0</v>
      </c>
      <c r="G18" s="440" t="s">
        <v>480</v>
      </c>
      <c r="H18" s="268">
        <v>0</v>
      </c>
      <c r="I18" s="268">
        <v>0</v>
      </c>
      <c r="J18" s="268">
        <v>0</v>
      </c>
      <c r="K18" s="268">
        <v>0</v>
      </c>
      <c r="L18" s="268">
        <v>0</v>
      </c>
      <c r="M18" s="268">
        <v>-296</v>
      </c>
      <c r="N18" s="296">
        <v>0</v>
      </c>
      <c r="O18" s="296">
        <v>0</v>
      </c>
      <c r="P18" s="296">
        <v>-111.587332495352</v>
      </c>
      <c r="Q18" s="296">
        <v>-2.3283064365386999E-13</v>
      </c>
      <c r="R18" s="296">
        <v>0</v>
      </c>
      <c r="S18" s="296">
        <v>0</v>
      </c>
      <c r="T18" s="296">
        <v>0</v>
      </c>
      <c r="U18" s="437" t="s">
        <v>644</v>
      </c>
      <c r="V18" s="51" t="s">
        <v>10</v>
      </c>
      <c r="X18" s="515"/>
    </row>
    <row r="19" spans="1:24" s="344" customFormat="1" x14ac:dyDescent="0.2">
      <c r="A19" s="207" t="s">
        <v>359</v>
      </c>
      <c r="B19" s="268">
        <v>0</v>
      </c>
      <c r="C19" s="268">
        <v>0</v>
      </c>
      <c r="D19" s="440" t="s">
        <v>618</v>
      </c>
      <c r="E19" s="268">
        <v>0</v>
      </c>
      <c r="F19" s="268">
        <v>0</v>
      </c>
      <c r="G19" s="440" t="s">
        <v>480</v>
      </c>
      <c r="H19" s="268">
        <v>0</v>
      </c>
      <c r="I19" s="268">
        <v>0</v>
      </c>
      <c r="J19" s="268">
        <v>-689.94081000000006</v>
      </c>
      <c r="K19" s="268">
        <v>0</v>
      </c>
      <c r="L19" s="268">
        <v>0</v>
      </c>
      <c r="M19" s="268">
        <v>-197</v>
      </c>
      <c r="N19" s="296">
        <v>0</v>
      </c>
      <c r="O19" s="296">
        <v>0</v>
      </c>
      <c r="P19" s="296">
        <v>-74.391554996901107</v>
      </c>
      <c r="Q19" s="296">
        <v>5.4999999981373497E-4</v>
      </c>
      <c r="R19" s="296">
        <v>689.94081000000006</v>
      </c>
      <c r="S19" s="296">
        <v>0</v>
      </c>
      <c r="T19" s="296">
        <v>0</v>
      </c>
      <c r="U19" s="437" t="s">
        <v>640</v>
      </c>
      <c r="V19" s="51" t="s">
        <v>10</v>
      </c>
      <c r="X19" s="515"/>
    </row>
    <row r="20" spans="1:24" s="344" customFormat="1" x14ac:dyDescent="0.2">
      <c r="A20" s="207" t="s">
        <v>358</v>
      </c>
      <c r="B20" s="268">
        <v>0</v>
      </c>
      <c r="C20" s="268">
        <v>0</v>
      </c>
      <c r="D20" s="440" t="s">
        <v>611</v>
      </c>
      <c r="E20" s="268">
        <v>0</v>
      </c>
      <c r="F20" s="268">
        <v>0</v>
      </c>
      <c r="G20" s="440" t="s">
        <v>480</v>
      </c>
      <c r="H20" s="268">
        <v>0</v>
      </c>
      <c r="I20" s="268">
        <v>0</v>
      </c>
      <c r="J20" s="268">
        <v>0</v>
      </c>
      <c r="K20" s="268">
        <v>0</v>
      </c>
      <c r="L20" s="268">
        <v>0</v>
      </c>
      <c r="M20" s="268">
        <v>-247</v>
      </c>
      <c r="N20" s="296">
        <v>0</v>
      </c>
      <c r="O20" s="296">
        <v>0</v>
      </c>
      <c r="P20" s="296">
        <v>-92.989462344015095</v>
      </c>
      <c r="Q20" s="296">
        <v>100</v>
      </c>
      <c r="R20" s="296">
        <v>0</v>
      </c>
      <c r="S20" s="296">
        <v>0</v>
      </c>
      <c r="T20" s="296">
        <v>0</v>
      </c>
      <c r="U20" s="437" t="s">
        <v>645</v>
      </c>
      <c r="V20" s="51" t="s">
        <v>10</v>
      </c>
      <c r="X20" s="515"/>
    </row>
    <row r="21" spans="1:24" x14ac:dyDescent="0.2">
      <c r="A21" s="292" t="s">
        <v>353</v>
      </c>
      <c r="B21" s="268">
        <v>0</v>
      </c>
      <c r="C21" s="268">
        <v>0</v>
      </c>
      <c r="D21" s="268">
        <v>2692.9857350000002</v>
      </c>
      <c r="E21" s="268">
        <v>0</v>
      </c>
      <c r="F21" s="268">
        <v>0</v>
      </c>
      <c r="G21" s="268">
        <v>0</v>
      </c>
      <c r="H21" s="268">
        <v>0</v>
      </c>
      <c r="I21" s="268">
        <v>0</v>
      </c>
      <c r="J21" s="268">
        <v>0</v>
      </c>
      <c r="K21" s="268">
        <v>0</v>
      </c>
      <c r="L21" s="268">
        <v>0</v>
      </c>
      <c r="M21" s="268">
        <v>-136</v>
      </c>
      <c r="N21" s="296">
        <v>0</v>
      </c>
      <c r="O21" s="296">
        <v>0</v>
      </c>
      <c r="P21" s="296">
        <v>-51.1441940603695</v>
      </c>
      <c r="Q21" s="296">
        <v>0</v>
      </c>
      <c r="R21" s="296">
        <v>0</v>
      </c>
      <c r="S21" s="296">
        <v>0</v>
      </c>
      <c r="T21" s="296">
        <v>0</v>
      </c>
      <c r="U21" s="329">
        <f>SUM(D21,G21,J21,M21,P21,Q21,R21)</f>
        <v>2505.8415409396307</v>
      </c>
      <c r="V21" s="51" t="s">
        <v>10</v>
      </c>
      <c r="X21" s="284"/>
    </row>
    <row r="22" spans="1:24" ht="15" customHeight="1" x14ac:dyDescent="0.2">
      <c r="A22" s="207" t="s">
        <v>303</v>
      </c>
      <c r="B22" s="268">
        <v>0</v>
      </c>
      <c r="C22" s="268">
        <v>0</v>
      </c>
      <c r="D22" s="268">
        <v>2937.8026199999999</v>
      </c>
      <c r="E22" s="268">
        <v>0</v>
      </c>
      <c r="F22" s="268">
        <v>0</v>
      </c>
      <c r="G22" s="268">
        <v>0</v>
      </c>
      <c r="H22" s="268">
        <v>0</v>
      </c>
      <c r="I22" s="268">
        <v>0</v>
      </c>
      <c r="J22" s="268">
        <v>-106.30906</v>
      </c>
      <c r="K22" s="268">
        <v>0</v>
      </c>
      <c r="L22" s="268">
        <v>0</v>
      </c>
      <c r="M22" s="268">
        <v>-148</v>
      </c>
      <c r="N22" s="296">
        <v>0</v>
      </c>
      <c r="O22" s="296">
        <v>0</v>
      </c>
      <c r="P22" s="296">
        <f>-10.043</f>
        <v>-10.042999999999999</v>
      </c>
      <c r="Q22" s="296">
        <v>5.8207660913467396E-14</v>
      </c>
      <c r="R22" s="296">
        <v>106.48166999999999</v>
      </c>
      <c r="S22" s="296">
        <v>0</v>
      </c>
      <c r="T22" s="296">
        <v>0</v>
      </c>
      <c r="U22" s="329">
        <f>SUM(D22,G22,J22,M22,P22,Q22,R22)+SUM(J23,P23,Q23,R23)</f>
        <v>2736.2955499999998</v>
      </c>
      <c r="V22" s="51" t="s">
        <v>10</v>
      </c>
      <c r="X22" s="284"/>
    </row>
    <row r="23" spans="1:24" s="344" customFormat="1" ht="15" customHeight="1" x14ac:dyDescent="0.2">
      <c r="A23" s="328" t="s">
        <v>352</v>
      </c>
      <c r="B23" s="268">
        <v>0</v>
      </c>
      <c r="C23" s="268">
        <v>0</v>
      </c>
      <c r="D23" s="440" t="s">
        <v>480</v>
      </c>
      <c r="E23" s="268">
        <v>0</v>
      </c>
      <c r="F23" s="268">
        <v>0</v>
      </c>
      <c r="G23" s="440" t="s">
        <v>480</v>
      </c>
      <c r="H23" s="268">
        <v>0</v>
      </c>
      <c r="I23" s="268">
        <v>0</v>
      </c>
      <c r="J23" s="268">
        <v>-23.492899999999999</v>
      </c>
      <c r="K23" s="268">
        <v>0</v>
      </c>
      <c r="L23" s="268">
        <v>0</v>
      </c>
      <c r="M23" s="268">
        <v>0</v>
      </c>
      <c r="N23" s="296">
        <v>0</v>
      </c>
      <c r="O23" s="296">
        <v>0</v>
      </c>
      <c r="P23" s="296">
        <v>-45.750999999999998</v>
      </c>
      <c r="Q23" s="296">
        <v>1.08493000000016</v>
      </c>
      <c r="R23" s="296">
        <v>24.522290000000002</v>
      </c>
      <c r="S23" s="296">
        <v>0</v>
      </c>
      <c r="T23" s="296">
        <v>0</v>
      </c>
      <c r="U23" s="437" t="s">
        <v>641</v>
      </c>
      <c r="V23" s="51" t="s">
        <v>10</v>
      </c>
      <c r="X23" s="514"/>
    </row>
    <row r="24" spans="1:24" x14ac:dyDescent="0.2">
      <c r="A24" s="207" t="s">
        <v>351</v>
      </c>
      <c r="B24" s="268">
        <v>0</v>
      </c>
      <c r="C24" s="268">
        <v>0</v>
      </c>
      <c r="D24" s="268">
        <v>5875.6052399999999</v>
      </c>
      <c r="E24" s="268">
        <v>0</v>
      </c>
      <c r="F24" s="268">
        <v>0</v>
      </c>
      <c r="G24" s="268">
        <v>0</v>
      </c>
      <c r="H24" s="268">
        <v>0</v>
      </c>
      <c r="I24" s="268">
        <v>0</v>
      </c>
      <c r="J24" s="268">
        <v>0</v>
      </c>
      <c r="K24" s="268">
        <v>0</v>
      </c>
      <c r="L24" s="268">
        <v>0</v>
      </c>
      <c r="M24" s="268">
        <v>-296</v>
      </c>
      <c r="N24" s="296">
        <v>0</v>
      </c>
      <c r="O24" s="296">
        <v>0</v>
      </c>
      <c r="P24" s="296">
        <v>-111.587332495352</v>
      </c>
      <c r="Q24" s="296">
        <v>0</v>
      </c>
      <c r="R24" s="296">
        <v>0</v>
      </c>
      <c r="S24" s="296">
        <v>0</v>
      </c>
      <c r="T24" s="296">
        <v>0</v>
      </c>
      <c r="U24" s="329">
        <f>SUM(D24,G24,J24,M24,P24,Q24,R24)</f>
        <v>5468.0179075046481</v>
      </c>
      <c r="V24" s="51" t="s">
        <v>10</v>
      </c>
      <c r="X24" s="284"/>
    </row>
    <row r="25" spans="1:24" x14ac:dyDescent="0.2">
      <c r="A25" s="207" t="s">
        <v>267</v>
      </c>
      <c r="B25" s="268">
        <v>0</v>
      </c>
      <c r="C25" s="268">
        <v>0</v>
      </c>
      <c r="D25" s="268">
        <v>122408.4425</v>
      </c>
      <c r="E25" s="268">
        <v>0</v>
      </c>
      <c r="F25" s="268">
        <v>0</v>
      </c>
      <c r="G25" s="268">
        <v>0</v>
      </c>
      <c r="H25" s="268">
        <v>0</v>
      </c>
      <c r="I25" s="268">
        <v>0</v>
      </c>
      <c r="J25" s="268">
        <v>-2845.5161400000002</v>
      </c>
      <c r="K25" s="268">
        <v>0</v>
      </c>
      <c r="L25" s="268">
        <v>0</v>
      </c>
      <c r="M25" s="268">
        <v>-6172</v>
      </c>
      <c r="N25" s="296">
        <v>0</v>
      </c>
      <c r="O25" s="296">
        <v>0</v>
      </c>
      <c r="P25" s="296">
        <v>0</v>
      </c>
      <c r="Q25" s="296">
        <v>107.213300000027</v>
      </c>
      <c r="R25" s="296">
        <v>2845.5161400000002</v>
      </c>
      <c r="S25" s="296">
        <v>0</v>
      </c>
      <c r="T25" s="296">
        <v>0</v>
      </c>
      <c r="U25" s="329">
        <f>SUM(D25,G25,J25,M25,P25,Q25,R25)+SUM(J26:J28,P26:P28,Q26:Q28,R26:R28)</f>
        <v>114018.91970934687</v>
      </c>
      <c r="V25" s="51" t="s">
        <v>10</v>
      </c>
      <c r="X25" s="284"/>
    </row>
    <row r="26" spans="1:24" x14ac:dyDescent="0.2">
      <c r="A26" s="292" t="s">
        <v>350</v>
      </c>
      <c r="B26" s="268">
        <v>0</v>
      </c>
      <c r="C26" s="268">
        <v>0</v>
      </c>
      <c r="D26" s="440" t="s">
        <v>620</v>
      </c>
      <c r="E26" s="268">
        <v>0</v>
      </c>
      <c r="F26" s="268">
        <v>0</v>
      </c>
      <c r="G26" s="440" t="s">
        <v>480</v>
      </c>
      <c r="H26" s="268">
        <v>0</v>
      </c>
      <c r="I26" s="268">
        <v>0</v>
      </c>
      <c r="J26" s="268">
        <v>0</v>
      </c>
      <c r="K26" s="268">
        <v>0</v>
      </c>
      <c r="L26" s="268">
        <v>0</v>
      </c>
      <c r="M26" s="268">
        <f>-5777</f>
        <v>-5777</v>
      </c>
      <c r="N26" s="296">
        <v>0</v>
      </c>
      <c r="O26" s="296">
        <v>0</v>
      </c>
      <c r="P26" s="296">
        <v>-2175.9529836593601</v>
      </c>
      <c r="Q26" s="296">
        <v>0</v>
      </c>
      <c r="R26" s="296">
        <v>0</v>
      </c>
      <c r="S26" s="296">
        <v>0</v>
      </c>
      <c r="T26" s="296">
        <v>0</v>
      </c>
      <c r="U26" s="437" t="s">
        <v>639</v>
      </c>
      <c r="V26" s="51" t="s">
        <v>10</v>
      </c>
      <c r="X26" s="516"/>
    </row>
    <row r="27" spans="1:24" s="344" customFormat="1" ht="15.75" x14ac:dyDescent="0.25">
      <c r="A27" s="207" t="s">
        <v>349</v>
      </c>
      <c r="B27" s="268">
        <v>0</v>
      </c>
      <c r="C27" s="268">
        <v>0</v>
      </c>
      <c r="D27" s="440" t="s">
        <v>618</v>
      </c>
      <c r="E27" s="268">
        <v>0</v>
      </c>
      <c r="F27" s="268">
        <v>0</v>
      </c>
      <c r="G27" s="440" t="s">
        <v>480</v>
      </c>
      <c r="H27" s="268">
        <v>0</v>
      </c>
      <c r="I27" s="268">
        <v>0</v>
      </c>
      <c r="J27" s="268">
        <v>-0.29942999999999997</v>
      </c>
      <c r="K27" s="268">
        <v>0</v>
      </c>
      <c r="L27" s="268">
        <v>0</v>
      </c>
      <c r="M27" s="268">
        <v>-197</v>
      </c>
      <c r="N27" s="296">
        <v>0</v>
      </c>
      <c r="O27" s="296">
        <v>0</v>
      </c>
      <c r="P27" s="296">
        <v>-74.391554996901107</v>
      </c>
      <c r="Q27" s="296">
        <v>2.99999956041574E-6</v>
      </c>
      <c r="R27" s="399">
        <v>0.29942999999999997</v>
      </c>
      <c r="S27" s="296">
        <v>0</v>
      </c>
      <c r="T27" s="296">
        <v>0</v>
      </c>
      <c r="U27" s="437" t="s">
        <v>640</v>
      </c>
      <c r="V27" s="51" t="s">
        <v>10</v>
      </c>
      <c r="X27" s="515"/>
    </row>
    <row r="28" spans="1:24" s="344" customFormat="1" x14ac:dyDescent="0.2">
      <c r="A28" s="207" t="s">
        <v>348</v>
      </c>
      <c r="B28" s="268">
        <v>0</v>
      </c>
      <c r="C28" s="268">
        <v>0</v>
      </c>
      <c r="D28" s="440" t="s">
        <v>618</v>
      </c>
      <c r="E28" s="268">
        <v>0</v>
      </c>
      <c r="F28" s="268">
        <v>0</v>
      </c>
      <c r="G28" s="440" t="s">
        <v>480</v>
      </c>
      <c r="H28" s="268">
        <v>0</v>
      </c>
      <c r="I28" s="268">
        <v>0</v>
      </c>
      <c r="J28" s="268">
        <v>0</v>
      </c>
      <c r="K28" s="268">
        <v>0</v>
      </c>
      <c r="L28" s="268">
        <v>0</v>
      </c>
      <c r="M28" s="268">
        <v>-197</v>
      </c>
      <c r="N28" s="296">
        <v>0</v>
      </c>
      <c r="O28" s="296">
        <v>0</v>
      </c>
      <c r="P28" s="296">
        <v>-74.391554996901107</v>
      </c>
      <c r="Q28" s="296">
        <v>0</v>
      </c>
      <c r="R28" s="296">
        <v>0</v>
      </c>
      <c r="S28" s="296">
        <v>0</v>
      </c>
      <c r="T28" s="296">
        <v>0</v>
      </c>
      <c r="U28" s="437" t="s">
        <v>640</v>
      </c>
      <c r="V28" s="51" t="s">
        <v>10</v>
      </c>
      <c r="X28" s="515"/>
    </row>
    <row r="29" spans="1:24" x14ac:dyDescent="0.2">
      <c r="A29" s="207" t="s">
        <v>277</v>
      </c>
      <c r="B29" s="268">
        <v>0</v>
      </c>
      <c r="C29" s="268">
        <v>0</v>
      </c>
      <c r="D29" s="268">
        <v>12730.47802</v>
      </c>
      <c r="E29" s="268">
        <v>0</v>
      </c>
      <c r="F29" s="268">
        <v>0</v>
      </c>
      <c r="G29" s="268">
        <v>0</v>
      </c>
      <c r="H29" s="268">
        <v>0</v>
      </c>
      <c r="I29" s="268">
        <v>0</v>
      </c>
      <c r="J29" s="268">
        <v>0</v>
      </c>
      <c r="K29" s="268">
        <v>0</v>
      </c>
      <c r="L29" s="268">
        <v>0</v>
      </c>
      <c r="M29" s="268">
        <f>-642-1</f>
        <v>-643</v>
      </c>
      <c r="N29" s="296">
        <v>0</v>
      </c>
      <c r="O29" s="296">
        <v>0</v>
      </c>
      <c r="P29" s="296">
        <v>-241.77255373992901</v>
      </c>
      <c r="Q29" s="296">
        <v>2E-3</v>
      </c>
      <c r="R29" s="296">
        <v>0</v>
      </c>
      <c r="S29" s="296">
        <v>0</v>
      </c>
      <c r="T29" s="296">
        <v>0</v>
      </c>
      <c r="U29" s="329">
        <f>SUM(D29,G29,J29,M29,P29,Q29,R29)</f>
        <v>11845.707466260072</v>
      </c>
      <c r="V29" s="51" t="s">
        <v>10</v>
      </c>
      <c r="X29" s="284"/>
    </row>
    <row r="30" spans="1:24" x14ac:dyDescent="0.2">
      <c r="A30" s="207" t="s">
        <v>347</v>
      </c>
      <c r="B30" s="268">
        <v>0</v>
      </c>
      <c r="C30" s="268">
        <v>0</v>
      </c>
      <c r="D30" s="268">
        <v>40149.969140000001</v>
      </c>
      <c r="E30" s="268">
        <v>0</v>
      </c>
      <c r="F30" s="268">
        <v>0</v>
      </c>
      <c r="G30" s="268">
        <v>0</v>
      </c>
      <c r="H30" s="268">
        <v>0</v>
      </c>
      <c r="I30" s="268">
        <v>0</v>
      </c>
      <c r="J30" s="268">
        <v>-1319.8152700000001</v>
      </c>
      <c r="K30" s="268">
        <v>0</v>
      </c>
      <c r="L30" s="268">
        <v>0</v>
      </c>
      <c r="M30" s="268">
        <v>-2024</v>
      </c>
      <c r="N30" s="296">
        <v>0</v>
      </c>
      <c r="O30" s="296">
        <v>0</v>
      </c>
      <c r="P30" s="296">
        <v>-762.51343871823701</v>
      </c>
      <c r="Q30" s="296">
        <v>1039.60312</v>
      </c>
      <c r="R30" s="296">
        <v>1319.8152700000001</v>
      </c>
      <c r="S30" s="296">
        <v>0</v>
      </c>
      <c r="T30" s="296">
        <v>0</v>
      </c>
      <c r="U30" s="329">
        <f>SUM(D30,G30,J30,M30,P30,Q30,R30)</f>
        <v>38403.05882128176</v>
      </c>
      <c r="V30" s="51" t="s">
        <v>10</v>
      </c>
      <c r="X30" s="284"/>
    </row>
    <row r="31" spans="1:24" x14ac:dyDescent="0.2">
      <c r="A31" s="207" t="s">
        <v>346</v>
      </c>
      <c r="B31" s="268">
        <v>0</v>
      </c>
      <c r="C31" s="268">
        <v>0</v>
      </c>
      <c r="D31" s="268">
        <v>8813.4078599999993</v>
      </c>
      <c r="E31" s="268">
        <v>0</v>
      </c>
      <c r="F31" s="268">
        <v>0</v>
      </c>
      <c r="G31" s="268">
        <v>0</v>
      </c>
      <c r="H31" s="268">
        <v>0</v>
      </c>
      <c r="I31" s="268">
        <v>0</v>
      </c>
      <c r="J31" s="268">
        <v>-136.665908629109</v>
      </c>
      <c r="K31" s="268">
        <v>0</v>
      </c>
      <c r="L31" s="268">
        <v>0</v>
      </c>
      <c r="M31" s="268">
        <v>-444</v>
      </c>
      <c r="N31" s="296">
        <v>0</v>
      </c>
      <c r="O31" s="296">
        <v>0</v>
      </c>
      <c r="P31" s="296">
        <f>-98.568810370894</f>
        <v>-98.568810370893999</v>
      </c>
      <c r="Q31" s="296">
        <v>153.38262000000199</v>
      </c>
      <c r="R31" s="296">
        <v>257.17385000000002</v>
      </c>
      <c r="S31" s="296">
        <v>0</v>
      </c>
      <c r="T31" s="296">
        <v>0</v>
      </c>
      <c r="U31" s="329">
        <f>SUM(D31,G31,J31,M31,P31,Q31,R31)+SUM(J32,P32,Q32,R32)</f>
        <v>8475.9174226278628</v>
      </c>
      <c r="V31" s="51" t="s">
        <v>10</v>
      </c>
      <c r="X31" s="284"/>
    </row>
    <row r="32" spans="1:24" s="344" customFormat="1" x14ac:dyDescent="0.2">
      <c r="A32" s="292" t="s">
        <v>345</v>
      </c>
      <c r="B32" s="268">
        <v>0</v>
      </c>
      <c r="C32" s="268">
        <v>0</v>
      </c>
      <c r="D32" s="440" t="s">
        <v>621</v>
      </c>
      <c r="E32" s="268">
        <v>0</v>
      </c>
      <c r="F32" s="268">
        <v>0</v>
      </c>
      <c r="G32" s="440" t="s">
        <v>480</v>
      </c>
      <c r="H32" s="268">
        <v>0</v>
      </c>
      <c r="I32" s="268">
        <v>0</v>
      </c>
      <c r="J32" s="268">
        <v>0</v>
      </c>
      <c r="K32" s="268">
        <v>0</v>
      </c>
      <c r="L32" s="268">
        <v>0</v>
      </c>
      <c r="M32" s="268">
        <v>0</v>
      </c>
      <c r="N32" s="296">
        <v>0</v>
      </c>
      <c r="O32" s="296">
        <v>0</v>
      </c>
      <c r="P32" s="296">
        <v>-68.812188372133505</v>
      </c>
      <c r="Q32" s="296">
        <v>0</v>
      </c>
      <c r="R32" s="296">
        <v>0</v>
      </c>
      <c r="S32" s="296">
        <v>0</v>
      </c>
      <c r="T32" s="296">
        <v>0</v>
      </c>
      <c r="U32" s="437" t="s">
        <v>638</v>
      </c>
      <c r="V32" s="51" t="s">
        <v>10</v>
      </c>
      <c r="X32" s="515"/>
    </row>
    <row r="33" spans="1:24" x14ac:dyDescent="0.2">
      <c r="A33" s="207" t="s">
        <v>292</v>
      </c>
      <c r="B33" s="268">
        <v>0</v>
      </c>
      <c r="C33" s="268">
        <v>0</v>
      </c>
      <c r="D33" s="268">
        <v>3427.4363899999998</v>
      </c>
      <c r="E33" s="268">
        <v>0</v>
      </c>
      <c r="F33" s="268">
        <v>0</v>
      </c>
      <c r="G33" s="268">
        <v>0</v>
      </c>
      <c r="H33" s="268">
        <v>0</v>
      </c>
      <c r="I33" s="268">
        <v>0</v>
      </c>
      <c r="J33" s="268">
        <v>0</v>
      </c>
      <c r="K33" s="268">
        <v>0</v>
      </c>
      <c r="L33" s="268">
        <v>0</v>
      </c>
      <c r="M33" s="268">
        <v>-173</v>
      </c>
      <c r="N33" s="296">
        <v>0</v>
      </c>
      <c r="O33" s="296">
        <v>0</v>
      </c>
      <c r="P33" s="296">
        <v>-65.092610622288504</v>
      </c>
      <c r="Q33" s="296">
        <v>0</v>
      </c>
      <c r="R33" s="296">
        <v>0</v>
      </c>
      <c r="S33" s="296">
        <v>0</v>
      </c>
      <c r="T33" s="296">
        <v>0</v>
      </c>
      <c r="U33" s="329">
        <f t="shared" ref="U33:U44" si="0">SUM(D33,G33,J33,M33,P33,Q33,R33)</f>
        <v>3189.3437793777111</v>
      </c>
      <c r="V33" s="51" t="s">
        <v>10</v>
      </c>
      <c r="X33" s="284"/>
    </row>
    <row r="34" spans="1:24" x14ac:dyDescent="0.2">
      <c r="A34" s="207" t="s">
        <v>265</v>
      </c>
      <c r="B34" s="268">
        <v>0</v>
      </c>
      <c r="C34" s="268">
        <v>0</v>
      </c>
      <c r="D34" s="268">
        <v>37212.166519999999</v>
      </c>
      <c r="E34" s="268">
        <v>0</v>
      </c>
      <c r="F34" s="268">
        <v>0</v>
      </c>
      <c r="G34" s="268">
        <v>0</v>
      </c>
      <c r="H34" s="268">
        <v>0</v>
      </c>
      <c r="I34" s="268">
        <v>0</v>
      </c>
      <c r="J34" s="268">
        <f>-101.58243+-72.48442+-365.59932+-1035.03751</f>
        <v>-1574.7036800000001</v>
      </c>
      <c r="K34" s="268">
        <v>0</v>
      </c>
      <c r="L34" s="268">
        <v>0</v>
      </c>
      <c r="M34" s="268">
        <v>-1876</v>
      </c>
      <c r="N34" s="296">
        <v>0</v>
      </c>
      <c r="O34" s="296">
        <v>0</v>
      </c>
      <c r="P34" s="296">
        <v>-106.719772470561</v>
      </c>
      <c r="Q34" s="296">
        <f>-5.85382000000041+5.82076609134674E-14</f>
        <v>-5.8538200000003515</v>
      </c>
      <c r="R34" s="296">
        <f>101.58243+72.48442+365.59932+1035.03751</f>
        <v>1574.7036800000001</v>
      </c>
      <c r="S34" s="296">
        <v>0</v>
      </c>
      <c r="T34" s="296">
        <v>0</v>
      </c>
      <c r="U34" s="329">
        <f t="shared" si="0"/>
        <v>35223.592927529433</v>
      </c>
      <c r="V34" s="51" t="s">
        <v>10</v>
      </c>
      <c r="X34" s="284"/>
    </row>
    <row r="35" spans="1:24" x14ac:dyDescent="0.2">
      <c r="A35" s="207" t="s">
        <v>264</v>
      </c>
      <c r="B35" s="268">
        <v>0</v>
      </c>
      <c r="C35" s="268">
        <v>0</v>
      </c>
      <c r="D35" s="268">
        <v>3917.0701600000002</v>
      </c>
      <c r="E35" s="268">
        <v>0</v>
      </c>
      <c r="F35" s="268">
        <v>0</v>
      </c>
      <c r="G35" s="268">
        <v>0</v>
      </c>
      <c r="H35" s="268">
        <v>0</v>
      </c>
      <c r="I35" s="268">
        <v>0</v>
      </c>
      <c r="J35" s="268">
        <v>-311.83057000000002</v>
      </c>
      <c r="K35" s="268">
        <v>0</v>
      </c>
      <c r="L35" s="268">
        <v>0</v>
      </c>
      <c r="M35" s="268">
        <v>-197</v>
      </c>
      <c r="N35" s="296">
        <v>0</v>
      </c>
      <c r="O35" s="296">
        <v>0</v>
      </c>
      <c r="P35" s="296">
        <v>-74.391554996901107</v>
      </c>
      <c r="Q35" s="296">
        <v>0</v>
      </c>
      <c r="R35" s="296">
        <v>311.83057000000002</v>
      </c>
      <c r="S35" s="296">
        <v>0</v>
      </c>
      <c r="T35" s="296">
        <v>0</v>
      </c>
      <c r="U35" s="329">
        <f t="shared" si="0"/>
        <v>3645.6786050030992</v>
      </c>
      <c r="V35" s="51" t="s">
        <v>10</v>
      </c>
      <c r="X35" s="284"/>
    </row>
    <row r="36" spans="1:24" x14ac:dyDescent="0.2">
      <c r="A36" s="292" t="s">
        <v>343</v>
      </c>
      <c r="B36" s="268">
        <v>0</v>
      </c>
      <c r="C36" s="268">
        <v>0</v>
      </c>
      <c r="D36" s="268">
        <v>8813.4078599999993</v>
      </c>
      <c r="E36" s="268">
        <v>0</v>
      </c>
      <c r="F36" s="268">
        <v>0</v>
      </c>
      <c r="G36" s="268">
        <v>0</v>
      </c>
      <c r="H36" s="268">
        <v>0</v>
      </c>
      <c r="I36" s="268">
        <v>0</v>
      </c>
      <c r="J36" s="268">
        <v>-1363.8831399999999</v>
      </c>
      <c r="K36" s="268">
        <v>0</v>
      </c>
      <c r="L36" s="268">
        <v>0</v>
      </c>
      <c r="M36" s="268">
        <v>-444</v>
      </c>
      <c r="N36" s="296">
        <v>0</v>
      </c>
      <c r="O36" s="296">
        <v>0</v>
      </c>
      <c r="P36" s="296">
        <v>-167.38099874302799</v>
      </c>
      <c r="Q36" s="296">
        <v>7.8999999997904499E-4</v>
      </c>
      <c r="R36" s="296">
        <v>1363.8831399999999</v>
      </c>
      <c r="S36" s="296">
        <v>0</v>
      </c>
      <c r="T36" s="296">
        <v>0</v>
      </c>
      <c r="U36" s="329">
        <f t="shared" si="0"/>
        <v>8202.0276512569726</v>
      </c>
      <c r="V36" s="51" t="s">
        <v>10</v>
      </c>
      <c r="X36" s="284"/>
    </row>
    <row r="37" spans="1:24" x14ac:dyDescent="0.2">
      <c r="A37" s="207" t="s">
        <v>262</v>
      </c>
      <c r="B37" s="268">
        <v>0</v>
      </c>
      <c r="C37" s="268">
        <v>0</v>
      </c>
      <c r="D37" s="268">
        <v>979.26754000000005</v>
      </c>
      <c r="E37" s="268">
        <v>0</v>
      </c>
      <c r="F37" s="268">
        <v>0</v>
      </c>
      <c r="G37" s="268">
        <v>0</v>
      </c>
      <c r="H37" s="268">
        <v>0</v>
      </c>
      <c r="I37" s="268">
        <v>0</v>
      </c>
      <c r="J37" s="268">
        <v>-0.14899999999999999</v>
      </c>
      <c r="K37" s="268">
        <v>0</v>
      </c>
      <c r="L37" s="268">
        <v>0</v>
      </c>
      <c r="M37" s="268">
        <v>-49</v>
      </c>
      <c r="N37" s="296">
        <v>0</v>
      </c>
      <c r="O37" s="296">
        <v>0</v>
      </c>
      <c r="P37" s="296">
        <v>-18.597888749225302</v>
      </c>
      <c r="Q37" s="296">
        <v>0.21152999999991201</v>
      </c>
      <c r="R37" s="296">
        <v>0.14899999999999999</v>
      </c>
      <c r="S37" s="296">
        <v>0</v>
      </c>
      <c r="T37" s="296">
        <v>0</v>
      </c>
      <c r="U37" s="329">
        <f t="shared" si="0"/>
        <v>911.88118125077472</v>
      </c>
      <c r="V37" s="51" t="s">
        <v>10</v>
      </c>
      <c r="X37" s="284"/>
    </row>
    <row r="38" spans="1:24" x14ac:dyDescent="0.2">
      <c r="A38" s="207" t="s">
        <v>342</v>
      </c>
      <c r="B38" s="268">
        <v>0</v>
      </c>
      <c r="C38" s="268">
        <v>0</v>
      </c>
      <c r="D38" s="268">
        <v>5875.6052399999999</v>
      </c>
      <c r="E38" s="268">
        <v>0</v>
      </c>
      <c r="F38" s="268">
        <v>0</v>
      </c>
      <c r="G38" s="268">
        <v>0</v>
      </c>
      <c r="H38" s="268">
        <v>0</v>
      </c>
      <c r="I38" s="268">
        <v>0</v>
      </c>
      <c r="J38" s="268">
        <v>-165.05852999999999</v>
      </c>
      <c r="K38" s="268">
        <v>0</v>
      </c>
      <c r="L38" s="268">
        <v>0</v>
      </c>
      <c r="M38" s="268">
        <v>-296</v>
      </c>
      <c r="N38" s="296">
        <v>0</v>
      </c>
      <c r="O38" s="296">
        <v>0</v>
      </c>
      <c r="P38" s="296">
        <v>-111.587332495352</v>
      </c>
      <c r="Q38" s="296">
        <v>1.2200000006705499E-3</v>
      </c>
      <c r="R38" s="296">
        <v>220.81038000000001</v>
      </c>
      <c r="S38" s="296">
        <v>0</v>
      </c>
      <c r="T38" s="296">
        <v>0</v>
      </c>
      <c r="U38" s="329">
        <f t="shared" si="0"/>
        <v>5523.7709775046487</v>
      </c>
      <c r="V38" s="51" t="s">
        <v>10</v>
      </c>
      <c r="X38" s="284"/>
    </row>
    <row r="39" spans="1:24" x14ac:dyDescent="0.2">
      <c r="A39" s="207" t="s">
        <v>261</v>
      </c>
      <c r="B39" s="268">
        <v>0</v>
      </c>
      <c r="C39" s="268">
        <v>0</v>
      </c>
      <c r="D39" s="268">
        <v>11751.21048</v>
      </c>
      <c r="E39" s="268">
        <v>0</v>
      </c>
      <c r="F39" s="268">
        <v>0</v>
      </c>
      <c r="G39" s="268">
        <v>0</v>
      </c>
      <c r="H39" s="268">
        <v>0</v>
      </c>
      <c r="I39" s="268">
        <v>0</v>
      </c>
      <c r="J39" s="268">
        <v>-1.69916</v>
      </c>
      <c r="K39" s="268">
        <v>0</v>
      </c>
      <c r="L39" s="268">
        <v>0</v>
      </c>
      <c r="M39" s="268">
        <v>-592</v>
      </c>
      <c r="N39" s="296">
        <v>0</v>
      </c>
      <c r="O39" s="296">
        <v>0</v>
      </c>
      <c r="P39" s="296">
        <v>-223.17465969812201</v>
      </c>
      <c r="Q39" s="296">
        <v>3.5000000149011602E-4</v>
      </c>
      <c r="R39" s="296">
        <v>1.69916</v>
      </c>
      <c r="S39" s="296">
        <v>0</v>
      </c>
      <c r="T39" s="296">
        <v>0</v>
      </c>
      <c r="U39" s="329">
        <f t="shared" si="0"/>
        <v>10936.036170301879</v>
      </c>
      <c r="V39" s="51" t="s">
        <v>10</v>
      </c>
      <c r="X39" s="284"/>
    </row>
    <row r="40" spans="1:24" x14ac:dyDescent="0.2">
      <c r="A40" s="207" t="s">
        <v>341</v>
      </c>
      <c r="B40" s="268">
        <v>0</v>
      </c>
      <c r="C40" s="268">
        <v>0</v>
      </c>
      <c r="D40" s="268">
        <v>979.26754000000005</v>
      </c>
      <c r="E40" s="268">
        <v>0</v>
      </c>
      <c r="F40" s="268">
        <v>0</v>
      </c>
      <c r="G40" s="268">
        <v>0</v>
      </c>
      <c r="H40" s="268">
        <v>0</v>
      </c>
      <c r="I40" s="268">
        <v>0</v>
      </c>
      <c r="J40" s="268">
        <v>0</v>
      </c>
      <c r="K40" s="268">
        <v>0</v>
      </c>
      <c r="L40" s="268">
        <v>0</v>
      </c>
      <c r="M40" s="268">
        <v>-49</v>
      </c>
      <c r="N40" s="296">
        <v>0</v>
      </c>
      <c r="O40" s="296">
        <v>0</v>
      </c>
      <c r="P40" s="296">
        <v>-18.597888749225302</v>
      </c>
      <c r="Q40" s="296">
        <v>0</v>
      </c>
      <c r="R40" s="296">
        <v>0</v>
      </c>
      <c r="S40" s="296">
        <v>0</v>
      </c>
      <c r="T40" s="296">
        <v>0</v>
      </c>
      <c r="U40" s="329">
        <f t="shared" si="0"/>
        <v>911.66965125077479</v>
      </c>
      <c r="V40" s="51" t="s">
        <v>10</v>
      </c>
      <c r="X40" s="284"/>
    </row>
    <row r="41" spans="1:24" x14ac:dyDescent="0.2">
      <c r="A41" s="292" t="s">
        <v>260</v>
      </c>
      <c r="B41" s="268">
        <v>0</v>
      </c>
      <c r="C41" s="268">
        <v>0</v>
      </c>
      <c r="D41" s="268">
        <v>11751.21048</v>
      </c>
      <c r="E41" s="268">
        <v>0</v>
      </c>
      <c r="F41" s="268">
        <v>0</v>
      </c>
      <c r="G41" s="268">
        <v>0</v>
      </c>
      <c r="H41" s="268">
        <v>0</v>
      </c>
      <c r="I41" s="268">
        <v>0</v>
      </c>
      <c r="J41" s="268">
        <v>-680.90355</v>
      </c>
      <c r="K41" s="268">
        <v>0</v>
      </c>
      <c r="L41" s="268">
        <v>0</v>
      </c>
      <c r="M41" s="268">
        <f>-592-1</f>
        <v>-593</v>
      </c>
      <c r="N41" s="296">
        <v>0</v>
      </c>
      <c r="O41" s="296">
        <v>0</v>
      </c>
      <c r="P41" s="296">
        <v>-223.17466499070301</v>
      </c>
      <c r="Q41" s="296">
        <v>-3.6670826375484499E-12</v>
      </c>
      <c r="R41" s="296">
        <v>691.61374000000001</v>
      </c>
      <c r="S41" s="296">
        <v>0</v>
      </c>
      <c r="T41" s="296">
        <v>0</v>
      </c>
      <c r="U41" s="329">
        <f t="shared" si="0"/>
        <v>10945.746005009292</v>
      </c>
      <c r="V41" s="51" t="s">
        <v>10</v>
      </c>
      <c r="X41" s="284"/>
    </row>
    <row r="42" spans="1:24" x14ac:dyDescent="0.2">
      <c r="A42" s="207" t="s">
        <v>288</v>
      </c>
      <c r="B42" s="268">
        <v>0</v>
      </c>
      <c r="C42" s="268">
        <v>0</v>
      </c>
      <c r="D42" s="268">
        <v>6854.8727799999997</v>
      </c>
      <c r="E42" s="268">
        <v>0</v>
      </c>
      <c r="F42" s="268">
        <v>0</v>
      </c>
      <c r="G42" s="268">
        <v>0</v>
      </c>
      <c r="H42" s="268">
        <v>0</v>
      </c>
      <c r="I42" s="268">
        <v>0</v>
      </c>
      <c r="J42" s="268">
        <v>-49.450699999999998</v>
      </c>
      <c r="K42" s="268">
        <v>0</v>
      </c>
      <c r="L42" s="268">
        <v>0</v>
      </c>
      <c r="M42" s="268">
        <f>-346-1</f>
        <v>-347</v>
      </c>
      <c r="N42" s="296">
        <v>0</v>
      </c>
      <c r="O42" s="296">
        <v>0</v>
      </c>
      <c r="P42" s="296">
        <v>-130.18522124457701</v>
      </c>
      <c r="Q42" s="296">
        <v>3.8300000000744999E-3</v>
      </c>
      <c r="R42" s="296">
        <v>49.450699999999998</v>
      </c>
      <c r="S42" s="296">
        <v>0</v>
      </c>
      <c r="T42" s="296">
        <v>0</v>
      </c>
      <c r="U42" s="329">
        <f t="shared" si="0"/>
        <v>6377.6913887554219</v>
      </c>
      <c r="V42" s="51" t="s">
        <v>10</v>
      </c>
      <c r="X42" s="284"/>
    </row>
    <row r="43" spans="1:24" x14ac:dyDescent="0.2">
      <c r="A43" s="207" t="s">
        <v>259</v>
      </c>
      <c r="B43" s="268">
        <v>0</v>
      </c>
      <c r="C43" s="268">
        <v>0</v>
      </c>
      <c r="D43" s="268">
        <v>12240.84425</v>
      </c>
      <c r="E43" s="268">
        <v>0</v>
      </c>
      <c r="F43" s="268">
        <v>0</v>
      </c>
      <c r="G43" s="268">
        <v>0</v>
      </c>
      <c r="H43" s="268">
        <v>0</v>
      </c>
      <c r="I43" s="268">
        <v>0</v>
      </c>
      <c r="J43" s="268">
        <v>-554.71956</v>
      </c>
      <c r="K43" s="268">
        <v>0</v>
      </c>
      <c r="L43" s="268">
        <v>0</v>
      </c>
      <c r="M43" s="268">
        <v>-617</v>
      </c>
      <c r="N43" s="296">
        <v>0</v>
      </c>
      <c r="O43" s="296">
        <v>0</v>
      </c>
      <c r="P43" s="296">
        <v>-232.47360936531601</v>
      </c>
      <c r="Q43" s="296">
        <v>445.22659159999699</v>
      </c>
      <c r="R43" s="296">
        <v>554.71956</v>
      </c>
      <c r="S43" s="296">
        <v>0</v>
      </c>
      <c r="T43" s="296">
        <v>0</v>
      </c>
      <c r="U43" s="329">
        <f t="shared" si="0"/>
        <v>11836.597232234682</v>
      </c>
      <c r="V43" s="51" t="s">
        <v>10</v>
      </c>
      <c r="X43" s="284"/>
    </row>
    <row r="44" spans="1:24" x14ac:dyDescent="0.2">
      <c r="A44" s="292" t="s">
        <v>271</v>
      </c>
      <c r="B44" s="268">
        <v>0</v>
      </c>
      <c r="C44" s="268">
        <v>0</v>
      </c>
      <c r="D44" s="268">
        <v>12240.84425</v>
      </c>
      <c r="E44" s="268">
        <v>0</v>
      </c>
      <c r="F44" s="268">
        <v>0</v>
      </c>
      <c r="G44" s="268">
        <v>0</v>
      </c>
      <c r="H44" s="268">
        <v>0</v>
      </c>
      <c r="I44" s="268">
        <v>0</v>
      </c>
      <c r="J44" s="268">
        <v>-114.77452</v>
      </c>
      <c r="K44" s="268">
        <v>0</v>
      </c>
      <c r="L44" s="268">
        <v>0</v>
      </c>
      <c r="M44" s="268">
        <v>-617</v>
      </c>
      <c r="N44" s="296">
        <v>0</v>
      </c>
      <c r="O44" s="296">
        <v>0</v>
      </c>
      <c r="P44" s="296">
        <v>-232.47360936531601</v>
      </c>
      <c r="Q44" s="296">
        <v>620.67677999999898</v>
      </c>
      <c r="R44" s="296">
        <v>114.77452</v>
      </c>
      <c r="S44" s="296">
        <v>0</v>
      </c>
      <c r="T44" s="296">
        <v>0</v>
      </c>
      <c r="U44" s="329">
        <f t="shared" si="0"/>
        <v>12012.047420634684</v>
      </c>
      <c r="V44" s="51" t="s">
        <v>10</v>
      </c>
      <c r="X44" s="284"/>
    </row>
    <row r="45" spans="1:24" x14ac:dyDescent="0.2">
      <c r="A45" s="207" t="s">
        <v>339</v>
      </c>
      <c r="B45" s="268">
        <v>0</v>
      </c>
      <c r="C45" s="268">
        <v>0</v>
      </c>
      <c r="D45" s="268">
        <v>67324.643375</v>
      </c>
      <c r="E45" s="268">
        <v>0</v>
      </c>
      <c r="F45" s="268">
        <v>0</v>
      </c>
      <c r="G45" s="268">
        <v>0</v>
      </c>
      <c r="H45" s="268">
        <v>0</v>
      </c>
      <c r="I45" s="268">
        <v>0</v>
      </c>
      <c r="J45" s="268">
        <f>-85.3532+-953.01978+-0.748+-11.72267+-0.187+-0.374+-16.0705099999999+-0.748</f>
        <v>-1068.22316</v>
      </c>
      <c r="K45" s="268">
        <v>0</v>
      </c>
      <c r="L45" s="268">
        <v>0</v>
      </c>
      <c r="M45" s="268">
        <v>-3394</v>
      </c>
      <c r="N45" s="296">
        <v>0</v>
      </c>
      <c r="O45" s="296">
        <v>0</v>
      </c>
      <c r="P45" s="296">
        <f>-1185.61540776311</f>
        <v>-1185.6154077631099</v>
      </c>
      <c r="Q45" s="296">
        <f>91.598+3037.95065+5591.405+568.31097</f>
        <v>9289.2646199999999</v>
      </c>
      <c r="R45" s="296">
        <f>766.19097+2075.31836+307.94677+257.45354+0.187+33.83978+843.92782+0.748+308.71147+285</f>
        <v>4879.3237099999997</v>
      </c>
      <c r="S45" s="296">
        <v>0</v>
      </c>
      <c r="T45" s="296">
        <v>0</v>
      </c>
      <c r="U45" s="329">
        <f>SUM(D45,G45,J45,M45,P45,Q45,R45)+SUM(J46,P46,Q46,R46)</f>
        <v>75752.403693490764</v>
      </c>
      <c r="V45" s="51" t="s">
        <v>10</v>
      </c>
      <c r="X45" s="284"/>
    </row>
    <row r="46" spans="1:24" s="344" customFormat="1" x14ac:dyDescent="0.2">
      <c r="A46" s="346" t="s">
        <v>283</v>
      </c>
      <c r="B46" s="268">
        <v>0</v>
      </c>
      <c r="C46" s="268">
        <v>0</v>
      </c>
      <c r="D46" s="440" t="s">
        <v>611</v>
      </c>
      <c r="E46" s="268">
        <v>0</v>
      </c>
      <c r="F46" s="268">
        <v>0</v>
      </c>
      <c r="G46" s="440" t="s">
        <v>480</v>
      </c>
      <c r="H46" s="268">
        <v>0</v>
      </c>
      <c r="I46" s="268">
        <v>0</v>
      </c>
      <c r="J46" s="268">
        <v>0</v>
      </c>
      <c r="K46" s="268">
        <v>0</v>
      </c>
      <c r="L46" s="268">
        <v>0</v>
      </c>
      <c r="M46" s="268">
        <v>-247</v>
      </c>
      <c r="N46" s="296">
        <v>0</v>
      </c>
      <c r="O46" s="296">
        <v>0</v>
      </c>
      <c r="P46" s="296">
        <v>-92.989443746126398</v>
      </c>
      <c r="Q46" s="296">
        <v>0</v>
      </c>
      <c r="R46" s="296">
        <v>0</v>
      </c>
      <c r="S46" s="296">
        <v>0</v>
      </c>
      <c r="T46" s="296">
        <v>0</v>
      </c>
      <c r="U46" s="437" t="s">
        <v>611</v>
      </c>
      <c r="V46" s="51" t="s">
        <v>10</v>
      </c>
      <c r="X46" s="345"/>
    </row>
    <row r="47" spans="1:24" x14ac:dyDescent="0.2">
      <c r="A47" s="207" t="s">
        <v>258</v>
      </c>
      <c r="B47" s="268">
        <v>0</v>
      </c>
      <c r="C47" s="268">
        <v>0</v>
      </c>
      <c r="D47" s="268">
        <v>249713.22269999998</v>
      </c>
      <c r="E47" s="268">
        <v>0</v>
      </c>
      <c r="F47" s="268">
        <v>0</v>
      </c>
      <c r="G47" s="268">
        <v>0</v>
      </c>
      <c r="H47" s="268">
        <v>0</v>
      </c>
      <c r="I47" s="268">
        <v>0</v>
      </c>
      <c r="J47" s="268">
        <v>-1429.9760000000001</v>
      </c>
      <c r="K47" s="268">
        <v>0</v>
      </c>
      <c r="L47" s="268">
        <v>0</v>
      </c>
      <c r="M47" s="268">
        <f>-12590</f>
        <v>-12590</v>
      </c>
      <c r="N47" s="296">
        <v>0</v>
      </c>
      <c r="O47" s="296">
        <v>0</v>
      </c>
      <c r="P47" s="296">
        <v>-4742.4616310524498</v>
      </c>
      <c r="Q47" s="296">
        <v>0.196699999987963</v>
      </c>
      <c r="R47" s="296">
        <v>1429.9760000000001</v>
      </c>
      <c r="S47" s="296">
        <v>0</v>
      </c>
      <c r="T47" s="296">
        <v>0</v>
      </c>
      <c r="U47" s="329">
        <f t="shared" ref="U47:U69" si="1">SUM(D47,G47,J47,M47,P47,Q47,R47)</f>
        <v>232380.95776894753</v>
      </c>
      <c r="V47" s="51" t="s">
        <v>10</v>
      </c>
      <c r="X47" s="284"/>
    </row>
    <row r="48" spans="1:24" x14ac:dyDescent="0.2">
      <c r="A48" s="292" t="s">
        <v>257</v>
      </c>
      <c r="B48" s="268">
        <v>0</v>
      </c>
      <c r="C48" s="268">
        <v>0</v>
      </c>
      <c r="D48" s="268">
        <v>3917.0701600000002</v>
      </c>
      <c r="E48" s="268">
        <v>0</v>
      </c>
      <c r="F48" s="268">
        <v>0</v>
      </c>
      <c r="G48" s="268">
        <v>0</v>
      </c>
      <c r="H48" s="268">
        <v>0</v>
      </c>
      <c r="I48" s="268">
        <v>0</v>
      </c>
      <c r="J48" s="268">
        <v>0</v>
      </c>
      <c r="K48" s="268">
        <v>0</v>
      </c>
      <c r="L48" s="268">
        <v>0</v>
      </c>
      <c r="M48" s="268">
        <v>-197</v>
      </c>
      <c r="N48" s="296">
        <v>0</v>
      </c>
      <c r="O48" s="296">
        <v>0</v>
      </c>
      <c r="P48" s="296">
        <v>-74.391554996901107</v>
      </c>
      <c r="Q48" s="296">
        <v>0</v>
      </c>
      <c r="R48" s="296">
        <v>0</v>
      </c>
      <c r="S48" s="296">
        <v>0</v>
      </c>
      <c r="T48" s="296">
        <v>0</v>
      </c>
      <c r="U48" s="329">
        <f t="shared" si="1"/>
        <v>3645.6786050030992</v>
      </c>
      <c r="V48" s="51" t="s">
        <v>10</v>
      </c>
      <c r="X48" s="284"/>
    </row>
    <row r="49" spans="1:24" x14ac:dyDescent="0.2">
      <c r="A49" s="207" t="s">
        <v>256</v>
      </c>
      <c r="B49" s="268">
        <v>0</v>
      </c>
      <c r="C49" s="268">
        <v>0</v>
      </c>
      <c r="D49" s="268">
        <v>13220.111789999999</v>
      </c>
      <c r="E49" s="268">
        <v>0</v>
      </c>
      <c r="F49" s="268">
        <v>0</v>
      </c>
      <c r="G49" s="268">
        <v>0</v>
      </c>
      <c r="H49" s="268">
        <v>0</v>
      </c>
      <c r="I49" s="268">
        <v>0</v>
      </c>
      <c r="J49" s="268">
        <v>-1006.65209</v>
      </c>
      <c r="K49" s="268">
        <v>0</v>
      </c>
      <c r="L49" s="268">
        <v>0</v>
      </c>
      <c r="M49" s="268">
        <v>-667</v>
      </c>
      <c r="N49" s="296">
        <v>0</v>
      </c>
      <c r="O49" s="296">
        <v>0</v>
      </c>
      <c r="P49" s="296">
        <v>-251.07149811454099</v>
      </c>
      <c r="Q49" s="296">
        <v>558.11300000000006</v>
      </c>
      <c r="R49" s="296">
        <v>1006.65209</v>
      </c>
      <c r="S49" s="296">
        <v>0</v>
      </c>
      <c r="T49" s="296">
        <v>0</v>
      </c>
      <c r="U49" s="329">
        <f t="shared" si="1"/>
        <v>12860.153291885457</v>
      </c>
      <c r="V49" s="51" t="s">
        <v>10</v>
      </c>
      <c r="X49" s="284"/>
    </row>
    <row r="50" spans="1:24" x14ac:dyDescent="0.2">
      <c r="A50" s="207" t="s">
        <v>335</v>
      </c>
      <c r="B50" s="268">
        <v>0</v>
      </c>
      <c r="C50" s="268">
        <v>0</v>
      </c>
      <c r="D50" s="268">
        <v>4896.3377</v>
      </c>
      <c r="E50" s="268">
        <v>0</v>
      </c>
      <c r="F50" s="268">
        <v>0</v>
      </c>
      <c r="G50" s="268">
        <v>0</v>
      </c>
      <c r="H50" s="268">
        <v>0</v>
      </c>
      <c r="I50" s="268">
        <v>0</v>
      </c>
      <c r="J50" s="268">
        <v>-249.91243</v>
      </c>
      <c r="K50" s="268">
        <v>0</v>
      </c>
      <c r="L50" s="268">
        <v>0</v>
      </c>
      <c r="M50" s="268">
        <v>-247</v>
      </c>
      <c r="N50" s="296">
        <v>0</v>
      </c>
      <c r="O50" s="296">
        <v>0</v>
      </c>
      <c r="P50" s="296">
        <v>-92.989443746126398</v>
      </c>
      <c r="Q50" s="296">
        <v>265.76654000000002</v>
      </c>
      <c r="R50" s="296">
        <v>0</v>
      </c>
      <c r="S50" s="296">
        <v>0</v>
      </c>
      <c r="T50" s="296">
        <v>0</v>
      </c>
      <c r="U50" s="329">
        <f t="shared" si="1"/>
        <v>4572.2023662538732</v>
      </c>
      <c r="V50" s="51" t="s">
        <v>10</v>
      </c>
      <c r="X50" s="284"/>
    </row>
    <row r="51" spans="1:24" x14ac:dyDescent="0.2">
      <c r="A51" s="207" t="s">
        <v>334</v>
      </c>
      <c r="B51" s="268">
        <v>0</v>
      </c>
      <c r="C51" s="268">
        <v>0</v>
      </c>
      <c r="D51" s="268">
        <v>0</v>
      </c>
      <c r="E51" s="268">
        <v>0</v>
      </c>
      <c r="F51" s="268">
        <v>0</v>
      </c>
      <c r="G51" s="268">
        <v>0</v>
      </c>
      <c r="H51" s="268">
        <v>0</v>
      </c>
      <c r="I51" s="268">
        <v>0</v>
      </c>
      <c r="J51" s="268">
        <v>-57.624989999999997</v>
      </c>
      <c r="K51" s="268">
        <v>0</v>
      </c>
      <c r="L51" s="268">
        <v>0</v>
      </c>
      <c r="M51" s="268">
        <v>0</v>
      </c>
      <c r="N51" s="296">
        <v>0</v>
      </c>
      <c r="O51" s="296">
        <v>0</v>
      </c>
      <c r="P51" s="296">
        <v>0</v>
      </c>
      <c r="Q51" s="296">
        <v>0</v>
      </c>
      <c r="R51" s="296">
        <v>57.624989999999997</v>
      </c>
      <c r="S51" s="296">
        <v>0</v>
      </c>
      <c r="T51" s="296">
        <v>0</v>
      </c>
      <c r="U51" s="329">
        <f t="shared" si="1"/>
        <v>0</v>
      </c>
      <c r="V51" s="51" t="s">
        <v>10</v>
      </c>
      <c r="X51" s="284"/>
    </row>
    <row r="52" spans="1:24" x14ac:dyDescent="0.2">
      <c r="A52" s="207" t="s">
        <v>332</v>
      </c>
      <c r="B52" s="268">
        <v>0</v>
      </c>
      <c r="C52" s="268">
        <v>0</v>
      </c>
      <c r="D52" s="268">
        <v>0</v>
      </c>
      <c r="E52" s="268">
        <v>0</v>
      </c>
      <c r="F52" s="268">
        <v>0</v>
      </c>
      <c r="G52" s="268">
        <v>0</v>
      </c>
      <c r="H52" s="268">
        <v>0</v>
      </c>
      <c r="I52" s="268">
        <v>0</v>
      </c>
      <c r="J52" s="268">
        <v>-4.6728500000000004</v>
      </c>
      <c r="K52" s="268">
        <v>0</v>
      </c>
      <c r="L52" s="268">
        <v>0</v>
      </c>
      <c r="M52" s="268">
        <v>0</v>
      </c>
      <c r="N52" s="296">
        <v>0</v>
      </c>
      <c r="O52" s="296">
        <v>0</v>
      </c>
      <c r="P52" s="296">
        <v>0</v>
      </c>
      <c r="Q52" s="296">
        <v>0</v>
      </c>
      <c r="R52" s="296">
        <v>4.6728500000000004</v>
      </c>
      <c r="S52" s="296">
        <v>0</v>
      </c>
      <c r="T52" s="296">
        <v>0</v>
      </c>
      <c r="U52" s="329">
        <f t="shared" si="1"/>
        <v>0</v>
      </c>
      <c r="V52" s="51" t="s">
        <v>10</v>
      </c>
      <c r="X52" s="284"/>
    </row>
    <row r="53" spans="1:24" x14ac:dyDescent="0.2">
      <c r="A53" s="207" t="s">
        <v>331</v>
      </c>
      <c r="B53" s="268">
        <v>0</v>
      </c>
      <c r="C53" s="268">
        <v>0</v>
      </c>
      <c r="D53" s="268">
        <v>0</v>
      </c>
      <c r="E53" s="268">
        <v>0</v>
      </c>
      <c r="F53" s="268">
        <v>0</v>
      </c>
      <c r="G53" s="268">
        <v>0</v>
      </c>
      <c r="H53" s="268">
        <v>0</v>
      </c>
      <c r="I53" s="268">
        <v>0</v>
      </c>
      <c r="J53" s="268">
        <f>-257.50359+-49.08022</f>
        <v>-306.58380999999997</v>
      </c>
      <c r="K53" s="268">
        <v>0</v>
      </c>
      <c r="L53" s="268">
        <v>0</v>
      </c>
      <c r="M53" s="268">
        <v>0</v>
      </c>
      <c r="N53" s="296">
        <v>0</v>
      </c>
      <c r="O53" s="296">
        <v>0</v>
      </c>
      <c r="P53" s="296">
        <v>0</v>
      </c>
      <c r="Q53" s="296">
        <v>0</v>
      </c>
      <c r="R53" s="296">
        <f>258.12288+49.08022</f>
        <v>307.20310000000001</v>
      </c>
      <c r="S53" s="296">
        <v>0</v>
      </c>
      <c r="T53" s="296">
        <v>0</v>
      </c>
      <c r="U53" s="329">
        <f t="shared" si="1"/>
        <v>0.61929000000003498</v>
      </c>
      <c r="V53" s="51" t="s">
        <v>10</v>
      </c>
      <c r="X53" s="284"/>
    </row>
    <row r="54" spans="1:24" ht="15" thickBot="1" x14ac:dyDescent="0.25">
      <c r="A54" s="531" t="s">
        <v>330</v>
      </c>
      <c r="B54" s="532">
        <v>0</v>
      </c>
      <c r="C54" s="532">
        <v>0</v>
      </c>
      <c r="D54" s="532">
        <v>0</v>
      </c>
      <c r="E54" s="532">
        <v>0</v>
      </c>
      <c r="F54" s="532">
        <v>0</v>
      </c>
      <c r="G54" s="532">
        <v>0</v>
      </c>
      <c r="H54" s="532">
        <v>0</v>
      </c>
      <c r="I54" s="532">
        <v>0</v>
      </c>
      <c r="J54" s="532">
        <v>-14224.897349999999</v>
      </c>
      <c r="K54" s="532">
        <v>0</v>
      </c>
      <c r="L54" s="532">
        <v>0</v>
      </c>
      <c r="M54" s="532">
        <v>0</v>
      </c>
      <c r="N54" s="532">
        <v>0</v>
      </c>
      <c r="O54" s="532">
        <v>0</v>
      </c>
      <c r="P54" s="532">
        <v>0</v>
      </c>
      <c r="Q54" s="532">
        <v>2005.5063967999999</v>
      </c>
      <c r="R54" s="532">
        <v>16255.717199999999</v>
      </c>
      <c r="S54" s="532">
        <v>0</v>
      </c>
      <c r="T54" s="532">
        <v>0</v>
      </c>
      <c r="U54" s="533">
        <f t="shared" si="1"/>
        <v>4036.3262467999994</v>
      </c>
      <c r="V54" s="51" t="s">
        <v>10</v>
      </c>
      <c r="X54" s="284"/>
    </row>
    <row r="55" spans="1:24" x14ac:dyDescent="0.2">
      <c r="A55" s="210" t="s">
        <v>329</v>
      </c>
      <c r="B55" s="296">
        <v>0</v>
      </c>
      <c r="C55" s="296">
        <v>0</v>
      </c>
      <c r="D55" s="296">
        <v>0</v>
      </c>
      <c r="E55" s="296">
        <v>0</v>
      </c>
      <c r="F55" s="296">
        <v>0</v>
      </c>
      <c r="G55" s="296">
        <v>0</v>
      </c>
      <c r="H55" s="296">
        <v>0</v>
      </c>
      <c r="I55" s="296">
        <v>0</v>
      </c>
      <c r="J55" s="296">
        <v>-42.787820000000004</v>
      </c>
      <c r="K55" s="296">
        <v>0</v>
      </c>
      <c r="L55" s="296">
        <v>0</v>
      </c>
      <c r="M55" s="296">
        <v>0</v>
      </c>
      <c r="N55" s="296">
        <v>0</v>
      </c>
      <c r="O55" s="296">
        <v>0</v>
      </c>
      <c r="P55" s="296">
        <v>0</v>
      </c>
      <c r="Q55" s="296">
        <v>0</v>
      </c>
      <c r="R55" s="296">
        <v>42.787820000000004</v>
      </c>
      <c r="S55" s="296">
        <v>0</v>
      </c>
      <c r="T55" s="296">
        <v>0</v>
      </c>
      <c r="U55" s="329">
        <f t="shared" si="1"/>
        <v>0</v>
      </c>
      <c r="V55" s="51" t="s">
        <v>10</v>
      </c>
      <c r="X55" s="284"/>
    </row>
    <row r="56" spans="1:24" x14ac:dyDescent="0.2">
      <c r="A56" s="207" t="s">
        <v>328</v>
      </c>
      <c r="B56" s="268">
        <v>0</v>
      </c>
      <c r="C56" s="268">
        <v>0</v>
      </c>
      <c r="D56" s="268">
        <v>0</v>
      </c>
      <c r="E56" s="268">
        <v>0</v>
      </c>
      <c r="F56" s="268">
        <v>0</v>
      </c>
      <c r="G56" s="268">
        <v>0</v>
      </c>
      <c r="H56" s="268">
        <v>0</v>
      </c>
      <c r="I56" s="268">
        <v>0</v>
      </c>
      <c r="J56" s="268">
        <v>0</v>
      </c>
      <c r="K56" s="268">
        <v>0</v>
      </c>
      <c r="L56" s="268">
        <v>0</v>
      </c>
      <c r="M56" s="268">
        <v>0</v>
      </c>
      <c r="N56" s="296">
        <v>0</v>
      </c>
      <c r="O56" s="296">
        <v>0</v>
      </c>
      <c r="P56" s="296">
        <v>0</v>
      </c>
      <c r="Q56" s="296">
        <v>59.031039999999997</v>
      </c>
      <c r="R56" s="296">
        <v>0</v>
      </c>
      <c r="S56" s="296">
        <v>0</v>
      </c>
      <c r="T56" s="296">
        <v>0</v>
      </c>
      <c r="U56" s="329">
        <f t="shared" si="1"/>
        <v>59.031039999999997</v>
      </c>
      <c r="V56" s="51" t="s">
        <v>10</v>
      </c>
      <c r="X56" s="284"/>
    </row>
    <row r="57" spans="1:24" x14ac:dyDescent="0.2">
      <c r="A57" s="207" t="s">
        <v>327</v>
      </c>
      <c r="B57" s="268">
        <v>0</v>
      </c>
      <c r="C57" s="268">
        <v>0</v>
      </c>
      <c r="D57" s="268">
        <v>0</v>
      </c>
      <c r="E57" s="268">
        <v>0</v>
      </c>
      <c r="F57" s="268">
        <v>0</v>
      </c>
      <c r="G57" s="268">
        <v>0</v>
      </c>
      <c r="H57" s="268">
        <v>0</v>
      </c>
      <c r="I57" s="268">
        <v>0</v>
      </c>
      <c r="J57" s="268">
        <v>-9.5201200000000004</v>
      </c>
      <c r="K57" s="268">
        <v>0</v>
      </c>
      <c r="L57" s="268">
        <v>0</v>
      </c>
      <c r="M57" s="268">
        <v>0</v>
      </c>
      <c r="N57" s="296">
        <v>0</v>
      </c>
      <c r="O57" s="296">
        <v>0</v>
      </c>
      <c r="P57" s="296">
        <v>0</v>
      </c>
      <c r="Q57" s="296">
        <v>996.28322000000003</v>
      </c>
      <c r="R57" s="296">
        <v>9.5201200000000004</v>
      </c>
      <c r="S57" s="296">
        <v>0</v>
      </c>
      <c r="T57" s="296">
        <v>0</v>
      </c>
      <c r="U57" s="329">
        <f t="shared" si="1"/>
        <v>996.28322000000003</v>
      </c>
      <c r="V57" s="51" t="s">
        <v>10</v>
      </c>
      <c r="X57" s="284"/>
    </row>
    <row r="58" spans="1:24" x14ac:dyDescent="0.2">
      <c r="A58" s="292" t="s">
        <v>326</v>
      </c>
      <c r="B58" s="268">
        <v>0</v>
      </c>
      <c r="C58" s="268">
        <v>0</v>
      </c>
      <c r="D58" s="268">
        <v>0</v>
      </c>
      <c r="E58" s="268">
        <v>0</v>
      </c>
      <c r="F58" s="268">
        <v>0</v>
      </c>
      <c r="G58" s="268">
        <v>0</v>
      </c>
      <c r="H58" s="268">
        <v>0</v>
      </c>
      <c r="I58" s="268">
        <v>0</v>
      </c>
      <c r="J58" s="268">
        <v>-308.71147000000002</v>
      </c>
      <c r="K58" s="268">
        <v>0</v>
      </c>
      <c r="L58" s="268">
        <v>0</v>
      </c>
      <c r="M58" s="268">
        <v>0</v>
      </c>
      <c r="N58" s="296">
        <v>0</v>
      </c>
      <c r="O58" s="296">
        <v>0</v>
      </c>
      <c r="P58" s="296">
        <v>0</v>
      </c>
      <c r="Q58" s="296">
        <v>-5.09314812546791E-14</v>
      </c>
      <c r="R58" s="296">
        <v>0</v>
      </c>
      <c r="S58" s="296">
        <v>0</v>
      </c>
      <c r="T58" s="296">
        <v>0</v>
      </c>
      <c r="U58" s="329">
        <f t="shared" si="1"/>
        <v>-308.71147000000008</v>
      </c>
      <c r="V58" s="51" t="s">
        <v>10</v>
      </c>
      <c r="X58" s="284"/>
    </row>
    <row r="59" spans="1:24" x14ac:dyDescent="0.2">
      <c r="A59" s="207" t="s">
        <v>325</v>
      </c>
      <c r="B59" s="268">
        <v>0</v>
      </c>
      <c r="C59" s="268">
        <v>0</v>
      </c>
      <c r="D59" s="268">
        <v>0</v>
      </c>
      <c r="E59" s="268">
        <v>0</v>
      </c>
      <c r="F59" s="268">
        <v>0</v>
      </c>
      <c r="G59" s="268">
        <v>0</v>
      </c>
      <c r="H59" s="268">
        <v>0</v>
      </c>
      <c r="I59" s="268">
        <v>0</v>
      </c>
      <c r="J59" s="268">
        <v>0</v>
      </c>
      <c r="K59" s="268">
        <v>0</v>
      </c>
      <c r="L59" s="268">
        <v>0</v>
      </c>
      <c r="M59" s="268">
        <v>0</v>
      </c>
      <c r="N59" s="296">
        <v>0</v>
      </c>
      <c r="O59" s="296">
        <v>0</v>
      </c>
      <c r="P59" s="296">
        <v>0</v>
      </c>
      <c r="Q59" s="296">
        <v>1948.39456000001</v>
      </c>
      <c r="R59" s="296">
        <v>6989.6885000000002</v>
      </c>
      <c r="S59" s="296">
        <v>0</v>
      </c>
      <c r="T59" s="296">
        <v>0</v>
      </c>
      <c r="U59" s="329">
        <f t="shared" si="1"/>
        <v>8938.0830600000099</v>
      </c>
      <c r="V59" s="51" t="s">
        <v>10</v>
      </c>
      <c r="X59" s="284"/>
    </row>
    <row r="60" spans="1:24" x14ac:dyDescent="0.2">
      <c r="A60" s="207" t="s">
        <v>324</v>
      </c>
      <c r="B60" s="268">
        <v>0</v>
      </c>
      <c r="C60" s="268">
        <v>0</v>
      </c>
      <c r="D60" s="268">
        <v>0</v>
      </c>
      <c r="E60" s="268">
        <v>0</v>
      </c>
      <c r="F60" s="268">
        <v>0</v>
      </c>
      <c r="G60" s="268">
        <v>0</v>
      </c>
      <c r="H60" s="268">
        <v>0</v>
      </c>
      <c r="I60" s="268">
        <v>0</v>
      </c>
      <c r="J60" s="268">
        <v>-143.55551</v>
      </c>
      <c r="K60" s="268">
        <v>0</v>
      </c>
      <c r="L60" s="268">
        <v>0</v>
      </c>
      <c r="M60" s="268">
        <v>0</v>
      </c>
      <c r="N60" s="296">
        <v>0</v>
      </c>
      <c r="O60" s="296">
        <v>0</v>
      </c>
      <c r="P60" s="296">
        <v>0</v>
      </c>
      <c r="Q60" s="296">
        <v>-597.82222000000002</v>
      </c>
      <c r="R60" s="296">
        <v>143.55551</v>
      </c>
      <c r="S60" s="296">
        <v>0</v>
      </c>
      <c r="T60" s="296">
        <v>0</v>
      </c>
      <c r="U60" s="329">
        <f t="shared" si="1"/>
        <v>-597.82222000000002</v>
      </c>
      <c r="V60" s="51" t="s">
        <v>10</v>
      </c>
      <c r="X60" s="284"/>
    </row>
    <row r="61" spans="1:24" x14ac:dyDescent="0.2">
      <c r="A61" s="292" t="s">
        <v>323</v>
      </c>
      <c r="B61" s="268">
        <v>0</v>
      </c>
      <c r="C61" s="268">
        <v>0</v>
      </c>
      <c r="D61" s="268">
        <v>0</v>
      </c>
      <c r="E61" s="268">
        <v>0</v>
      </c>
      <c r="F61" s="268">
        <v>0</v>
      </c>
      <c r="G61" s="268">
        <v>0</v>
      </c>
      <c r="H61" s="268">
        <v>0</v>
      </c>
      <c r="I61" s="268">
        <v>0</v>
      </c>
      <c r="J61" s="268">
        <v>0</v>
      </c>
      <c r="K61" s="268">
        <v>0</v>
      </c>
      <c r="L61" s="268">
        <v>0</v>
      </c>
      <c r="M61" s="268">
        <v>0</v>
      </c>
      <c r="N61" s="296">
        <v>0</v>
      </c>
      <c r="O61" s="296">
        <v>0</v>
      </c>
      <c r="P61" s="296">
        <v>0</v>
      </c>
      <c r="Q61" s="296">
        <v>26.818000000000001</v>
      </c>
      <c r="R61" s="296">
        <v>0</v>
      </c>
      <c r="S61" s="296">
        <v>0</v>
      </c>
      <c r="T61" s="296">
        <v>0</v>
      </c>
      <c r="U61" s="329">
        <f t="shared" si="1"/>
        <v>26.818000000000001</v>
      </c>
      <c r="V61" s="51" t="s">
        <v>10</v>
      </c>
      <c r="X61" s="284"/>
    </row>
    <row r="62" spans="1:24" x14ac:dyDescent="0.2">
      <c r="A62" s="207" t="s">
        <v>322</v>
      </c>
      <c r="B62" s="268">
        <v>0</v>
      </c>
      <c r="C62" s="268">
        <v>0</v>
      </c>
      <c r="D62" s="268">
        <v>0</v>
      </c>
      <c r="E62" s="268">
        <v>0</v>
      </c>
      <c r="F62" s="268">
        <v>0</v>
      </c>
      <c r="G62" s="268">
        <v>0</v>
      </c>
      <c r="H62" s="268">
        <v>0</v>
      </c>
      <c r="I62" s="268">
        <v>0</v>
      </c>
      <c r="J62" s="268">
        <v>0</v>
      </c>
      <c r="K62" s="268">
        <v>0</v>
      </c>
      <c r="L62" s="268">
        <v>0</v>
      </c>
      <c r="M62" s="268">
        <v>0</v>
      </c>
      <c r="N62" s="296">
        <v>0</v>
      </c>
      <c r="O62" s="296">
        <v>0</v>
      </c>
      <c r="P62" s="296">
        <v>0</v>
      </c>
      <c r="Q62" s="296">
        <v>15.3298500000001</v>
      </c>
      <c r="R62" s="296">
        <v>0</v>
      </c>
      <c r="S62" s="296">
        <v>0</v>
      </c>
      <c r="T62" s="296">
        <v>0</v>
      </c>
      <c r="U62" s="329">
        <f t="shared" si="1"/>
        <v>15.3298500000001</v>
      </c>
      <c r="V62" s="51" t="s">
        <v>10</v>
      </c>
      <c r="X62" s="284"/>
    </row>
    <row r="63" spans="1:24" x14ac:dyDescent="0.2">
      <c r="A63" s="207" t="s">
        <v>321</v>
      </c>
      <c r="B63" s="268">
        <v>0</v>
      </c>
      <c r="C63" s="268">
        <v>0</v>
      </c>
      <c r="D63" s="268">
        <v>0</v>
      </c>
      <c r="E63" s="268">
        <v>0</v>
      </c>
      <c r="F63" s="268">
        <v>0</v>
      </c>
      <c r="G63" s="268">
        <v>0</v>
      </c>
      <c r="H63" s="268">
        <v>0</v>
      </c>
      <c r="I63" s="268">
        <v>0</v>
      </c>
      <c r="J63" s="268">
        <v>0</v>
      </c>
      <c r="K63" s="268">
        <v>0</v>
      </c>
      <c r="L63" s="268">
        <v>0</v>
      </c>
      <c r="M63" s="268">
        <v>0</v>
      </c>
      <c r="N63" s="296">
        <v>0</v>
      </c>
      <c r="O63" s="296">
        <v>0</v>
      </c>
      <c r="P63" s="296">
        <v>0</v>
      </c>
      <c r="Q63" s="296">
        <v>45.9183200000002</v>
      </c>
      <c r="R63" s="296">
        <v>0</v>
      </c>
      <c r="S63" s="296">
        <v>0</v>
      </c>
      <c r="T63" s="296">
        <v>0</v>
      </c>
      <c r="U63" s="329">
        <f t="shared" si="1"/>
        <v>45.9183200000002</v>
      </c>
      <c r="V63" s="51" t="s">
        <v>10</v>
      </c>
      <c r="X63" s="284"/>
    </row>
    <row r="64" spans="1:24" x14ac:dyDescent="0.2">
      <c r="A64" s="353" t="s">
        <v>320</v>
      </c>
      <c r="B64" s="334">
        <v>0</v>
      </c>
      <c r="C64" s="334">
        <v>0</v>
      </c>
      <c r="D64" s="334">
        <v>0</v>
      </c>
      <c r="E64" s="334">
        <v>0</v>
      </c>
      <c r="F64" s="334">
        <v>0</v>
      </c>
      <c r="G64" s="334">
        <v>0</v>
      </c>
      <c r="H64" s="334">
        <v>0</v>
      </c>
      <c r="I64" s="334">
        <v>0</v>
      </c>
      <c r="J64" s="334">
        <v>0</v>
      </c>
      <c r="K64" s="334">
        <v>0</v>
      </c>
      <c r="L64" s="334">
        <v>0</v>
      </c>
      <c r="M64" s="334">
        <v>0</v>
      </c>
      <c r="N64" s="334">
        <v>0</v>
      </c>
      <c r="O64" s="334">
        <v>0</v>
      </c>
      <c r="P64" s="334">
        <v>0</v>
      </c>
      <c r="Q64" s="334">
        <v>1047.7133699999999</v>
      </c>
      <c r="R64" s="334">
        <v>0</v>
      </c>
      <c r="S64" s="334">
        <v>0</v>
      </c>
      <c r="T64" s="334">
        <v>0</v>
      </c>
      <c r="U64" s="333">
        <f t="shared" si="1"/>
        <v>1047.7133699999999</v>
      </c>
      <c r="V64" s="51" t="s">
        <v>10</v>
      </c>
      <c r="X64" s="284"/>
    </row>
    <row r="65" spans="1:24" x14ac:dyDescent="0.2">
      <c r="A65" s="210" t="s">
        <v>319</v>
      </c>
      <c r="B65" s="296">
        <v>0</v>
      </c>
      <c r="C65" s="296">
        <v>0</v>
      </c>
      <c r="D65" s="296">
        <v>0</v>
      </c>
      <c r="E65" s="296">
        <v>0</v>
      </c>
      <c r="F65" s="296">
        <v>0</v>
      </c>
      <c r="G65" s="296">
        <v>0</v>
      </c>
      <c r="H65" s="296">
        <v>0</v>
      </c>
      <c r="I65" s="296">
        <v>0</v>
      </c>
      <c r="J65" s="296">
        <v>-171.62565000000001</v>
      </c>
      <c r="K65" s="296">
        <v>0</v>
      </c>
      <c r="L65" s="296">
        <v>0</v>
      </c>
      <c r="M65" s="296">
        <v>0</v>
      </c>
      <c r="N65" s="296">
        <v>0</v>
      </c>
      <c r="O65" s="296">
        <v>0</v>
      </c>
      <c r="P65" s="296">
        <v>0</v>
      </c>
      <c r="Q65" s="296">
        <v>14.540999999999499</v>
      </c>
      <c r="R65" s="296">
        <v>171.62565000000001</v>
      </c>
      <c r="S65" s="296">
        <v>0</v>
      </c>
      <c r="T65" s="296">
        <v>0</v>
      </c>
      <c r="U65" s="329">
        <f t="shared" si="1"/>
        <v>14.540999999999485</v>
      </c>
      <c r="V65" s="51" t="s">
        <v>10</v>
      </c>
      <c r="X65" s="284"/>
    </row>
    <row r="66" spans="1:24" x14ac:dyDescent="0.2">
      <c r="A66" s="207" t="s">
        <v>318</v>
      </c>
      <c r="B66" s="268">
        <v>0</v>
      </c>
      <c r="C66" s="268">
        <v>0</v>
      </c>
      <c r="D66" s="268">
        <v>0</v>
      </c>
      <c r="E66" s="268">
        <v>0</v>
      </c>
      <c r="F66" s="268">
        <v>0</v>
      </c>
      <c r="G66" s="268">
        <v>0</v>
      </c>
      <c r="H66" s="268">
        <v>0</v>
      </c>
      <c r="I66" s="268">
        <v>0</v>
      </c>
      <c r="J66" s="268">
        <v>-88.075000000000003</v>
      </c>
      <c r="K66" s="268">
        <v>0</v>
      </c>
      <c r="L66" s="268">
        <v>0</v>
      </c>
      <c r="M66" s="268">
        <v>0</v>
      </c>
      <c r="N66" s="268">
        <v>0</v>
      </c>
      <c r="O66" s="268">
        <v>0</v>
      </c>
      <c r="P66" s="268">
        <v>0</v>
      </c>
      <c r="Q66" s="268">
        <v>0</v>
      </c>
      <c r="R66" s="268">
        <v>1863.883</v>
      </c>
      <c r="S66" s="268">
        <v>0</v>
      </c>
      <c r="T66" s="268">
        <v>0</v>
      </c>
      <c r="U66" s="279">
        <f t="shared" si="1"/>
        <v>1775.808</v>
      </c>
      <c r="V66" s="51" t="s">
        <v>10</v>
      </c>
      <c r="X66" s="347"/>
    </row>
    <row r="67" spans="1:24" x14ac:dyDescent="0.2">
      <c r="A67" s="207" t="s">
        <v>317</v>
      </c>
      <c r="B67" s="268">
        <v>0</v>
      </c>
      <c r="C67" s="268">
        <v>0</v>
      </c>
      <c r="D67" s="268">
        <v>0</v>
      </c>
      <c r="E67" s="268">
        <v>0</v>
      </c>
      <c r="F67" s="268">
        <v>0</v>
      </c>
      <c r="G67" s="268">
        <v>0</v>
      </c>
      <c r="H67" s="268">
        <v>0</v>
      </c>
      <c r="I67" s="268">
        <v>0</v>
      </c>
      <c r="J67" s="268">
        <v>0</v>
      </c>
      <c r="K67" s="268">
        <v>0</v>
      </c>
      <c r="L67" s="268">
        <v>0</v>
      </c>
      <c r="M67" s="268">
        <v>0</v>
      </c>
      <c r="N67" s="268">
        <v>0</v>
      </c>
      <c r="O67" s="268">
        <v>0</v>
      </c>
      <c r="P67" s="268">
        <v>0</v>
      </c>
      <c r="Q67" s="268">
        <v>-123.95632999999999</v>
      </c>
      <c r="R67" s="268">
        <v>21</v>
      </c>
      <c r="S67" s="268">
        <v>0</v>
      </c>
      <c r="T67" s="268">
        <v>0</v>
      </c>
      <c r="U67" s="279">
        <f t="shared" si="1"/>
        <v>-102.95632999999999</v>
      </c>
      <c r="V67" s="51" t="s">
        <v>10</v>
      </c>
      <c r="X67" s="517"/>
    </row>
    <row r="68" spans="1:24" x14ac:dyDescent="0.2">
      <c r="A68" s="207" t="s">
        <v>225</v>
      </c>
      <c r="B68" s="268">
        <v>0</v>
      </c>
      <c r="C68" s="268">
        <v>0</v>
      </c>
      <c r="D68" s="268">
        <v>0</v>
      </c>
      <c r="E68" s="268">
        <v>0</v>
      </c>
      <c r="F68" s="268">
        <v>0</v>
      </c>
      <c r="G68" s="268">
        <v>0</v>
      </c>
      <c r="H68" s="268">
        <v>0</v>
      </c>
      <c r="I68" s="268">
        <v>0</v>
      </c>
      <c r="J68" s="268">
        <v>0</v>
      </c>
      <c r="K68" s="268">
        <v>0</v>
      </c>
      <c r="L68" s="268">
        <v>0</v>
      </c>
      <c r="M68" s="268">
        <v>0</v>
      </c>
      <c r="N68" s="268">
        <v>0</v>
      </c>
      <c r="O68" s="268">
        <v>0</v>
      </c>
      <c r="P68" s="268">
        <v>0</v>
      </c>
      <c r="Q68" s="268">
        <v>0</v>
      </c>
      <c r="R68" s="268">
        <v>0</v>
      </c>
      <c r="S68" s="268">
        <v>0</v>
      </c>
      <c r="T68" s="268">
        <v>0</v>
      </c>
      <c r="U68" s="279">
        <f t="shared" si="1"/>
        <v>0</v>
      </c>
      <c r="V68" s="51" t="s">
        <v>10</v>
      </c>
      <c r="X68" s="517"/>
    </row>
    <row r="69" spans="1:24" ht="15.75" x14ac:dyDescent="0.25">
      <c r="A69" s="207" t="s">
        <v>226</v>
      </c>
      <c r="B69" s="268">
        <v>0</v>
      </c>
      <c r="C69" s="268">
        <v>0</v>
      </c>
      <c r="D69" s="268">
        <v>0</v>
      </c>
      <c r="E69" s="268">
        <v>0</v>
      </c>
      <c r="F69" s="268">
        <v>0</v>
      </c>
      <c r="G69" s="268">
        <v>0</v>
      </c>
      <c r="H69" s="268">
        <v>0</v>
      </c>
      <c r="I69" s="268">
        <v>0</v>
      </c>
      <c r="J69" s="268">
        <f>-37.0980000000001+-7.27595761418343E-15+-6.00000203121454E-07+-0.07402</f>
        <v>-37.172020600000309</v>
      </c>
      <c r="K69" s="268">
        <v>0</v>
      </c>
      <c r="L69" s="268">
        <v>0</v>
      </c>
      <c r="M69" s="268">
        <v>0</v>
      </c>
      <c r="N69" s="281">
        <v>0</v>
      </c>
      <c r="O69" s="281">
        <v>0</v>
      </c>
      <c r="P69" s="281">
        <v>0</v>
      </c>
      <c r="Q69" s="281">
        <f>6.00000203121398E-08+81.72903+3.335+-1.202</f>
        <v>83.862030060000009</v>
      </c>
      <c r="R69" s="281">
        <f>37.098+0.07402</f>
        <v>37.172019999999996</v>
      </c>
      <c r="S69" s="281">
        <v>0</v>
      </c>
      <c r="T69" s="268">
        <v>0</v>
      </c>
      <c r="U69" s="335">
        <f t="shared" si="1"/>
        <v>83.86202945999969</v>
      </c>
      <c r="V69" s="51" t="s">
        <v>10</v>
      </c>
      <c r="X69" s="518"/>
    </row>
    <row r="70" spans="1:24" ht="15" x14ac:dyDescent="0.25">
      <c r="A70" s="13" t="s">
        <v>98</v>
      </c>
      <c r="B70" s="219">
        <f>SUM(B9:B69)</f>
        <v>0</v>
      </c>
      <c r="C70" s="219">
        <f>SUM(C9:C69)</f>
        <v>0</v>
      </c>
      <c r="D70" s="343">
        <f>D9+D10+D11+D13+D14+D15+D21+D22+D24+D25+D29+D30+D31+D33+D34+D35+D36+D37+D38+D39+D40+D41+D42+D43+D44+D45+D47+D48+D49+D50</f>
        <v>1116774.3294317198</v>
      </c>
      <c r="E70" s="219">
        <f>SUM(E9:E69)</f>
        <v>0</v>
      </c>
      <c r="F70" s="219">
        <f>SUM(F9:F69)</f>
        <v>0</v>
      </c>
      <c r="G70" s="219">
        <f>SUM(G9:G11,G13:G15,G21:G25,G29:G31,G33:G45,G47:G69)</f>
        <v>0</v>
      </c>
      <c r="H70" s="219">
        <f>SUM(H9:H69)</f>
        <v>0</v>
      </c>
      <c r="I70" s="219">
        <f>SUM(I9:I69)</f>
        <v>0</v>
      </c>
      <c r="J70" s="219">
        <f>SUM(J9:J69)</f>
        <v>-34330.828479229109</v>
      </c>
      <c r="K70" s="219">
        <f>SUM(K9:K69)</f>
        <v>0</v>
      </c>
      <c r="L70" s="219">
        <f>SUM(L9:L11,L13:L15,L21:L25,L29:L31,L33:L45,L47:L69)</f>
        <v>0</v>
      </c>
      <c r="M70" s="219">
        <f>SUM(M9:M11,M13:M15,M21:M25,M29:M31,M33:M45,M47:M69)</f>
        <v>-56306</v>
      </c>
      <c r="N70" s="219">
        <f t="shared" ref="N70:T70" si="2">SUM(N9:N69)</f>
        <v>0</v>
      </c>
      <c r="O70" s="219">
        <f t="shared" si="2"/>
        <v>0</v>
      </c>
      <c r="P70" s="219">
        <f>SUM(P9:P69)</f>
        <v>-22078.268730073742</v>
      </c>
      <c r="Q70" s="219">
        <f>SUM(Q9:Q69)</f>
        <v>26755.454443160012</v>
      </c>
      <c r="R70" s="219">
        <f t="shared" si="2"/>
        <v>61932.377549999997</v>
      </c>
      <c r="S70" s="219">
        <f t="shared" si="2"/>
        <v>0</v>
      </c>
      <c r="T70" s="219">
        <f t="shared" si="2"/>
        <v>0</v>
      </c>
      <c r="U70" s="219">
        <f>SUM(U9:U69)</f>
        <v>1092747.0642155774</v>
      </c>
      <c r="V70" s="51" t="s">
        <v>10</v>
      </c>
      <c r="X70" s="519"/>
    </row>
    <row r="71" spans="1:24" ht="15" x14ac:dyDescent="0.25">
      <c r="A71" s="210" t="s">
        <v>13</v>
      </c>
      <c r="B71" s="209"/>
      <c r="C71" s="209">
        <v>0</v>
      </c>
      <c r="D71" s="209"/>
      <c r="E71" s="209"/>
      <c r="F71" s="209">
        <v>0</v>
      </c>
      <c r="G71" s="209"/>
      <c r="H71" s="209"/>
      <c r="I71" s="209">
        <v>0</v>
      </c>
      <c r="J71" s="342"/>
      <c r="K71" s="209"/>
      <c r="L71" s="209">
        <v>0</v>
      </c>
      <c r="M71" s="209"/>
      <c r="N71" s="209"/>
      <c r="O71" s="209">
        <v>0</v>
      </c>
      <c r="P71" s="209"/>
      <c r="Q71" s="209"/>
      <c r="R71" s="209"/>
      <c r="S71" s="209"/>
      <c r="T71" s="209">
        <f>C71+O71+I71</f>
        <v>0</v>
      </c>
      <c r="U71" s="208"/>
      <c r="V71" s="51" t="s">
        <v>10</v>
      </c>
      <c r="X71" s="341"/>
    </row>
    <row r="72" spans="1:24" ht="15" x14ac:dyDescent="0.25">
      <c r="A72" s="207" t="s">
        <v>316</v>
      </c>
      <c r="B72" s="154"/>
      <c r="C72" s="154">
        <f>C70+C71</f>
        <v>0</v>
      </c>
      <c r="D72" s="154"/>
      <c r="E72" s="154"/>
      <c r="F72" s="154">
        <f>F70+F71</f>
        <v>0</v>
      </c>
      <c r="G72" s="154"/>
      <c r="H72" s="154"/>
      <c r="I72" s="154">
        <f>I70+I71</f>
        <v>0</v>
      </c>
      <c r="J72" s="209"/>
      <c r="K72" s="154"/>
      <c r="L72" s="154">
        <f>L70+L71</f>
        <v>0</v>
      </c>
      <c r="M72" s="154"/>
      <c r="N72" s="154"/>
      <c r="O72" s="154">
        <f>O70+O71</f>
        <v>0</v>
      </c>
      <c r="P72" s="154"/>
      <c r="Q72" s="154"/>
      <c r="R72" s="154"/>
      <c r="S72" s="154"/>
      <c r="T72" s="209">
        <f>T70+T71</f>
        <v>0</v>
      </c>
      <c r="U72" s="151"/>
      <c r="V72" s="51" t="s">
        <v>10</v>
      </c>
      <c r="X72" s="240"/>
    </row>
    <row r="73" spans="1:24" x14ac:dyDescent="0.2">
      <c r="A73" s="207"/>
      <c r="B73" s="154"/>
      <c r="C73" s="154"/>
      <c r="D73" s="154"/>
      <c r="E73" s="154"/>
      <c r="F73" s="154"/>
      <c r="G73" s="154"/>
      <c r="H73" s="154"/>
      <c r="I73" s="154"/>
      <c r="J73" s="154"/>
      <c r="K73" s="154"/>
      <c r="L73" s="154"/>
      <c r="M73" s="154"/>
      <c r="N73" s="154"/>
      <c r="O73" s="154"/>
      <c r="P73" s="154"/>
      <c r="Q73" s="154"/>
      <c r="R73" s="154"/>
      <c r="S73" s="154"/>
      <c r="T73" s="154"/>
      <c r="U73" s="151"/>
      <c r="V73" s="51" t="s">
        <v>10</v>
      </c>
    </row>
    <row r="74" spans="1:24" x14ac:dyDescent="0.2">
      <c r="A74" s="207" t="s">
        <v>14</v>
      </c>
      <c r="B74" s="154"/>
      <c r="C74" s="154"/>
      <c r="D74" s="154"/>
      <c r="E74" s="154"/>
      <c r="F74" s="154"/>
      <c r="G74" s="154"/>
      <c r="H74" s="154"/>
      <c r="I74" s="154"/>
      <c r="J74" s="154"/>
      <c r="K74" s="154"/>
      <c r="L74" s="154"/>
      <c r="M74" s="154"/>
      <c r="N74" s="154"/>
      <c r="O74" s="154"/>
      <c r="P74" s="154"/>
      <c r="Q74" s="154"/>
      <c r="R74" s="154"/>
      <c r="S74" s="154"/>
      <c r="T74" s="154"/>
      <c r="U74" s="151"/>
      <c r="V74" s="51" t="s">
        <v>10</v>
      </c>
    </row>
    <row r="75" spans="1:24" x14ac:dyDescent="0.2">
      <c r="A75" s="206" t="s">
        <v>15</v>
      </c>
      <c r="B75" s="154"/>
      <c r="C75" s="154">
        <v>0</v>
      </c>
      <c r="D75" s="154"/>
      <c r="E75" s="154"/>
      <c r="F75" s="154">
        <v>0</v>
      </c>
      <c r="G75" s="154"/>
      <c r="H75" s="154"/>
      <c r="I75" s="154">
        <v>0</v>
      </c>
      <c r="J75" s="154"/>
      <c r="K75" s="154"/>
      <c r="L75" s="154">
        <v>0</v>
      </c>
      <c r="M75" s="154"/>
      <c r="N75" s="154"/>
      <c r="O75" s="154">
        <v>0</v>
      </c>
      <c r="P75" s="154"/>
      <c r="Q75" s="154"/>
      <c r="R75" s="154"/>
      <c r="S75" s="154"/>
      <c r="T75" s="154">
        <f>C75+O75+I75</f>
        <v>0</v>
      </c>
      <c r="U75" s="151"/>
      <c r="V75" s="51" t="s">
        <v>10</v>
      </c>
      <c r="X75" s="340"/>
    </row>
    <row r="76" spans="1:24" x14ac:dyDescent="0.2">
      <c r="A76" s="205" t="s">
        <v>16</v>
      </c>
      <c r="B76" s="204"/>
      <c r="C76" s="204">
        <v>0</v>
      </c>
      <c r="D76" s="204"/>
      <c r="E76" s="204"/>
      <c r="F76" s="204">
        <v>0</v>
      </c>
      <c r="G76" s="204"/>
      <c r="H76" s="204"/>
      <c r="I76" s="204">
        <v>0</v>
      </c>
      <c r="J76" s="204"/>
      <c r="K76" s="204"/>
      <c r="L76" s="204">
        <v>0</v>
      </c>
      <c r="M76" s="204"/>
      <c r="N76" s="204"/>
      <c r="O76" s="204">
        <v>0</v>
      </c>
      <c r="P76" s="204"/>
      <c r="Q76" s="204"/>
      <c r="R76" s="204"/>
      <c r="S76" s="204"/>
      <c r="T76" s="154">
        <f>C76+O76+I75</f>
        <v>0</v>
      </c>
      <c r="U76" s="203"/>
      <c r="V76" s="51" t="s">
        <v>10</v>
      </c>
    </row>
    <row r="77" spans="1:24" ht="15" thickBot="1" x14ac:dyDescent="0.25">
      <c r="A77" s="202" t="s">
        <v>100</v>
      </c>
      <c r="B77" s="201"/>
      <c r="C77" s="201">
        <f>C72+C75+C76</f>
        <v>0</v>
      </c>
      <c r="D77" s="201"/>
      <c r="E77" s="201"/>
      <c r="F77" s="201">
        <f>F72+F75+F76</f>
        <v>0</v>
      </c>
      <c r="G77" s="201"/>
      <c r="H77" s="201"/>
      <c r="I77" s="201">
        <f>I72+I75+I76</f>
        <v>0</v>
      </c>
      <c r="J77" s="201"/>
      <c r="K77" s="201"/>
      <c r="L77" s="201">
        <f>L72+L75+L76</f>
        <v>0</v>
      </c>
      <c r="M77" s="201"/>
      <c r="N77" s="201"/>
      <c r="O77" s="201">
        <f>O72+O75+O76</f>
        <v>0</v>
      </c>
      <c r="P77" s="201"/>
      <c r="Q77" s="201"/>
      <c r="R77" s="201"/>
      <c r="S77" s="201"/>
      <c r="T77" s="201">
        <f>SUM(T72,T75:T76)</f>
        <v>0</v>
      </c>
      <c r="U77" s="200"/>
      <c r="V77" s="51" t="s">
        <v>10</v>
      </c>
    </row>
    <row r="78" spans="1:24" ht="15" x14ac:dyDescent="0.25">
      <c r="A78" s="442" t="s">
        <v>138</v>
      </c>
      <c r="B78" s="277"/>
      <c r="C78" s="277"/>
      <c r="D78" s="277"/>
      <c r="E78" s="277"/>
      <c r="F78" s="277"/>
      <c r="G78" s="277"/>
      <c r="H78" s="277"/>
      <c r="I78" s="277"/>
      <c r="J78" s="277"/>
      <c r="K78" s="277"/>
      <c r="L78" s="277"/>
      <c r="M78" s="277"/>
      <c r="N78" s="277"/>
      <c r="O78" s="277"/>
      <c r="P78" s="277"/>
      <c r="Q78" s="277"/>
      <c r="R78" s="277"/>
      <c r="S78" s="277"/>
      <c r="T78" s="277"/>
      <c r="U78" s="277"/>
      <c r="V78" s="51" t="s">
        <v>10</v>
      </c>
    </row>
    <row r="79" spans="1:24" x14ac:dyDescent="0.2">
      <c r="A79" s="614" t="s">
        <v>140</v>
      </c>
      <c r="B79" s="614"/>
      <c r="C79" s="614"/>
      <c r="D79" s="614"/>
      <c r="E79" s="614"/>
      <c r="F79" s="614"/>
      <c r="G79" s="614"/>
      <c r="H79" s="614"/>
      <c r="I79" s="614"/>
      <c r="J79" s="614"/>
      <c r="K79" s="614"/>
      <c r="L79" s="614"/>
      <c r="M79" s="614"/>
      <c r="N79" s="614"/>
      <c r="O79" s="614"/>
      <c r="P79" s="614"/>
      <c r="Q79" s="614"/>
      <c r="R79" s="614"/>
      <c r="S79" s="614"/>
      <c r="T79" s="614"/>
      <c r="U79" s="614"/>
      <c r="V79" s="51" t="s">
        <v>10</v>
      </c>
    </row>
    <row r="80" spans="1:24" x14ac:dyDescent="0.2">
      <c r="R80" s="326"/>
      <c r="U80" s="326"/>
      <c r="V80" s="51" t="s">
        <v>10</v>
      </c>
    </row>
    <row r="81" spans="1:22" ht="15" x14ac:dyDescent="0.25">
      <c r="A81" s="5" t="s">
        <v>27</v>
      </c>
      <c r="V81" s="51" t="s">
        <v>10</v>
      </c>
    </row>
    <row r="82" spans="1:22" x14ac:dyDescent="0.2">
      <c r="A82" s="616" t="s">
        <v>508</v>
      </c>
      <c r="B82" s="616"/>
      <c r="C82" s="616"/>
      <c r="D82" s="616"/>
      <c r="E82" s="616"/>
      <c r="F82" s="616"/>
      <c r="G82" s="616"/>
      <c r="H82" s="616"/>
      <c r="I82" s="616"/>
      <c r="J82" s="616"/>
      <c r="K82" s="616"/>
      <c r="L82" s="616"/>
      <c r="M82" s="616"/>
      <c r="N82" s="616"/>
      <c r="O82" s="616"/>
      <c r="P82" s="616"/>
      <c r="Q82" s="616"/>
      <c r="R82" s="616"/>
      <c r="S82" s="616"/>
      <c r="T82" s="616"/>
      <c r="U82" s="616"/>
      <c r="V82" s="51" t="s">
        <v>10</v>
      </c>
    </row>
    <row r="83" spans="1:22" x14ac:dyDescent="0.2">
      <c r="A83" s="635"/>
      <c r="B83" s="635"/>
      <c r="C83" s="635"/>
      <c r="D83" s="635"/>
      <c r="E83" s="635"/>
      <c r="F83" s="635"/>
      <c r="G83" s="635"/>
      <c r="H83" s="635"/>
      <c r="I83" s="635"/>
      <c r="J83" s="635"/>
      <c r="K83" s="635"/>
      <c r="L83" s="635"/>
      <c r="M83" s="635"/>
      <c r="N83" s="635"/>
      <c r="O83" s="635"/>
      <c r="P83" s="635"/>
      <c r="Q83" s="635"/>
      <c r="R83" s="635"/>
      <c r="S83" s="635"/>
      <c r="T83" s="635"/>
      <c r="U83" s="635"/>
      <c r="V83" s="51" t="s">
        <v>10</v>
      </c>
    </row>
    <row r="84" spans="1:22" ht="15" x14ac:dyDescent="0.25">
      <c r="A84" s="5" t="s">
        <v>113</v>
      </c>
      <c r="U84" s="326"/>
      <c r="V84" s="51" t="s">
        <v>10</v>
      </c>
    </row>
    <row r="85" spans="1:22" x14ac:dyDescent="0.2">
      <c r="A85" s="616" t="s">
        <v>505</v>
      </c>
      <c r="B85" s="616"/>
      <c r="C85" s="616"/>
      <c r="D85" s="616"/>
      <c r="E85" s="616"/>
      <c r="F85" s="616"/>
      <c r="G85" s="616"/>
      <c r="H85" s="616"/>
      <c r="I85" s="616"/>
      <c r="J85" s="616"/>
      <c r="K85" s="616"/>
      <c r="L85" s="616"/>
      <c r="M85" s="616"/>
      <c r="N85" s="616"/>
      <c r="O85" s="616"/>
      <c r="P85" s="616"/>
      <c r="Q85" s="616"/>
      <c r="R85" s="616"/>
      <c r="S85" s="616"/>
      <c r="T85" s="616"/>
      <c r="U85" s="616"/>
      <c r="V85" s="51" t="s">
        <v>10</v>
      </c>
    </row>
    <row r="86" spans="1:22" x14ac:dyDescent="0.2">
      <c r="A86" s="635"/>
      <c r="B86" s="635"/>
      <c r="C86" s="635"/>
      <c r="D86" s="635"/>
      <c r="E86" s="635"/>
      <c r="F86" s="635"/>
      <c r="G86" s="635"/>
      <c r="H86" s="635"/>
      <c r="I86" s="635"/>
      <c r="J86" s="635"/>
      <c r="K86" s="635"/>
      <c r="L86" s="635"/>
      <c r="M86" s="635"/>
      <c r="N86" s="635"/>
      <c r="O86" s="635"/>
      <c r="P86" s="635"/>
      <c r="Q86" s="635"/>
      <c r="R86" s="635"/>
      <c r="S86" s="635"/>
      <c r="T86" s="635"/>
      <c r="U86" s="635"/>
      <c r="V86" s="51" t="s">
        <v>10</v>
      </c>
    </row>
    <row r="87" spans="1:22" ht="15" x14ac:dyDescent="0.25">
      <c r="A87" s="5" t="s">
        <v>114</v>
      </c>
      <c r="V87" s="51" t="s">
        <v>10</v>
      </c>
    </row>
    <row r="88" spans="1:22" x14ac:dyDescent="0.2">
      <c r="A88" s="616" t="s">
        <v>526</v>
      </c>
      <c r="B88" s="616"/>
      <c r="C88" s="616"/>
      <c r="D88" s="616"/>
      <c r="E88" s="616"/>
      <c r="F88" s="616"/>
      <c r="G88" s="616"/>
      <c r="H88" s="616"/>
      <c r="I88" s="616"/>
      <c r="J88" s="616"/>
      <c r="K88" s="616"/>
      <c r="L88" s="616"/>
      <c r="M88" s="616"/>
      <c r="N88" s="616"/>
      <c r="O88" s="616"/>
      <c r="P88" s="616"/>
      <c r="Q88" s="616"/>
      <c r="R88" s="616"/>
      <c r="S88" s="616"/>
      <c r="T88" s="616"/>
      <c r="U88" s="616"/>
      <c r="V88" s="51" t="s">
        <v>10</v>
      </c>
    </row>
    <row r="89" spans="1:22" x14ac:dyDescent="0.2">
      <c r="A89" s="635"/>
      <c r="B89" s="635"/>
      <c r="C89" s="635"/>
      <c r="D89" s="635"/>
      <c r="E89" s="635"/>
      <c r="F89" s="635"/>
      <c r="G89" s="635"/>
      <c r="H89" s="635"/>
      <c r="I89" s="635"/>
      <c r="J89" s="635"/>
      <c r="K89" s="635"/>
      <c r="L89" s="635"/>
      <c r="M89" s="635"/>
      <c r="N89" s="635"/>
      <c r="O89" s="635"/>
      <c r="P89" s="635"/>
      <c r="Q89" s="635"/>
      <c r="R89" s="635"/>
      <c r="S89" s="635"/>
      <c r="T89" s="635"/>
      <c r="U89" s="635"/>
      <c r="V89" s="51" t="s">
        <v>10</v>
      </c>
    </row>
    <row r="90" spans="1:22" x14ac:dyDescent="0.2">
      <c r="V90" s="51" t="s">
        <v>10</v>
      </c>
    </row>
    <row r="91" spans="1:22" x14ac:dyDescent="0.2">
      <c r="V91" s="4" t="s">
        <v>11</v>
      </c>
    </row>
  </sheetData>
  <customSheetViews>
    <customSheetView guid="{EE916FE7-61FB-4021-ADDD-E082241FC03C}" showPageBreaks="1" printArea="1" view="pageBreakPreview">
      <pane xSplit="1" ySplit="8" topLeftCell="K60" activePane="bottomRight" state="frozen"/>
      <selection pane="bottomRight" activeCell="R83" sqref="R83"/>
      <pageMargins left="0.7" right="0.7" top="0.64" bottom="0.61" header="0.3" footer="0.3"/>
      <printOptions horizontalCentered="1"/>
      <pageSetup scale="45" orientation="landscape" r:id="rId1"/>
      <headerFooter>
        <oddHeader>&amp;L&amp;"Arial,Bold"&amp;12F. Crosswalk of 2013 Availability</oddHeader>
        <oddFooter>&amp;C&amp;"Arial,Regular"Exhibit F - Crosswalk of 2013 Availability&amp;RState and Local Law Enforcement Assistance</oddFooter>
      </headerFooter>
    </customSheetView>
    <customSheetView guid="{0BB5DC4B-BC2A-4489-BE17-5E267FA1EF63}" showPageBreaks="1" printArea="1" hiddenColumns="1" view="pageBreakPreview" topLeftCell="A28">
      <selection activeCell="D14" sqref="D14"/>
      <pageMargins left="0.7" right="0.7" top="0.64" bottom="0.61" header="0.3" footer="0.3"/>
      <printOptions horizontalCentered="1"/>
      <pageSetup scale="45" orientation="landscape" r:id="rId2"/>
      <headerFooter>
        <oddHeader>&amp;L&amp;"Arial,Bold"&amp;12F. Crosswalk of 2013 Availability</oddHeader>
        <oddFooter>&amp;C&amp;"Arial,Regular"Exhibit F - Crosswalk of 2013 Availability&amp;RState and Local Law Enforcement Assistance</oddFooter>
      </headerFooter>
    </customSheetView>
    <customSheetView guid="{6C58FFE1-D756-42C4-A1BC-AA7F1DC1E56F}" scale="90" showPageBreaks="1" printArea="1" view="pageBreakPreview" topLeftCell="B14">
      <selection activeCell="H28" sqref="H28"/>
      <pageMargins left="0.7" right="0.7" top="0.64" bottom="0.61" header="0.3" footer="0.3"/>
      <printOptions horizontalCentered="1"/>
      <pageSetup scale="45" orientation="landscape" r:id="rId3"/>
      <headerFooter>
        <oddHeader>&amp;L&amp;"Arial,Bold"&amp;12F. Crosswalk of 2013 Availability</oddHeader>
        <oddFooter>&amp;C&amp;"Arial,Regular"Exhibit F - Crosswalk of 2013 Availability&amp;RState and Local Law Enforcement Assistance</oddFooter>
      </headerFooter>
    </customSheetView>
    <customSheetView guid="{CFA5D1C9-F4C9-4B8D-923D-4C71CB6E7D3B}" showPageBreaks="1" printArea="1" view="pageBreakPreview" topLeftCell="A16">
      <selection activeCell="E31" sqref="E31"/>
      <pageMargins left="0.7" right="0.7" top="0.64" bottom="0.61" header="0.3" footer="0.3"/>
      <printOptions horizontalCentered="1"/>
      <pageSetup scale="45" orientation="landscape" r:id="rId4"/>
      <headerFooter>
        <oddHeader>&amp;L&amp;"Arial,Bold"&amp;12F. Crosswalk of 2013 Availability</oddHeader>
        <oddFooter>&amp;C&amp;"Arial,Regular"Exhibit F - Crosswalk of 2013 Availability&amp;RState and Local Law Enforcement Assistance</oddFooter>
      </headerFooter>
    </customSheetView>
    <customSheetView guid="{A788DF77-74F1-49E4-8B34-BFBDB7664F30}" scale="80" showPageBreaks="1" printArea="1" view="pageBreakPreview" topLeftCell="A42">
      <selection activeCell="K74" sqref="K74"/>
      <rowBreaks count="1" manualBreakCount="1">
        <brk id="44" max="20" man="1"/>
      </rowBreaks>
      <pageMargins left="0.7" right="0.7" top="0.64" bottom="0.61" header="0.3" footer="0.3"/>
      <printOptions horizontalCentered="1"/>
      <pageSetup scale="45" orientation="landscape" r:id="rId5"/>
      <headerFooter>
        <oddHeader>&amp;L&amp;"Arial,Bold"&amp;12F. Crosswalk of 2013 Availability</oddHeader>
        <oddFooter>&amp;C&amp;"Arial,Regular"Exhibit F - Crosswalk of 2013 Availability&amp;RState and Local Law Enforcement Assistance</oddFooter>
      </headerFooter>
    </customSheetView>
  </customSheetViews>
  <mergeCells count="18">
    <mergeCell ref="A79:U79"/>
    <mergeCell ref="A89:U89"/>
    <mergeCell ref="A82:U82"/>
    <mergeCell ref="A83:U83"/>
    <mergeCell ref="A85:U85"/>
    <mergeCell ref="A86:U86"/>
    <mergeCell ref="A88:U88"/>
    <mergeCell ref="A1:U1"/>
    <mergeCell ref="A2:U2"/>
    <mergeCell ref="A3:U3"/>
    <mergeCell ref="A4:U4"/>
    <mergeCell ref="H7:J7"/>
    <mergeCell ref="K7:M7"/>
    <mergeCell ref="E7:G7"/>
    <mergeCell ref="A7:A8"/>
    <mergeCell ref="B7:D7"/>
    <mergeCell ref="N7:P7"/>
    <mergeCell ref="S7:U7"/>
  </mergeCells>
  <printOptions horizontalCentered="1"/>
  <pageMargins left="0.7" right="0.7" top="0.64" bottom="0.61" header="0.3" footer="0.3"/>
  <pageSetup scale="52" fitToHeight="2" orientation="landscape" r:id="rId6"/>
  <headerFooter>
    <oddHeader>&amp;L&amp;"Arial,Bold"&amp;12F. Crosswalk of 2013 Availability</oddHeader>
    <oddFooter>&amp;C&amp;"Arial,Regular"Exhibit F - Crosswalk of 2013 Availability&amp;RState and Local Law Enforcement Assistance</oddFooter>
  </headerFooter>
  <rowBreaks count="1" manualBreakCount="1">
    <brk id="54" max="20"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5"/>
  <sheetViews>
    <sheetView view="pageBreakPreview" topLeftCell="A7" zoomScale="90" zoomScaleNormal="100" zoomScaleSheetLayoutView="90" workbookViewId="0">
      <selection activeCell="A49" sqref="A49:L49"/>
    </sheetView>
  </sheetViews>
  <sheetFormatPr defaultRowHeight="14.25" x14ac:dyDescent="0.2"/>
  <cols>
    <col min="1" max="1" width="81.7109375" style="143" customWidth="1"/>
    <col min="2" max="3" width="8.28515625" style="143" customWidth="1"/>
    <col min="4" max="4" width="12.7109375" style="143" customWidth="1"/>
    <col min="5" max="5" width="15" style="143" customWidth="1"/>
    <col min="6" max="6" width="8.28515625" style="143" customWidth="1"/>
    <col min="7" max="7" width="9.85546875" style="143" customWidth="1"/>
    <col min="8" max="8" width="12.7109375" style="143" customWidth="1"/>
    <col min="9" max="9" width="14.140625" style="143" customWidth="1"/>
    <col min="10" max="10" width="12.7109375" style="143" customWidth="1"/>
    <col min="11" max="11" width="8.28515625" style="143" customWidth="1"/>
    <col min="12" max="12" width="11.7109375" style="143" customWidth="1"/>
    <col min="13" max="13" width="12.7109375" style="143" customWidth="1"/>
    <col min="14" max="14" width="14" style="4" bestFit="1" customWidth="1"/>
    <col min="15" max="15" width="4.5703125" style="143" customWidth="1"/>
    <col min="16" max="16" width="116.7109375" style="143" customWidth="1"/>
    <col min="17" max="18" width="8.28515625" style="143" customWidth="1"/>
    <col min="19" max="19" width="12.7109375" style="143" customWidth="1"/>
    <col min="20" max="21" width="8.28515625" style="143" customWidth="1"/>
    <col min="22" max="22" width="12.7109375" style="143" customWidth="1"/>
    <col min="23" max="16384" width="9.140625" style="143"/>
  </cols>
  <sheetData>
    <row r="1" spans="1:22" ht="18" x14ac:dyDescent="0.25">
      <c r="A1" s="577" t="s">
        <v>134</v>
      </c>
      <c r="B1" s="648"/>
      <c r="C1" s="648"/>
      <c r="D1" s="648"/>
      <c r="E1" s="648"/>
      <c r="F1" s="648"/>
      <c r="G1" s="648"/>
      <c r="H1" s="648"/>
      <c r="I1" s="648"/>
      <c r="J1" s="648"/>
      <c r="K1" s="648"/>
      <c r="L1" s="648"/>
      <c r="M1" s="51" t="s">
        <v>10</v>
      </c>
      <c r="O1" s="6"/>
      <c r="P1" s="199"/>
      <c r="Q1" s="6"/>
      <c r="R1" s="6"/>
      <c r="S1" s="6"/>
      <c r="T1" s="6"/>
      <c r="U1" s="6"/>
      <c r="V1" s="6"/>
    </row>
    <row r="2" spans="1:22" ht="15.75" x14ac:dyDescent="0.25">
      <c r="A2" s="578" t="s">
        <v>152</v>
      </c>
      <c r="B2" s="648"/>
      <c r="C2" s="648"/>
      <c r="D2" s="648"/>
      <c r="E2" s="648"/>
      <c r="F2" s="648"/>
      <c r="G2" s="648"/>
      <c r="H2" s="648"/>
      <c r="I2" s="648"/>
      <c r="J2" s="648"/>
      <c r="K2" s="648"/>
      <c r="L2" s="648"/>
      <c r="M2" s="51" t="s">
        <v>10</v>
      </c>
      <c r="O2" s="7"/>
      <c r="P2" s="198"/>
      <c r="Q2" s="7"/>
      <c r="R2" s="7"/>
      <c r="S2" s="7"/>
      <c r="T2" s="7"/>
      <c r="U2" s="7"/>
      <c r="V2" s="7"/>
    </row>
    <row r="3" spans="1:22" ht="15" x14ac:dyDescent="0.25">
      <c r="A3" s="579" t="s">
        <v>282</v>
      </c>
      <c r="B3" s="648"/>
      <c r="C3" s="648"/>
      <c r="D3" s="648"/>
      <c r="E3" s="648"/>
      <c r="F3" s="648"/>
      <c r="G3" s="648"/>
      <c r="H3" s="648"/>
      <c r="I3" s="648"/>
      <c r="J3" s="648"/>
      <c r="K3" s="648"/>
      <c r="L3" s="648"/>
      <c r="M3" s="51" t="s">
        <v>10</v>
      </c>
      <c r="O3" s="163"/>
      <c r="P3" s="198"/>
      <c r="Q3" s="163"/>
      <c r="R3" s="163"/>
      <c r="S3" s="163"/>
      <c r="T3" s="163"/>
      <c r="U3" s="163"/>
      <c r="V3" s="163"/>
    </row>
    <row r="4" spans="1:22" ht="15" x14ac:dyDescent="0.25">
      <c r="A4" s="608" t="s">
        <v>1</v>
      </c>
      <c r="B4" s="648"/>
      <c r="C4" s="648"/>
      <c r="D4" s="648"/>
      <c r="E4" s="648"/>
      <c r="F4" s="648"/>
      <c r="G4" s="648"/>
      <c r="H4" s="648"/>
      <c r="I4" s="648"/>
      <c r="J4" s="648"/>
      <c r="K4" s="648"/>
      <c r="L4" s="648"/>
      <c r="M4" s="51" t="s">
        <v>10</v>
      </c>
      <c r="O4" s="162"/>
      <c r="P4" s="198"/>
      <c r="Q4" s="162"/>
      <c r="R4" s="162"/>
      <c r="S4" s="162"/>
      <c r="T4" s="162"/>
      <c r="U4" s="162"/>
      <c r="V4" s="162"/>
    </row>
    <row r="5" spans="1:22" ht="15" thickBot="1" x14ac:dyDescent="0.25">
      <c r="A5" s="287"/>
      <c r="B5" s="287"/>
      <c r="C5" s="287"/>
      <c r="D5" s="287"/>
      <c r="E5" s="287"/>
      <c r="F5" s="287"/>
      <c r="G5" s="287"/>
      <c r="H5" s="287"/>
      <c r="I5" s="287"/>
      <c r="J5" s="287"/>
      <c r="K5" s="287"/>
      <c r="L5" s="287"/>
      <c r="M5" s="51" t="s">
        <v>10</v>
      </c>
      <c r="N5" s="143"/>
      <c r="O5" s="162"/>
      <c r="P5" s="276"/>
      <c r="Q5" s="162"/>
      <c r="R5" s="162"/>
      <c r="S5" s="162"/>
      <c r="T5" s="162"/>
      <c r="U5" s="162"/>
      <c r="V5" s="162"/>
    </row>
    <row r="6" spans="1:22" ht="47.25" customHeight="1" x14ac:dyDescent="0.25">
      <c r="A6" s="585" t="s">
        <v>101</v>
      </c>
      <c r="B6" s="588" t="s">
        <v>150</v>
      </c>
      <c r="C6" s="588"/>
      <c r="D6" s="588"/>
      <c r="E6" s="588" t="s">
        <v>27</v>
      </c>
      <c r="F6" s="588"/>
      <c r="G6" s="588"/>
      <c r="H6" s="180" t="s">
        <v>28</v>
      </c>
      <c r="I6" s="180" t="s">
        <v>104</v>
      </c>
      <c r="J6" s="588" t="s">
        <v>135</v>
      </c>
      <c r="K6" s="588"/>
      <c r="L6" s="589"/>
      <c r="M6" s="51" t="s">
        <v>10</v>
      </c>
      <c r="N6" s="143"/>
      <c r="O6" s="5"/>
      <c r="P6" s="247"/>
    </row>
    <row r="7" spans="1:22" ht="28.5" x14ac:dyDescent="0.25">
      <c r="A7" s="586"/>
      <c r="B7" s="235" t="s">
        <v>2</v>
      </c>
      <c r="C7" s="235" t="s">
        <v>96</v>
      </c>
      <c r="D7" s="235" t="s">
        <v>3</v>
      </c>
      <c r="E7" s="235" t="s">
        <v>2</v>
      </c>
      <c r="F7" s="235" t="s">
        <v>96</v>
      </c>
      <c r="G7" s="235" t="s">
        <v>3</v>
      </c>
      <c r="H7" s="235" t="s">
        <v>3</v>
      </c>
      <c r="I7" s="235" t="s">
        <v>3</v>
      </c>
      <c r="J7" s="235" t="s">
        <v>2</v>
      </c>
      <c r="K7" s="235" t="s">
        <v>96</v>
      </c>
      <c r="L7" s="234" t="s">
        <v>3</v>
      </c>
      <c r="M7" s="51" t="s">
        <v>10</v>
      </c>
      <c r="N7" s="143"/>
      <c r="O7" s="5"/>
      <c r="P7" s="247"/>
    </row>
    <row r="8" spans="1:22" x14ac:dyDescent="0.2">
      <c r="A8" s="207" t="s">
        <v>315</v>
      </c>
      <c r="B8" s="216">
        <v>0</v>
      </c>
      <c r="C8" s="216">
        <v>0</v>
      </c>
      <c r="D8" s="216">
        <f>'B. Summ of Req. by DU - S&amp;L'!G9</f>
        <v>20000</v>
      </c>
      <c r="E8" s="216">
        <v>0</v>
      </c>
      <c r="F8" s="216">
        <v>0</v>
      </c>
      <c r="G8" s="216">
        <v>0</v>
      </c>
      <c r="H8" s="216">
        <v>113.452264240777</v>
      </c>
      <c r="I8" s="216">
        <v>34.852179999999997</v>
      </c>
      <c r="J8" s="216">
        <v>0</v>
      </c>
      <c r="K8" s="216">
        <v>0</v>
      </c>
      <c r="L8" s="215">
        <f t="shared" ref="L8:L34" si="0">D8+G8+H8+I8</f>
        <v>20148.304444240777</v>
      </c>
      <c r="M8" s="51" t="s">
        <v>10</v>
      </c>
      <c r="N8" s="143"/>
      <c r="O8" s="284"/>
    </row>
    <row r="9" spans="1:22" x14ac:dyDescent="0.2">
      <c r="A9" s="207" t="s">
        <v>311</v>
      </c>
      <c r="B9" s="268">
        <v>0</v>
      </c>
      <c r="C9" s="268">
        <v>0</v>
      </c>
      <c r="D9" s="268">
        <f>'B. Summ of Req. by DU - S&amp;L'!G11</f>
        <v>22500</v>
      </c>
      <c r="E9" s="268">
        <v>0</v>
      </c>
      <c r="F9" s="268">
        <v>0</v>
      </c>
      <c r="G9" s="268">
        <v>0</v>
      </c>
      <c r="H9" s="268">
        <v>10475.3095968917</v>
      </c>
      <c r="I9" s="268">
        <v>0</v>
      </c>
      <c r="J9" s="268">
        <v>0</v>
      </c>
      <c r="K9" s="268">
        <v>0</v>
      </c>
      <c r="L9" s="279">
        <f t="shared" si="0"/>
        <v>32975.309596891704</v>
      </c>
      <c r="M9" s="51" t="s">
        <v>10</v>
      </c>
      <c r="N9" s="143"/>
      <c r="O9" s="284"/>
    </row>
    <row r="10" spans="1:22" x14ac:dyDescent="0.2">
      <c r="A10" s="210" t="s">
        <v>364</v>
      </c>
      <c r="B10" s="285">
        <v>0</v>
      </c>
      <c r="C10" s="285">
        <v>0</v>
      </c>
      <c r="D10" s="440" t="s">
        <v>503</v>
      </c>
      <c r="E10" s="268">
        <v>0</v>
      </c>
      <c r="F10" s="268">
        <v>0</v>
      </c>
      <c r="G10" s="440">
        <v>0</v>
      </c>
      <c r="H10" s="268">
        <v>0</v>
      </c>
      <c r="I10" s="268">
        <v>0</v>
      </c>
      <c r="J10" s="285">
        <v>0</v>
      </c>
      <c r="K10" s="285">
        <v>0</v>
      </c>
      <c r="L10" s="223" t="s">
        <v>503</v>
      </c>
      <c r="M10" s="51" t="s">
        <v>10</v>
      </c>
      <c r="N10" s="143"/>
      <c r="O10" s="284"/>
    </row>
    <row r="11" spans="1:22" x14ac:dyDescent="0.2">
      <c r="A11" s="207" t="s">
        <v>279</v>
      </c>
      <c r="B11" s="268">
        <v>0</v>
      </c>
      <c r="C11" s="268">
        <v>0</v>
      </c>
      <c r="D11" s="268">
        <f>'B. Summ of Req. by DU - S&amp;L'!G13</f>
        <v>13500</v>
      </c>
      <c r="E11" s="268">
        <v>0</v>
      </c>
      <c r="F11" s="268">
        <v>0</v>
      </c>
      <c r="G11" s="268">
        <v>0</v>
      </c>
      <c r="H11" s="268">
        <v>4.6058017648011402</v>
      </c>
      <c r="I11" s="268">
        <f>75.28706+910.42474+572.52251+10.6779</f>
        <v>1568.91221</v>
      </c>
      <c r="J11" s="268">
        <v>0</v>
      </c>
      <c r="K11" s="268">
        <v>0</v>
      </c>
      <c r="L11" s="279">
        <f t="shared" si="0"/>
        <v>15073.518011764801</v>
      </c>
      <c r="M11" s="51" t="s">
        <v>10</v>
      </c>
      <c r="N11" s="143"/>
      <c r="O11" s="284"/>
    </row>
    <row r="12" spans="1:22" x14ac:dyDescent="0.2">
      <c r="A12" s="207" t="s">
        <v>278</v>
      </c>
      <c r="B12" s="268">
        <v>0</v>
      </c>
      <c r="C12" s="268">
        <v>0</v>
      </c>
      <c r="D12" s="268">
        <f>'B. Summ of Req. by DU - S&amp;L'!G14</f>
        <v>10500</v>
      </c>
      <c r="E12" s="268">
        <v>0</v>
      </c>
      <c r="F12" s="268">
        <v>0</v>
      </c>
      <c r="G12" s="268">
        <v>0</v>
      </c>
      <c r="H12" s="268">
        <v>-3.1833052635192899E-6</v>
      </c>
      <c r="I12" s="268">
        <v>0</v>
      </c>
      <c r="J12" s="268">
        <v>0</v>
      </c>
      <c r="K12" s="268">
        <v>0</v>
      </c>
      <c r="L12" s="279">
        <f t="shared" si="0"/>
        <v>10499.999996816694</v>
      </c>
      <c r="M12" s="51" t="s">
        <v>10</v>
      </c>
      <c r="N12" s="143"/>
      <c r="O12" s="284"/>
    </row>
    <row r="13" spans="1:22" x14ac:dyDescent="0.2">
      <c r="A13" s="292" t="s">
        <v>363</v>
      </c>
      <c r="B13" s="268">
        <v>0</v>
      </c>
      <c r="C13" s="268">
        <v>0</v>
      </c>
      <c r="D13" s="268">
        <f>'B. Summ of Req. by DU - S&amp;L'!G15</f>
        <v>376000</v>
      </c>
      <c r="E13" s="268">
        <v>0</v>
      </c>
      <c r="F13" s="268">
        <v>0</v>
      </c>
      <c r="G13" s="268">
        <v>0</v>
      </c>
      <c r="H13" s="268">
        <f>-2.49201548285782E-13+270.62557+754.685026540296+14.164+59</f>
        <v>1098.4745965402958</v>
      </c>
      <c r="I13" s="268">
        <v>0</v>
      </c>
      <c r="J13" s="268">
        <v>0</v>
      </c>
      <c r="K13" s="268">
        <v>0</v>
      </c>
      <c r="L13" s="279">
        <f t="shared" si="0"/>
        <v>377098.47459654027</v>
      </c>
      <c r="M13" s="51" t="s">
        <v>10</v>
      </c>
      <c r="N13" s="143"/>
      <c r="O13" s="284"/>
    </row>
    <row r="14" spans="1:22" x14ac:dyDescent="0.2">
      <c r="A14" s="207" t="s">
        <v>362</v>
      </c>
      <c r="B14" s="268">
        <v>0</v>
      </c>
      <c r="C14" s="268">
        <v>0</v>
      </c>
      <c r="D14" s="440" t="s">
        <v>490</v>
      </c>
      <c r="E14" s="268">
        <v>0</v>
      </c>
      <c r="F14" s="268">
        <v>0</v>
      </c>
      <c r="G14" s="440">
        <v>0</v>
      </c>
      <c r="H14" s="268">
        <v>5.5369103397242701E-4</v>
      </c>
      <c r="I14" s="268">
        <v>0</v>
      </c>
      <c r="J14" s="268">
        <v>0</v>
      </c>
      <c r="K14" s="268">
        <v>0</v>
      </c>
      <c r="L14" s="223" t="s">
        <v>490</v>
      </c>
      <c r="M14" s="51" t="s">
        <v>10</v>
      </c>
      <c r="N14" s="143"/>
      <c r="O14" s="284"/>
    </row>
    <row r="15" spans="1:22" x14ac:dyDescent="0.2">
      <c r="A15" s="207" t="s">
        <v>361</v>
      </c>
      <c r="B15" s="268">
        <v>0</v>
      </c>
      <c r="C15" s="268">
        <v>0</v>
      </c>
      <c r="D15" s="440" t="s">
        <v>487</v>
      </c>
      <c r="E15" s="268">
        <v>0</v>
      </c>
      <c r="F15" s="268">
        <v>0</v>
      </c>
      <c r="G15" s="440">
        <v>0</v>
      </c>
      <c r="H15" s="268">
        <v>271.48900753700798</v>
      </c>
      <c r="I15" s="268">
        <v>0</v>
      </c>
      <c r="J15" s="268">
        <v>0</v>
      </c>
      <c r="K15" s="268">
        <v>0</v>
      </c>
      <c r="L15" s="223" t="s">
        <v>626</v>
      </c>
      <c r="M15" s="51" t="s">
        <v>10</v>
      </c>
      <c r="N15" s="143"/>
      <c r="O15" s="284"/>
    </row>
    <row r="16" spans="1:22" x14ac:dyDescent="0.2">
      <c r="A16" s="292" t="s">
        <v>360</v>
      </c>
      <c r="B16" s="285">
        <v>0</v>
      </c>
      <c r="C16" s="285">
        <v>0</v>
      </c>
      <c r="D16" s="440" t="s">
        <v>480</v>
      </c>
      <c r="E16" s="268">
        <v>0</v>
      </c>
      <c r="F16" s="268">
        <v>0</v>
      </c>
      <c r="G16" s="440">
        <v>0</v>
      </c>
      <c r="H16" s="268">
        <v>-2.3283064365386999E-13</v>
      </c>
      <c r="I16" s="268">
        <v>0</v>
      </c>
      <c r="J16" s="285">
        <v>0</v>
      </c>
      <c r="K16" s="285">
        <v>0</v>
      </c>
      <c r="L16" s="223" t="s">
        <v>480</v>
      </c>
      <c r="M16" s="51" t="s">
        <v>10</v>
      </c>
      <c r="N16" s="143"/>
      <c r="O16" s="284"/>
    </row>
    <row r="17" spans="1:15" x14ac:dyDescent="0.2">
      <c r="A17" s="207" t="s">
        <v>359</v>
      </c>
      <c r="B17" s="268">
        <v>0</v>
      </c>
      <c r="C17" s="268">
        <v>0</v>
      </c>
      <c r="D17" s="440" t="s">
        <v>490</v>
      </c>
      <c r="E17" s="268">
        <v>0</v>
      </c>
      <c r="F17" s="268">
        <v>0</v>
      </c>
      <c r="G17" s="440">
        <v>0</v>
      </c>
      <c r="H17" s="268">
        <v>859.51432500309897</v>
      </c>
      <c r="I17" s="268">
        <v>0</v>
      </c>
      <c r="J17" s="268">
        <v>0</v>
      </c>
      <c r="K17" s="268">
        <v>0</v>
      </c>
      <c r="L17" s="223" t="s">
        <v>483</v>
      </c>
      <c r="M17" s="51" t="s">
        <v>10</v>
      </c>
      <c r="N17" s="143"/>
      <c r="O17" s="284"/>
    </row>
    <row r="18" spans="1:15" x14ac:dyDescent="0.2">
      <c r="A18" s="207" t="s">
        <v>358</v>
      </c>
      <c r="B18" s="268">
        <v>0</v>
      </c>
      <c r="C18" s="268">
        <v>0</v>
      </c>
      <c r="D18" s="440" t="s">
        <v>491</v>
      </c>
      <c r="E18" s="268">
        <v>0</v>
      </c>
      <c r="F18" s="268">
        <v>0</v>
      </c>
      <c r="G18" s="440">
        <v>0</v>
      </c>
      <c r="H18" s="268">
        <v>99.994513253873194</v>
      </c>
      <c r="I18" s="268">
        <v>0</v>
      </c>
      <c r="J18" s="268">
        <v>0</v>
      </c>
      <c r="K18" s="268">
        <v>0</v>
      </c>
      <c r="L18" s="223" t="s">
        <v>625</v>
      </c>
      <c r="M18" s="51" t="s">
        <v>10</v>
      </c>
      <c r="N18" s="143"/>
      <c r="O18" s="284"/>
    </row>
    <row r="19" spans="1:15" x14ac:dyDescent="0.2">
      <c r="A19" s="292" t="s">
        <v>357</v>
      </c>
      <c r="B19" s="268">
        <v>0</v>
      </c>
      <c r="C19" s="268">
        <v>0</v>
      </c>
      <c r="D19" s="440" t="s">
        <v>488</v>
      </c>
      <c r="E19" s="268">
        <v>0</v>
      </c>
      <c r="F19" s="268">
        <v>0</v>
      </c>
      <c r="G19" s="440">
        <v>0</v>
      </c>
      <c r="H19" s="268">
        <v>0</v>
      </c>
      <c r="I19" s="268">
        <v>0</v>
      </c>
      <c r="J19" s="268">
        <v>0</v>
      </c>
      <c r="K19" s="268">
        <v>0</v>
      </c>
      <c r="L19" s="223" t="s">
        <v>488</v>
      </c>
      <c r="M19" s="51" t="s">
        <v>10</v>
      </c>
      <c r="N19" s="143"/>
      <c r="O19" s="284"/>
    </row>
    <row r="20" spans="1:15" x14ac:dyDescent="0.2">
      <c r="A20" s="207" t="s">
        <v>356</v>
      </c>
      <c r="B20" s="268">
        <v>0</v>
      </c>
      <c r="C20" s="268">
        <v>0</v>
      </c>
      <c r="D20" s="440" t="s">
        <v>489</v>
      </c>
      <c r="E20" s="268">
        <v>0</v>
      </c>
      <c r="F20" s="268">
        <v>0</v>
      </c>
      <c r="G20" s="440">
        <v>0</v>
      </c>
      <c r="H20" s="268">
        <v>0</v>
      </c>
      <c r="I20" s="268">
        <v>0</v>
      </c>
      <c r="J20" s="268">
        <v>0</v>
      </c>
      <c r="K20" s="268">
        <v>0</v>
      </c>
      <c r="L20" s="223" t="s">
        <v>489</v>
      </c>
      <c r="M20" s="51" t="s">
        <v>10</v>
      </c>
      <c r="N20" s="143"/>
      <c r="O20" s="284"/>
    </row>
    <row r="21" spans="1:15" x14ac:dyDescent="0.2">
      <c r="A21" s="207" t="s">
        <v>355</v>
      </c>
      <c r="B21" s="268">
        <v>0</v>
      </c>
      <c r="C21" s="268">
        <v>0</v>
      </c>
      <c r="D21" s="440" t="s">
        <v>489</v>
      </c>
      <c r="E21" s="268">
        <v>0</v>
      </c>
      <c r="F21" s="268">
        <v>0</v>
      </c>
      <c r="G21" s="440">
        <v>0</v>
      </c>
      <c r="H21" s="268">
        <v>0</v>
      </c>
      <c r="I21" s="268">
        <v>0</v>
      </c>
      <c r="J21" s="268">
        <v>0</v>
      </c>
      <c r="K21" s="268">
        <v>0</v>
      </c>
      <c r="L21" s="223" t="s">
        <v>489</v>
      </c>
      <c r="M21" s="51" t="s">
        <v>10</v>
      </c>
      <c r="N21" s="143"/>
      <c r="O21" s="284"/>
    </row>
    <row r="22" spans="1:15" x14ac:dyDescent="0.2">
      <c r="A22" s="292" t="s">
        <v>353</v>
      </c>
      <c r="B22" s="268">
        <v>0</v>
      </c>
      <c r="C22" s="268">
        <v>0</v>
      </c>
      <c r="D22" s="268">
        <f>'B. Summ of Req. by DU - S&amp;L'!G26</f>
        <v>2000</v>
      </c>
      <c r="E22" s="268">
        <v>0</v>
      </c>
      <c r="F22" s="268">
        <v>0</v>
      </c>
      <c r="G22" s="268">
        <v>0</v>
      </c>
      <c r="H22" s="268">
        <v>7.5893963081762105E-4</v>
      </c>
      <c r="I22" s="268">
        <v>0</v>
      </c>
      <c r="J22" s="268">
        <v>0</v>
      </c>
      <c r="K22" s="268">
        <v>0</v>
      </c>
      <c r="L22" s="279">
        <f t="shared" si="0"/>
        <v>2000.0007589396307</v>
      </c>
      <c r="M22" s="51" t="s">
        <v>10</v>
      </c>
      <c r="N22" s="143"/>
      <c r="O22" s="284"/>
    </row>
    <row r="23" spans="1:15" x14ac:dyDescent="0.2">
      <c r="A23" s="207" t="s">
        <v>303</v>
      </c>
      <c r="B23" s="268">
        <v>0</v>
      </c>
      <c r="C23" s="268">
        <v>0</v>
      </c>
      <c r="D23" s="268">
        <f>'B. Summ of Req. by DU - S&amp;L'!G27</f>
        <v>2000</v>
      </c>
      <c r="E23" s="268">
        <v>0</v>
      </c>
      <c r="F23" s="268">
        <v>0</v>
      </c>
      <c r="G23" s="268">
        <v>0</v>
      </c>
      <c r="H23" s="268">
        <v>3.3007541828555998E-4</v>
      </c>
      <c r="I23" s="268">
        <v>142.31143</v>
      </c>
      <c r="J23" s="268">
        <v>0</v>
      </c>
      <c r="K23" s="268">
        <v>0</v>
      </c>
      <c r="L23" s="279">
        <f t="shared" si="0"/>
        <v>2142.3117600754185</v>
      </c>
      <c r="M23" s="51" t="s">
        <v>10</v>
      </c>
      <c r="N23" s="143"/>
      <c r="O23" s="284"/>
    </row>
    <row r="24" spans="1:15" x14ac:dyDescent="0.2">
      <c r="A24" s="328" t="s">
        <v>370</v>
      </c>
      <c r="B24" s="285">
        <v>0</v>
      </c>
      <c r="C24" s="285">
        <v>0</v>
      </c>
      <c r="D24" s="440" t="s">
        <v>480</v>
      </c>
      <c r="E24" s="268">
        <v>0</v>
      </c>
      <c r="F24" s="268">
        <v>0</v>
      </c>
      <c r="G24" s="440">
        <v>0</v>
      </c>
      <c r="H24" s="268">
        <v>0</v>
      </c>
      <c r="I24" s="268">
        <v>1.6570499999999999</v>
      </c>
      <c r="J24" s="285">
        <v>0</v>
      </c>
      <c r="K24" s="285">
        <v>0</v>
      </c>
      <c r="L24" s="223" t="s">
        <v>606</v>
      </c>
      <c r="M24" s="51" t="s">
        <v>10</v>
      </c>
      <c r="N24" s="143"/>
      <c r="O24" s="284"/>
    </row>
    <row r="25" spans="1:15" x14ac:dyDescent="0.2">
      <c r="A25" s="210" t="s">
        <v>302</v>
      </c>
      <c r="B25" s="268">
        <v>0</v>
      </c>
      <c r="C25" s="268">
        <v>0</v>
      </c>
      <c r="D25" s="268">
        <f>'B. Summ of Req. by DU - S&amp;L'!G30</f>
        <v>75000</v>
      </c>
      <c r="E25" s="268">
        <v>0</v>
      </c>
      <c r="F25" s="268">
        <v>0</v>
      </c>
      <c r="G25" s="268">
        <v>0</v>
      </c>
      <c r="H25" s="268">
        <v>0</v>
      </c>
      <c r="I25" s="268">
        <v>0</v>
      </c>
      <c r="J25" s="268">
        <v>0</v>
      </c>
      <c r="K25" s="268">
        <v>0</v>
      </c>
      <c r="L25" s="279">
        <f t="shared" si="0"/>
        <v>75000</v>
      </c>
      <c r="M25" s="51" t="s">
        <v>10</v>
      </c>
      <c r="N25" s="143"/>
      <c r="O25" s="284"/>
    </row>
    <row r="26" spans="1:15" x14ac:dyDescent="0.2">
      <c r="A26" s="330" t="s">
        <v>301</v>
      </c>
      <c r="B26" s="268">
        <v>0</v>
      </c>
      <c r="C26" s="268">
        <v>0</v>
      </c>
      <c r="D26" s="440" t="s">
        <v>622</v>
      </c>
      <c r="E26" s="268">
        <v>0</v>
      </c>
      <c r="F26" s="268">
        <v>0</v>
      </c>
      <c r="G26" s="440">
        <v>0</v>
      </c>
      <c r="H26" s="268">
        <v>0</v>
      </c>
      <c r="I26" s="268">
        <v>0</v>
      </c>
      <c r="J26" s="268">
        <v>0</v>
      </c>
      <c r="K26" s="268">
        <v>0</v>
      </c>
      <c r="L26" s="223" t="s">
        <v>622</v>
      </c>
      <c r="M26" s="51" t="s">
        <v>10</v>
      </c>
      <c r="N26" s="143"/>
      <c r="O26" s="284"/>
    </row>
    <row r="27" spans="1:15" x14ac:dyDescent="0.2">
      <c r="A27" s="330" t="s">
        <v>300</v>
      </c>
      <c r="B27" s="268">
        <v>0</v>
      </c>
      <c r="C27" s="268">
        <v>0</v>
      </c>
      <c r="D27" s="440" t="s">
        <v>623</v>
      </c>
      <c r="E27" s="268">
        <v>0</v>
      </c>
      <c r="F27" s="268">
        <v>0</v>
      </c>
      <c r="G27" s="440">
        <v>0</v>
      </c>
      <c r="H27" s="268">
        <v>0</v>
      </c>
      <c r="I27" s="268">
        <v>0</v>
      </c>
      <c r="J27" s="268">
        <v>0</v>
      </c>
      <c r="K27" s="268">
        <v>0</v>
      </c>
      <c r="L27" s="223" t="s">
        <v>623</v>
      </c>
      <c r="M27" s="51" t="s">
        <v>10</v>
      </c>
      <c r="N27" s="143"/>
      <c r="O27" s="284"/>
    </row>
    <row r="28" spans="1:15" x14ac:dyDescent="0.2">
      <c r="A28" s="207" t="s">
        <v>351</v>
      </c>
      <c r="B28" s="268">
        <v>0</v>
      </c>
      <c r="C28" s="268">
        <v>0</v>
      </c>
      <c r="D28" s="268">
        <f>'B. Summ of Req. by DU - S&amp;L'!G31</f>
        <v>6000</v>
      </c>
      <c r="E28" s="268">
        <v>0</v>
      </c>
      <c r="F28" s="268">
        <v>0</v>
      </c>
      <c r="G28" s="268">
        <v>0</v>
      </c>
      <c r="H28" s="268">
        <v>6.6107309609651495E-4</v>
      </c>
      <c r="I28" s="268">
        <v>0</v>
      </c>
      <c r="J28" s="268">
        <v>0</v>
      </c>
      <c r="K28" s="268">
        <v>0</v>
      </c>
      <c r="L28" s="279">
        <f t="shared" si="0"/>
        <v>6000.0006610730961</v>
      </c>
      <c r="M28" s="51" t="s">
        <v>10</v>
      </c>
      <c r="N28" s="143"/>
      <c r="O28" s="284"/>
    </row>
    <row r="29" spans="1:15" x14ac:dyDescent="0.2">
      <c r="A29" s="207" t="s">
        <v>267</v>
      </c>
      <c r="B29" s="268">
        <v>0</v>
      </c>
      <c r="C29" s="268">
        <v>0</v>
      </c>
      <c r="D29" s="268">
        <f>'B. Summ of Req. by DU - S&amp;L'!G32</f>
        <v>125000</v>
      </c>
      <c r="E29" s="268">
        <v>0</v>
      </c>
      <c r="F29" s="268">
        <v>0</v>
      </c>
      <c r="G29" s="268">
        <v>0</v>
      </c>
      <c r="H29" s="268">
        <v>969.34436930857498</v>
      </c>
      <c r="I29" s="268">
        <v>987.56978000000004</v>
      </c>
      <c r="J29" s="268">
        <v>0</v>
      </c>
      <c r="K29" s="268">
        <v>0</v>
      </c>
      <c r="L29" s="279">
        <f t="shared" si="0"/>
        <v>126956.91414930858</v>
      </c>
      <c r="M29" s="51" t="s">
        <v>10</v>
      </c>
      <c r="N29" s="143"/>
      <c r="O29" s="284"/>
    </row>
    <row r="30" spans="1:15" x14ac:dyDescent="0.2">
      <c r="A30" s="292" t="s">
        <v>350</v>
      </c>
      <c r="B30" s="268">
        <v>0</v>
      </c>
      <c r="C30" s="268">
        <v>0</v>
      </c>
      <c r="D30" s="440" t="s">
        <v>492</v>
      </c>
      <c r="E30" s="268">
        <v>0</v>
      </c>
      <c r="F30" s="268">
        <v>0</v>
      </c>
      <c r="G30" s="440">
        <v>0</v>
      </c>
      <c r="H30" s="268">
        <v>0</v>
      </c>
      <c r="I30" s="268">
        <v>0</v>
      </c>
      <c r="J30" s="268">
        <v>0</v>
      </c>
      <c r="K30" s="268">
        <v>0</v>
      </c>
      <c r="L30" s="223" t="s">
        <v>492</v>
      </c>
      <c r="M30" s="51" t="s">
        <v>10</v>
      </c>
      <c r="N30" s="143"/>
      <c r="O30" s="284"/>
    </row>
    <row r="31" spans="1:15" x14ac:dyDescent="0.2">
      <c r="A31" s="207" t="s">
        <v>349</v>
      </c>
      <c r="B31" s="268">
        <v>0</v>
      </c>
      <c r="C31" s="268">
        <v>0</v>
      </c>
      <c r="D31" s="440" t="s">
        <v>487</v>
      </c>
      <c r="E31" s="268">
        <v>0</v>
      </c>
      <c r="F31" s="268">
        <v>0</v>
      </c>
      <c r="G31" s="440">
        <v>0</v>
      </c>
      <c r="H31" s="268">
        <v>8.0561078481548396</v>
      </c>
      <c r="I31" s="268">
        <v>0</v>
      </c>
      <c r="J31" s="268">
        <v>0</v>
      </c>
      <c r="K31" s="268">
        <v>0</v>
      </c>
      <c r="L31" s="223" t="s">
        <v>624</v>
      </c>
      <c r="M31" s="51" t="s">
        <v>10</v>
      </c>
      <c r="N31" s="143"/>
      <c r="O31" s="284"/>
    </row>
    <row r="32" spans="1:15" x14ac:dyDescent="0.2">
      <c r="A32" s="207" t="s">
        <v>348</v>
      </c>
      <c r="B32" s="268">
        <v>0</v>
      </c>
      <c r="C32" s="268">
        <v>0</v>
      </c>
      <c r="D32" s="440" t="s">
        <v>487</v>
      </c>
      <c r="E32" s="268">
        <v>0</v>
      </c>
      <c r="F32" s="268">
        <v>0</v>
      </c>
      <c r="G32" s="440">
        <v>0</v>
      </c>
      <c r="H32" s="268">
        <v>0.26510738206421902</v>
      </c>
      <c r="I32" s="268">
        <v>0</v>
      </c>
      <c r="J32" s="268">
        <v>0</v>
      </c>
      <c r="K32" s="268">
        <v>0</v>
      </c>
      <c r="L32" s="223" t="s">
        <v>487</v>
      </c>
      <c r="M32" s="51" t="s">
        <v>10</v>
      </c>
      <c r="N32" s="143"/>
      <c r="O32" s="284"/>
    </row>
    <row r="33" spans="1:15" x14ac:dyDescent="0.2">
      <c r="A33" s="207" t="s">
        <v>277</v>
      </c>
      <c r="B33" s="268">
        <v>0</v>
      </c>
      <c r="C33" s="268">
        <v>0</v>
      </c>
      <c r="D33" s="268">
        <f>'B. Summ of Req. by DU - S&amp;L'!G37</f>
        <v>8000</v>
      </c>
      <c r="E33" s="268">
        <v>0</v>
      </c>
      <c r="F33" s="268">
        <v>0</v>
      </c>
      <c r="G33" s="268">
        <v>0</v>
      </c>
      <c r="H33" s="268">
        <v>0.51739899527653999</v>
      </c>
      <c r="I33" s="268">
        <v>0</v>
      </c>
      <c r="J33" s="268">
        <v>0</v>
      </c>
      <c r="K33" s="268">
        <v>0</v>
      </c>
      <c r="L33" s="279">
        <f t="shared" si="0"/>
        <v>8000.5173989952764</v>
      </c>
      <c r="M33" s="51" t="s">
        <v>10</v>
      </c>
      <c r="N33" s="143"/>
      <c r="O33" s="284"/>
    </row>
    <row r="34" spans="1:15" x14ac:dyDescent="0.2">
      <c r="A34" s="207" t="s">
        <v>347</v>
      </c>
      <c r="B34" s="268">
        <v>0</v>
      </c>
      <c r="C34" s="268">
        <v>0</v>
      </c>
      <c r="D34" s="268">
        <f>'B. Summ of Req. by DU - S&amp;L'!G38</f>
        <v>40500</v>
      </c>
      <c r="E34" s="268">
        <v>0</v>
      </c>
      <c r="F34" s="268">
        <v>0</v>
      </c>
      <c r="G34" s="268">
        <v>0</v>
      </c>
      <c r="H34" s="268">
        <v>50.0182207543291</v>
      </c>
      <c r="I34" s="268">
        <v>592.94010000000003</v>
      </c>
      <c r="J34" s="268">
        <v>0</v>
      </c>
      <c r="K34" s="268">
        <v>0</v>
      </c>
      <c r="L34" s="279">
        <f t="shared" si="0"/>
        <v>41142.958320754326</v>
      </c>
      <c r="M34" s="51" t="s">
        <v>10</v>
      </c>
      <c r="N34" s="143"/>
      <c r="O34" s="284"/>
    </row>
    <row r="35" spans="1:15" x14ac:dyDescent="0.2">
      <c r="A35" s="207" t="s">
        <v>346</v>
      </c>
      <c r="B35" s="268">
        <v>0</v>
      </c>
      <c r="C35" s="268">
        <v>0</v>
      </c>
      <c r="D35" s="268">
        <f>'B. Summ of Req. by DU - S&amp;L'!G39</f>
        <v>10000</v>
      </c>
      <c r="E35" s="268">
        <v>0</v>
      </c>
      <c r="F35" s="268">
        <v>0</v>
      </c>
      <c r="G35" s="268">
        <v>0</v>
      </c>
      <c r="H35" s="268">
        <v>-4.0745362639427201E-13</v>
      </c>
      <c r="I35" s="268">
        <v>6.6513400000000003</v>
      </c>
      <c r="J35" s="268">
        <v>0</v>
      </c>
      <c r="K35" s="268">
        <v>0</v>
      </c>
      <c r="L35" s="279">
        <f t="shared" ref="L35:L61" si="1">D35+G35+H35+I35</f>
        <v>10006.65134</v>
      </c>
      <c r="M35" s="51" t="s">
        <v>10</v>
      </c>
      <c r="N35" s="143"/>
      <c r="O35" s="284"/>
    </row>
    <row r="36" spans="1:15" x14ac:dyDescent="0.2">
      <c r="A36" s="207" t="s">
        <v>292</v>
      </c>
      <c r="B36" s="268">
        <v>0</v>
      </c>
      <c r="C36" s="268">
        <v>0</v>
      </c>
      <c r="D36" s="268">
        <f>'B. Summ of Req. by DU - S&amp;L'!G41</f>
        <v>0</v>
      </c>
      <c r="E36" s="268">
        <v>0</v>
      </c>
      <c r="F36" s="268">
        <v>0</v>
      </c>
      <c r="G36" s="268">
        <v>0</v>
      </c>
      <c r="H36" s="268">
        <v>1011.44896884488</v>
      </c>
      <c r="I36" s="268">
        <v>0</v>
      </c>
      <c r="J36" s="268">
        <v>0</v>
      </c>
      <c r="K36" s="268">
        <v>0</v>
      </c>
      <c r="L36" s="279">
        <f t="shared" si="1"/>
        <v>1011.44896884488</v>
      </c>
      <c r="M36" s="51" t="s">
        <v>10</v>
      </c>
      <c r="N36" s="143"/>
      <c r="O36" s="284"/>
    </row>
    <row r="37" spans="1:15" x14ac:dyDescent="0.2">
      <c r="A37" s="207" t="s">
        <v>265</v>
      </c>
      <c r="B37" s="268">
        <v>0</v>
      </c>
      <c r="C37" s="268">
        <v>0</v>
      </c>
      <c r="D37" s="268">
        <f>'B. Summ of Req. by DU - S&amp;L'!G42</f>
        <v>30000</v>
      </c>
      <c r="E37" s="268">
        <v>0</v>
      </c>
      <c r="F37" s="268">
        <v>0</v>
      </c>
      <c r="G37" s="268">
        <v>0</v>
      </c>
      <c r="H37" s="268">
        <f>1.18322564947046+0.0320621839622035+7.50099564947048+13.6733275465313</f>
        <v>22.389611029434445</v>
      </c>
      <c r="I37" s="268">
        <f>6.63884+0.79742+89.09649</f>
        <v>96.532750000000007</v>
      </c>
      <c r="J37" s="268">
        <v>0</v>
      </c>
      <c r="K37" s="268">
        <v>0</v>
      </c>
      <c r="L37" s="279">
        <f t="shared" si="1"/>
        <v>30118.922361029432</v>
      </c>
      <c r="M37" s="51" t="s">
        <v>10</v>
      </c>
      <c r="N37" s="143"/>
      <c r="O37" s="284"/>
    </row>
    <row r="38" spans="1:15" x14ac:dyDescent="0.2">
      <c r="A38" s="207" t="s">
        <v>264</v>
      </c>
      <c r="B38" s="268">
        <v>0</v>
      </c>
      <c r="C38" s="268">
        <v>0</v>
      </c>
      <c r="D38" s="268">
        <f>'B. Summ of Req. by DU - S&amp;L'!G44</f>
        <v>2000</v>
      </c>
      <c r="E38" s="268">
        <v>0</v>
      </c>
      <c r="F38" s="268">
        <v>0</v>
      </c>
      <c r="G38" s="268">
        <v>0</v>
      </c>
      <c r="H38" s="268">
        <v>10.1091075370078</v>
      </c>
      <c r="I38" s="268">
        <v>24.583929999999999</v>
      </c>
      <c r="J38" s="268">
        <v>0</v>
      </c>
      <c r="K38" s="268">
        <v>0</v>
      </c>
      <c r="L38" s="279">
        <f t="shared" si="1"/>
        <v>2034.6930375370077</v>
      </c>
      <c r="M38" s="51" t="s">
        <v>10</v>
      </c>
      <c r="N38" s="143"/>
      <c r="O38" s="284"/>
    </row>
    <row r="39" spans="1:15" x14ac:dyDescent="0.2">
      <c r="A39" s="292" t="s">
        <v>344</v>
      </c>
      <c r="B39" s="268">
        <v>0</v>
      </c>
      <c r="C39" s="268">
        <v>0</v>
      </c>
      <c r="D39" s="268">
        <f>'B. Summ of Req. by DU - S&amp;L'!G45</f>
        <v>27500</v>
      </c>
      <c r="E39" s="268">
        <v>0</v>
      </c>
      <c r="F39" s="268">
        <v>0</v>
      </c>
      <c r="G39" s="268">
        <v>0</v>
      </c>
      <c r="H39" s="268">
        <v>6.6130551230162305E-4</v>
      </c>
      <c r="I39" s="268">
        <v>0</v>
      </c>
      <c r="J39" s="268">
        <v>0</v>
      </c>
      <c r="K39" s="268">
        <v>0</v>
      </c>
      <c r="L39" s="279">
        <f t="shared" si="1"/>
        <v>27500.000661305512</v>
      </c>
      <c r="M39" s="51" t="s">
        <v>10</v>
      </c>
      <c r="N39" s="143"/>
      <c r="O39" s="284"/>
    </row>
    <row r="40" spans="1:15" x14ac:dyDescent="0.2">
      <c r="A40" s="328" t="s">
        <v>291</v>
      </c>
      <c r="B40" s="268">
        <v>0</v>
      </c>
      <c r="C40" s="268">
        <v>0</v>
      </c>
      <c r="D40" s="440" t="s">
        <v>490</v>
      </c>
      <c r="E40" s="268">
        <v>0</v>
      </c>
      <c r="F40" s="268">
        <v>0</v>
      </c>
      <c r="G40" s="440">
        <v>0</v>
      </c>
      <c r="H40" s="268">
        <v>0</v>
      </c>
      <c r="I40" s="268">
        <v>0</v>
      </c>
      <c r="J40" s="268">
        <v>0</v>
      </c>
      <c r="K40" s="268">
        <v>0</v>
      </c>
      <c r="L40" s="223" t="s">
        <v>490</v>
      </c>
      <c r="M40" s="51" t="s">
        <v>10</v>
      </c>
      <c r="N40" s="143"/>
      <c r="O40" s="284"/>
    </row>
    <row r="41" spans="1:15" x14ac:dyDescent="0.2">
      <c r="A41" s="292" t="s">
        <v>343</v>
      </c>
      <c r="B41" s="268">
        <v>0</v>
      </c>
      <c r="C41" s="268">
        <v>0</v>
      </c>
      <c r="D41" s="268">
        <f>'B. Summ of Req. by DU - S&amp;L'!G47</f>
        <v>8250</v>
      </c>
      <c r="E41" s="268">
        <v>0</v>
      </c>
      <c r="F41" s="268">
        <v>0</v>
      </c>
      <c r="G41" s="268">
        <v>0</v>
      </c>
      <c r="H41" s="268">
        <v>7.9145826864987598E-4</v>
      </c>
      <c r="I41" s="268">
        <v>276.09032000000002</v>
      </c>
      <c r="J41" s="268">
        <v>0</v>
      </c>
      <c r="K41" s="268">
        <v>0</v>
      </c>
      <c r="L41" s="279">
        <f t="shared" si="1"/>
        <v>8526.0911114582686</v>
      </c>
      <c r="M41" s="51" t="s">
        <v>10</v>
      </c>
      <c r="N41" s="143"/>
      <c r="O41" s="284"/>
    </row>
    <row r="42" spans="1:15" x14ac:dyDescent="0.2">
      <c r="A42" s="207" t="s">
        <v>262</v>
      </c>
      <c r="B42" s="268">
        <v>0</v>
      </c>
      <c r="C42" s="268">
        <v>0</v>
      </c>
      <c r="D42" s="268">
        <f>'B. Summ of Req. by DU - S&amp;L'!G48</f>
        <v>750</v>
      </c>
      <c r="E42" s="268">
        <v>0</v>
      </c>
      <c r="F42" s="268">
        <v>0</v>
      </c>
      <c r="G42" s="268">
        <v>0</v>
      </c>
      <c r="H42" s="268">
        <v>0.21680684551596599</v>
      </c>
      <c r="I42" s="268">
        <v>0</v>
      </c>
      <c r="J42" s="268">
        <v>0</v>
      </c>
      <c r="K42" s="268">
        <v>0</v>
      </c>
      <c r="L42" s="279">
        <f t="shared" si="1"/>
        <v>750.21680684551598</v>
      </c>
      <c r="M42" s="51" t="s">
        <v>10</v>
      </c>
      <c r="N42" s="143"/>
      <c r="O42" s="284"/>
    </row>
    <row r="43" spans="1:15" x14ac:dyDescent="0.2">
      <c r="A43" s="207" t="s">
        <v>290</v>
      </c>
      <c r="B43" s="268">
        <v>0</v>
      </c>
      <c r="C43" s="268">
        <v>0</v>
      </c>
      <c r="D43" s="268">
        <v>58500</v>
      </c>
      <c r="E43" s="268">
        <v>0</v>
      </c>
      <c r="F43" s="268">
        <v>0</v>
      </c>
      <c r="G43" s="268">
        <v>0</v>
      </c>
      <c r="H43" s="268">
        <v>0</v>
      </c>
      <c r="I43" s="268">
        <v>0</v>
      </c>
      <c r="J43" s="268">
        <v>0</v>
      </c>
      <c r="K43" s="268">
        <v>0</v>
      </c>
      <c r="L43" s="279">
        <f t="shared" si="1"/>
        <v>58500</v>
      </c>
      <c r="M43" s="51" t="s">
        <v>10</v>
      </c>
      <c r="N43" s="143"/>
      <c r="O43" s="284"/>
    </row>
    <row r="44" spans="1:15" x14ac:dyDescent="0.2">
      <c r="A44" s="207" t="s">
        <v>341</v>
      </c>
      <c r="B44" s="268">
        <v>0</v>
      </c>
      <c r="C44" s="268">
        <v>0</v>
      </c>
      <c r="D44" s="268">
        <f>'B. Summ of Req. by DU - S&amp;L'!G52</f>
        <v>1000</v>
      </c>
      <c r="E44" s="268">
        <v>0</v>
      </c>
      <c r="F44" s="268">
        <v>0</v>
      </c>
      <c r="G44" s="268">
        <v>0</v>
      </c>
      <c r="H44" s="268">
        <v>2.1692763842520102</v>
      </c>
      <c r="I44" s="268">
        <v>0</v>
      </c>
      <c r="J44" s="268">
        <v>0</v>
      </c>
      <c r="K44" s="268">
        <v>0</v>
      </c>
      <c r="L44" s="279">
        <f t="shared" si="1"/>
        <v>1002.169276384252</v>
      </c>
      <c r="M44" s="51" t="s">
        <v>10</v>
      </c>
      <c r="N44" s="143"/>
      <c r="O44" s="284"/>
    </row>
    <row r="45" spans="1:15" x14ac:dyDescent="0.2">
      <c r="A45" s="292" t="s">
        <v>260</v>
      </c>
      <c r="B45" s="268">
        <v>0</v>
      </c>
      <c r="C45" s="268">
        <v>0</v>
      </c>
      <c r="D45" s="268">
        <f>'B. Summ of Req. by DU - S&amp;L'!G53</f>
        <v>12000</v>
      </c>
      <c r="E45" s="268">
        <v>0</v>
      </c>
      <c r="F45" s="268">
        <v>0</v>
      </c>
      <c r="G45" s="268">
        <v>0</v>
      </c>
      <c r="H45" s="268">
        <v>170.340514544461</v>
      </c>
      <c r="I45" s="268">
        <v>109.34188</v>
      </c>
      <c r="J45" s="268">
        <v>0</v>
      </c>
      <c r="K45" s="268">
        <v>0</v>
      </c>
      <c r="L45" s="279">
        <f t="shared" si="1"/>
        <v>12279.682394544461</v>
      </c>
      <c r="M45" s="51" t="s">
        <v>10</v>
      </c>
      <c r="N45" s="143"/>
      <c r="O45" s="284"/>
    </row>
    <row r="46" spans="1:15" x14ac:dyDescent="0.2">
      <c r="A46" s="207" t="s">
        <v>288</v>
      </c>
      <c r="B46" s="268">
        <v>0</v>
      </c>
      <c r="C46" s="268">
        <v>0</v>
      </c>
      <c r="D46" s="268">
        <f>'B. Summ of Req. by DU - S&amp;L'!G54</f>
        <v>7000</v>
      </c>
      <c r="E46" s="268">
        <v>0</v>
      </c>
      <c r="F46" s="268">
        <v>0</v>
      </c>
      <c r="G46" s="268">
        <v>0</v>
      </c>
      <c r="H46" s="268">
        <v>216.88176768976399</v>
      </c>
      <c r="I46" s="268">
        <v>34.840699999999998</v>
      </c>
      <c r="J46" s="268">
        <v>0</v>
      </c>
      <c r="K46" s="268">
        <v>0</v>
      </c>
      <c r="L46" s="279">
        <f t="shared" si="1"/>
        <v>7251.722467689764</v>
      </c>
      <c r="M46" s="51" t="s">
        <v>10</v>
      </c>
      <c r="N46" s="143"/>
      <c r="O46" s="284"/>
    </row>
    <row r="47" spans="1:15" x14ac:dyDescent="0.2">
      <c r="A47" s="207" t="s">
        <v>259</v>
      </c>
      <c r="B47" s="268">
        <v>0</v>
      </c>
      <c r="C47" s="268">
        <v>0</v>
      </c>
      <c r="D47" s="268">
        <f>'B. Summ of Req. by DU - S&amp;L'!G55</f>
        <v>12500</v>
      </c>
      <c r="E47" s="268">
        <v>0</v>
      </c>
      <c r="F47" s="268">
        <v>0</v>
      </c>
      <c r="G47" s="268">
        <v>0</v>
      </c>
      <c r="H47" s="354">
        <v>103.10905190314701</v>
      </c>
      <c r="I47" s="268">
        <v>0</v>
      </c>
      <c r="J47" s="268">
        <v>0</v>
      </c>
      <c r="K47" s="268">
        <v>0</v>
      </c>
      <c r="L47" s="279">
        <f t="shared" si="1"/>
        <v>12603.109051903148</v>
      </c>
      <c r="M47" s="51" t="s">
        <v>10</v>
      </c>
      <c r="N47" s="143"/>
      <c r="O47" s="284"/>
    </row>
    <row r="48" spans="1:15" x14ac:dyDescent="0.2">
      <c r="A48" s="353" t="s">
        <v>340</v>
      </c>
      <c r="B48" s="334">
        <v>0</v>
      </c>
      <c r="C48" s="334">
        <v>0</v>
      </c>
      <c r="D48" s="334">
        <f>'B. Summ of Req. by DU - S&amp;L'!G58</f>
        <v>4000</v>
      </c>
      <c r="E48" s="334">
        <v>0</v>
      </c>
      <c r="F48" s="334">
        <v>0</v>
      </c>
      <c r="G48" s="334">
        <v>0</v>
      </c>
      <c r="H48" s="334">
        <v>0</v>
      </c>
      <c r="I48" s="334">
        <v>0</v>
      </c>
      <c r="J48" s="334">
        <v>0</v>
      </c>
      <c r="K48" s="334">
        <v>0</v>
      </c>
      <c r="L48" s="333">
        <f t="shared" si="1"/>
        <v>4000</v>
      </c>
      <c r="M48" s="51" t="s">
        <v>10</v>
      </c>
      <c r="N48" s="143"/>
      <c r="O48" s="284"/>
    </row>
    <row r="49" spans="1:16" ht="15" thickBot="1" x14ac:dyDescent="0.25">
      <c r="A49" s="352" t="s">
        <v>271</v>
      </c>
      <c r="B49" s="351">
        <v>0</v>
      </c>
      <c r="C49" s="351">
        <v>0</v>
      </c>
      <c r="D49" s="351">
        <f>'B. Summ of Req. by DU - S&amp;L'!G59</f>
        <v>10000</v>
      </c>
      <c r="E49" s="351">
        <v>0</v>
      </c>
      <c r="F49" s="351">
        <v>0</v>
      </c>
      <c r="G49" s="351">
        <v>0</v>
      </c>
      <c r="H49" s="351">
        <v>50.003240568948897</v>
      </c>
      <c r="I49" s="351">
        <v>114.03001</v>
      </c>
      <c r="J49" s="351">
        <v>0</v>
      </c>
      <c r="K49" s="351">
        <v>0</v>
      </c>
      <c r="L49" s="350">
        <f t="shared" si="1"/>
        <v>10164.033250568949</v>
      </c>
      <c r="M49" s="51" t="s">
        <v>10</v>
      </c>
      <c r="N49" s="143"/>
      <c r="O49" s="284"/>
    </row>
    <row r="50" spans="1:16" x14ac:dyDescent="0.2">
      <c r="A50" s="210" t="s">
        <v>339</v>
      </c>
      <c r="B50" s="296">
        <v>0</v>
      </c>
      <c r="C50" s="296">
        <v>0</v>
      </c>
      <c r="D50" s="296">
        <f>'B. Summ of Req. by DU - S&amp;L'!G60</f>
        <v>67750</v>
      </c>
      <c r="E50" s="296">
        <v>0</v>
      </c>
      <c r="F50" s="296">
        <v>0</v>
      </c>
      <c r="G50" s="296">
        <v>0</v>
      </c>
      <c r="H50" s="296">
        <f>311.558+159.762310236882+5591.405+0.00759999999776482+0.0045+50.0009699999995</f>
        <v>6112.7383802368786</v>
      </c>
      <c r="I50" s="296">
        <f>141.0588+125.73672+42.51065+37.37462+42.11662+136.32837</f>
        <v>525.12578000000008</v>
      </c>
      <c r="J50" s="296">
        <v>0</v>
      </c>
      <c r="K50" s="296">
        <v>0</v>
      </c>
      <c r="L50" s="329">
        <f t="shared" si="1"/>
        <v>74387.864160236873</v>
      </c>
      <c r="M50" s="51" t="s">
        <v>10</v>
      </c>
      <c r="N50" s="143"/>
      <c r="O50" s="284"/>
    </row>
    <row r="51" spans="1:16" x14ac:dyDescent="0.2">
      <c r="A51" s="207" t="s">
        <v>338</v>
      </c>
      <c r="B51" s="268">
        <v>0</v>
      </c>
      <c r="C51" s="268">
        <v>0</v>
      </c>
      <c r="D51" s="440" t="s">
        <v>493</v>
      </c>
      <c r="E51" s="268">
        <v>0</v>
      </c>
      <c r="F51" s="268">
        <v>0</v>
      </c>
      <c r="G51" s="440">
        <v>0</v>
      </c>
      <c r="H51" s="268">
        <v>0</v>
      </c>
      <c r="I51" s="268">
        <v>0</v>
      </c>
      <c r="J51" s="268">
        <v>0</v>
      </c>
      <c r="K51" s="268">
        <v>0</v>
      </c>
      <c r="L51" s="223" t="s">
        <v>493</v>
      </c>
      <c r="M51" s="51" t="s">
        <v>10</v>
      </c>
      <c r="N51" s="143"/>
      <c r="O51" s="284"/>
    </row>
    <row r="52" spans="1:16" x14ac:dyDescent="0.2">
      <c r="A52" s="207" t="s">
        <v>337</v>
      </c>
      <c r="B52" s="268">
        <v>0</v>
      </c>
      <c r="C52" s="268">
        <v>0</v>
      </c>
      <c r="D52" s="440" t="s">
        <v>489</v>
      </c>
      <c r="E52" s="268">
        <v>0</v>
      </c>
      <c r="F52" s="268">
        <v>0</v>
      </c>
      <c r="G52" s="440">
        <v>0</v>
      </c>
      <c r="H52" s="268">
        <v>0</v>
      </c>
      <c r="I52" s="268">
        <v>0</v>
      </c>
      <c r="J52" s="268">
        <v>0</v>
      </c>
      <c r="K52" s="268">
        <v>0</v>
      </c>
      <c r="L52" s="223" t="s">
        <v>489</v>
      </c>
      <c r="M52" s="51" t="s">
        <v>10</v>
      </c>
      <c r="N52" s="143"/>
      <c r="O52" s="284"/>
    </row>
    <row r="53" spans="1:16" x14ac:dyDescent="0.2">
      <c r="A53" s="207" t="s">
        <v>336</v>
      </c>
      <c r="B53" s="268">
        <v>0</v>
      </c>
      <c r="C53" s="268">
        <v>0</v>
      </c>
      <c r="D53" s="440" t="s">
        <v>488</v>
      </c>
      <c r="E53" s="268">
        <v>0</v>
      </c>
      <c r="F53" s="268">
        <v>0</v>
      </c>
      <c r="G53" s="440">
        <v>0</v>
      </c>
      <c r="H53" s="268">
        <v>0</v>
      </c>
      <c r="I53" s="268">
        <v>0</v>
      </c>
      <c r="J53" s="268">
        <v>0</v>
      </c>
      <c r="K53" s="268">
        <v>0</v>
      </c>
      <c r="L53" s="223" t="s">
        <v>488</v>
      </c>
      <c r="M53" s="51" t="s">
        <v>10</v>
      </c>
      <c r="N53" s="143"/>
      <c r="O53" s="284"/>
    </row>
    <row r="54" spans="1:16" x14ac:dyDescent="0.2">
      <c r="A54" s="346" t="s">
        <v>283</v>
      </c>
      <c r="B54" s="268">
        <v>0</v>
      </c>
      <c r="C54" s="268">
        <v>0</v>
      </c>
      <c r="D54" s="440" t="s">
        <v>494</v>
      </c>
      <c r="E54" s="268">
        <v>0</v>
      </c>
      <c r="F54" s="268">
        <v>0</v>
      </c>
      <c r="G54" s="440">
        <v>0</v>
      </c>
      <c r="H54" s="268">
        <v>300.00038422758001</v>
      </c>
      <c r="I54" s="268">
        <v>0</v>
      </c>
      <c r="J54" s="268">
        <v>0</v>
      </c>
      <c r="K54" s="268">
        <v>0</v>
      </c>
      <c r="L54" s="223" t="s">
        <v>494</v>
      </c>
      <c r="M54" s="51" t="s">
        <v>10</v>
      </c>
      <c r="N54" s="143"/>
      <c r="O54" s="284"/>
    </row>
    <row r="55" spans="1:16" x14ac:dyDescent="0.2">
      <c r="A55" s="207" t="s">
        <v>258</v>
      </c>
      <c r="B55" s="268">
        <v>0</v>
      </c>
      <c r="C55" s="268">
        <v>0</v>
      </c>
      <c r="D55" s="268">
        <f>'B. Summ of Req. by DU - S&amp;L'!G65</f>
        <v>180000</v>
      </c>
      <c r="E55" s="268">
        <v>0</v>
      </c>
      <c r="F55" s="268">
        <v>0</v>
      </c>
      <c r="G55" s="268">
        <v>0</v>
      </c>
      <c r="H55" s="268">
        <v>0.21430194756388601</v>
      </c>
      <c r="I55" s="268">
        <v>0</v>
      </c>
      <c r="J55" s="268">
        <v>0</v>
      </c>
      <c r="K55" s="268">
        <v>0</v>
      </c>
      <c r="L55" s="279">
        <f t="shared" si="1"/>
        <v>180000.21430194756</v>
      </c>
      <c r="M55" s="51" t="s">
        <v>10</v>
      </c>
      <c r="N55" s="143"/>
      <c r="O55" s="284"/>
    </row>
    <row r="56" spans="1:16" x14ac:dyDescent="0.2">
      <c r="A56" s="292" t="s">
        <v>257</v>
      </c>
      <c r="B56" s="268">
        <v>0</v>
      </c>
      <c r="C56" s="268">
        <v>0</v>
      </c>
      <c r="D56" s="268">
        <f>'B. Summ of Req. by DU - S&amp;L'!G66</f>
        <v>4000</v>
      </c>
      <c r="E56" s="268">
        <v>0</v>
      </c>
      <c r="F56" s="268">
        <v>0</v>
      </c>
      <c r="G56" s="268">
        <v>0</v>
      </c>
      <c r="H56" s="268">
        <v>1.0753700789064199E-4</v>
      </c>
      <c r="I56" s="268">
        <v>0</v>
      </c>
      <c r="J56" s="268">
        <v>0</v>
      </c>
      <c r="K56" s="268">
        <v>0</v>
      </c>
      <c r="L56" s="279">
        <f t="shared" si="1"/>
        <v>4000.0001075370078</v>
      </c>
      <c r="M56" s="51" t="s">
        <v>10</v>
      </c>
      <c r="N56" s="143"/>
      <c r="O56" s="284"/>
    </row>
    <row r="57" spans="1:16" x14ac:dyDescent="0.2">
      <c r="A57" s="207" t="s">
        <v>256</v>
      </c>
      <c r="B57" s="268">
        <v>0</v>
      </c>
      <c r="C57" s="268">
        <v>0</v>
      </c>
      <c r="D57" s="268">
        <f>'B. Summ of Req. by DU - S&amp;L'!G67</f>
        <v>14250</v>
      </c>
      <c r="E57" s="268">
        <v>0</v>
      </c>
      <c r="F57" s="268">
        <v>0</v>
      </c>
      <c r="G57" s="268">
        <v>0</v>
      </c>
      <c r="H57" s="268">
        <v>359.90640761252098</v>
      </c>
      <c r="I57" s="268">
        <v>3.3498399999999999</v>
      </c>
      <c r="J57" s="268">
        <v>0</v>
      </c>
      <c r="K57" s="268">
        <v>0</v>
      </c>
      <c r="L57" s="279">
        <f t="shared" si="1"/>
        <v>14613.256247612522</v>
      </c>
      <c r="M57" s="51" t="s">
        <v>10</v>
      </c>
      <c r="N57" s="143"/>
      <c r="O57" s="284"/>
    </row>
    <row r="58" spans="1:16" x14ac:dyDescent="0.2">
      <c r="A58" s="207" t="s">
        <v>335</v>
      </c>
      <c r="B58" s="268">
        <v>0</v>
      </c>
      <c r="C58" s="268">
        <v>0</v>
      </c>
      <c r="D58" s="268">
        <f>'B. Summ of Req. by DU - S&amp;L'!G68</f>
        <v>8500</v>
      </c>
      <c r="E58" s="268">
        <v>0</v>
      </c>
      <c r="F58" s="268">
        <v>0</v>
      </c>
      <c r="G58" s="268">
        <v>0</v>
      </c>
      <c r="H58" s="268">
        <v>0.66528422758088002</v>
      </c>
      <c r="I58" s="268">
        <v>796.05082000000004</v>
      </c>
      <c r="J58" s="268">
        <v>0</v>
      </c>
      <c r="K58" s="268">
        <v>0</v>
      </c>
      <c r="L58" s="279">
        <f t="shared" si="1"/>
        <v>9296.716104227582</v>
      </c>
      <c r="M58" s="51" t="s">
        <v>10</v>
      </c>
      <c r="N58" s="143"/>
      <c r="O58" s="284"/>
    </row>
    <row r="59" spans="1:16" x14ac:dyDescent="0.2">
      <c r="A59" s="207" t="s">
        <v>254</v>
      </c>
      <c r="B59" s="268">
        <v>0</v>
      </c>
      <c r="C59" s="268">
        <v>0</v>
      </c>
      <c r="D59" s="268">
        <f>'B. Summ of Req. by DU - S&amp;L'!G69</f>
        <v>12500</v>
      </c>
      <c r="E59" s="268">
        <v>0</v>
      </c>
      <c r="F59" s="268">
        <v>0</v>
      </c>
      <c r="G59" s="268">
        <v>0</v>
      </c>
      <c r="H59" s="268">
        <v>0</v>
      </c>
      <c r="I59" s="268">
        <v>0</v>
      </c>
      <c r="J59" s="268">
        <v>0</v>
      </c>
      <c r="K59" s="268">
        <v>0</v>
      </c>
      <c r="L59" s="279">
        <f t="shared" si="1"/>
        <v>12500</v>
      </c>
      <c r="M59" s="51" t="s">
        <v>10</v>
      </c>
      <c r="N59" s="143"/>
      <c r="O59" s="284"/>
    </row>
    <row r="60" spans="1:16" x14ac:dyDescent="0.2">
      <c r="A60" s="207" t="s">
        <v>333</v>
      </c>
      <c r="B60" s="268">
        <v>0</v>
      </c>
      <c r="C60" s="268">
        <v>0</v>
      </c>
      <c r="D60" s="268">
        <v>0</v>
      </c>
      <c r="E60" s="268">
        <v>0</v>
      </c>
      <c r="F60" s="268">
        <v>0</v>
      </c>
      <c r="G60" s="268">
        <v>0</v>
      </c>
      <c r="H60" s="268">
        <v>0</v>
      </c>
      <c r="I60" s="268">
        <v>279.90165000000002</v>
      </c>
      <c r="J60" s="268">
        <v>0</v>
      </c>
      <c r="K60" s="268">
        <v>0</v>
      </c>
      <c r="L60" s="279">
        <f t="shared" si="1"/>
        <v>279.90165000000002</v>
      </c>
      <c r="M60" s="51" t="s">
        <v>10</v>
      </c>
      <c r="N60" s="143"/>
      <c r="O60" s="284"/>
    </row>
    <row r="61" spans="1:16" x14ac:dyDescent="0.2">
      <c r="A61" s="207" t="s">
        <v>331</v>
      </c>
      <c r="B61" s="268">
        <v>0</v>
      </c>
      <c r="C61" s="268">
        <v>0</v>
      </c>
      <c r="D61" s="268">
        <v>0</v>
      </c>
      <c r="E61" s="268">
        <v>0</v>
      </c>
      <c r="F61" s="268">
        <v>0</v>
      </c>
      <c r="G61" s="268">
        <v>0</v>
      </c>
      <c r="H61" s="268">
        <v>0</v>
      </c>
      <c r="I61" s="268">
        <v>204.53802999999999</v>
      </c>
      <c r="J61" s="268">
        <v>0</v>
      </c>
      <c r="K61" s="268">
        <v>0</v>
      </c>
      <c r="L61" s="279">
        <f t="shared" si="1"/>
        <v>204.53802999999999</v>
      </c>
      <c r="M61" s="51" t="s">
        <v>10</v>
      </c>
      <c r="N61" s="143"/>
      <c r="O61" s="284"/>
    </row>
    <row r="62" spans="1:16" x14ac:dyDescent="0.2">
      <c r="A62" s="207" t="s">
        <v>330</v>
      </c>
      <c r="B62" s="268">
        <v>0</v>
      </c>
      <c r="C62" s="268">
        <v>0</v>
      </c>
      <c r="D62" s="268">
        <v>0</v>
      </c>
      <c r="E62" s="268">
        <v>0</v>
      </c>
      <c r="F62" s="268">
        <v>0</v>
      </c>
      <c r="G62" s="268">
        <v>0</v>
      </c>
      <c r="H62" s="268">
        <v>2080.1956868000002</v>
      </c>
      <c r="I62" s="268">
        <v>264.66255000000001</v>
      </c>
      <c r="J62" s="268">
        <v>0</v>
      </c>
      <c r="K62" s="268">
        <v>0</v>
      </c>
      <c r="L62" s="279">
        <f t="shared" ref="L62:L75" si="2">D62+G62+H62+I62</f>
        <v>2344.8582368000002</v>
      </c>
      <c r="M62" s="51" t="s">
        <v>10</v>
      </c>
      <c r="N62" s="143"/>
      <c r="O62" s="284"/>
    </row>
    <row r="63" spans="1:16" x14ac:dyDescent="0.2">
      <c r="A63" s="207" t="s">
        <v>369</v>
      </c>
      <c r="B63" s="268">
        <v>0</v>
      </c>
      <c r="C63" s="268">
        <v>0</v>
      </c>
      <c r="D63" s="268">
        <v>0</v>
      </c>
      <c r="E63" s="268">
        <v>0</v>
      </c>
      <c r="F63" s="268">
        <v>0</v>
      </c>
      <c r="G63" s="268">
        <v>0</v>
      </c>
      <c r="H63" s="268">
        <v>81.729029999999995</v>
      </c>
      <c r="I63" s="268">
        <v>0</v>
      </c>
      <c r="J63" s="268">
        <v>0</v>
      </c>
      <c r="K63" s="268">
        <v>0</v>
      </c>
      <c r="L63" s="279">
        <f t="shared" si="2"/>
        <v>81.729029999999995</v>
      </c>
      <c r="M63" s="51" t="s">
        <v>10</v>
      </c>
      <c r="N63" s="143"/>
      <c r="O63" s="284"/>
    </row>
    <row r="64" spans="1:16" x14ac:dyDescent="0.2">
      <c r="A64" s="207" t="s">
        <v>327</v>
      </c>
      <c r="B64" s="268">
        <v>0</v>
      </c>
      <c r="C64" s="268">
        <v>0</v>
      </c>
      <c r="D64" s="268">
        <v>0</v>
      </c>
      <c r="E64" s="268">
        <v>0</v>
      </c>
      <c r="F64" s="268">
        <v>0</v>
      </c>
      <c r="G64" s="268">
        <v>0</v>
      </c>
      <c r="H64" s="268">
        <v>996.28322000000003</v>
      </c>
      <c r="I64" s="268">
        <v>0</v>
      </c>
      <c r="J64" s="268">
        <v>0</v>
      </c>
      <c r="K64" s="268">
        <v>0</v>
      </c>
      <c r="L64" s="279">
        <f t="shared" si="2"/>
        <v>996.28322000000003</v>
      </c>
      <c r="M64" s="51" t="s">
        <v>10</v>
      </c>
      <c r="N64" s="247"/>
      <c r="O64" s="347"/>
      <c r="P64" s="247"/>
    </row>
    <row r="65" spans="1:16" x14ac:dyDescent="0.2">
      <c r="A65" s="292" t="s">
        <v>469</v>
      </c>
      <c r="B65" s="268">
        <v>0</v>
      </c>
      <c r="C65" s="268">
        <v>0</v>
      </c>
      <c r="D65" s="268">
        <v>0</v>
      </c>
      <c r="E65" s="268">
        <v>0</v>
      </c>
      <c r="F65" s="268">
        <v>0</v>
      </c>
      <c r="G65" s="268">
        <v>0</v>
      </c>
      <c r="H65" s="268">
        <v>-5.09314812546791E-14</v>
      </c>
      <c r="I65" s="268">
        <v>127.16262</v>
      </c>
      <c r="J65" s="268">
        <v>0</v>
      </c>
      <c r="K65" s="268">
        <v>0</v>
      </c>
      <c r="L65" s="279">
        <f t="shared" si="2"/>
        <v>127.16261999999995</v>
      </c>
      <c r="M65" s="51" t="s">
        <v>10</v>
      </c>
      <c r="N65" s="247"/>
      <c r="O65" s="347"/>
      <c r="P65" s="247"/>
    </row>
    <row r="66" spans="1:16" x14ac:dyDescent="0.2">
      <c r="A66" s="207" t="s">
        <v>325</v>
      </c>
      <c r="B66" s="268">
        <v>0</v>
      </c>
      <c r="C66" s="268">
        <v>0</v>
      </c>
      <c r="D66" s="268">
        <v>0</v>
      </c>
      <c r="E66" s="268">
        <v>0</v>
      </c>
      <c r="F66" s="268">
        <v>0</v>
      </c>
      <c r="G66" s="268">
        <v>0</v>
      </c>
      <c r="H66" s="268">
        <v>4901.1614500000096</v>
      </c>
      <c r="I66" s="268">
        <f>377.5432+282.3626</f>
        <v>659.9058</v>
      </c>
      <c r="J66" s="268">
        <v>0</v>
      </c>
      <c r="K66" s="268">
        <v>0</v>
      </c>
      <c r="L66" s="279">
        <f t="shared" si="2"/>
        <v>5561.0672500000092</v>
      </c>
      <c r="M66" s="51" t="s">
        <v>10</v>
      </c>
      <c r="N66" s="247"/>
      <c r="O66" s="347"/>
      <c r="P66" s="247"/>
    </row>
    <row r="67" spans="1:16" x14ac:dyDescent="0.2">
      <c r="A67" s="292" t="s">
        <v>323</v>
      </c>
      <c r="B67" s="268">
        <v>0</v>
      </c>
      <c r="C67" s="268">
        <v>0</v>
      </c>
      <c r="D67" s="268">
        <v>0</v>
      </c>
      <c r="E67" s="268">
        <v>0</v>
      </c>
      <c r="F67" s="268">
        <v>0</v>
      </c>
      <c r="G67" s="268">
        <v>0</v>
      </c>
      <c r="H67" s="268">
        <v>26.818000000000001</v>
      </c>
      <c r="I67" s="268">
        <v>0.67554999999999998</v>
      </c>
      <c r="J67" s="268">
        <v>0</v>
      </c>
      <c r="K67" s="268">
        <v>0</v>
      </c>
      <c r="L67" s="279">
        <f t="shared" si="2"/>
        <v>27.493550000000003</v>
      </c>
      <c r="M67" s="51" t="s">
        <v>10</v>
      </c>
      <c r="N67" s="247"/>
      <c r="O67" s="347"/>
      <c r="P67" s="247"/>
    </row>
    <row r="68" spans="1:16" ht="15" x14ac:dyDescent="0.25">
      <c r="A68" s="207" t="s">
        <v>368</v>
      </c>
      <c r="B68" s="268">
        <v>0</v>
      </c>
      <c r="C68" s="268">
        <v>0</v>
      </c>
      <c r="D68" s="268">
        <v>0</v>
      </c>
      <c r="E68" s="268">
        <v>0</v>
      </c>
      <c r="F68" s="268">
        <v>0</v>
      </c>
      <c r="G68" s="268">
        <v>0</v>
      </c>
      <c r="H68" s="268">
        <v>0</v>
      </c>
      <c r="I68" s="349">
        <v>14.02713</v>
      </c>
      <c r="J68" s="268">
        <v>0</v>
      </c>
      <c r="K68" s="268"/>
      <c r="L68" s="279">
        <f t="shared" si="2"/>
        <v>14.02713</v>
      </c>
      <c r="M68" s="51" t="s">
        <v>10</v>
      </c>
      <c r="N68" s="143"/>
      <c r="O68" s="284"/>
    </row>
    <row r="69" spans="1:16" x14ac:dyDescent="0.2">
      <c r="A69" s="207" t="s">
        <v>367</v>
      </c>
      <c r="B69" s="268">
        <v>0</v>
      </c>
      <c r="C69" s="268">
        <v>0</v>
      </c>
      <c r="D69" s="268">
        <v>0</v>
      </c>
      <c r="E69" s="268">
        <v>0</v>
      </c>
      <c r="F69" s="268">
        <v>0</v>
      </c>
      <c r="G69" s="268">
        <v>0</v>
      </c>
      <c r="H69" s="268">
        <v>0</v>
      </c>
      <c r="I69" s="268">
        <v>33.855429999999998</v>
      </c>
      <c r="J69" s="268">
        <v>0</v>
      </c>
      <c r="K69" s="268"/>
      <c r="L69" s="279">
        <f t="shared" si="2"/>
        <v>33.855429999999998</v>
      </c>
      <c r="M69" s="51" t="s">
        <v>10</v>
      </c>
      <c r="N69" s="143"/>
      <c r="O69" s="284"/>
    </row>
    <row r="70" spans="1:16" x14ac:dyDescent="0.2">
      <c r="A70" s="207" t="s">
        <v>321</v>
      </c>
      <c r="B70" s="268">
        <v>0</v>
      </c>
      <c r="C70" s="268">
        <v>0</v>
      </c>
      <c r="D70" s="268">
        <v>0</v>
      </c>
      <c r="E70" s="268">
        <v>0</v>
      </c>
      <c r="F70" s="268">
        <v>0</v>
      </c>
      <c r="G70" s="268">
        <v>0</v>
      </c>
      <c r="H70" s="268">
        <v>45.9183200000002</v>
      </c>
      <c r="I70" s="268">
        <v>0</v>
      </c>
      <c r="J70" s="268">
        <v>0</v>
      </c>
      <c r="K70" s="268">
        <v>0</v>
      </c>
      <c r="L70" s="279">
        <f t="shared" si="2"/>
        <v>45.9183200000002</v>
      </c>
      <c r="M70" s="51" t="s">
        <v>10</v>
      </c>
      <c r="N70" s="326"/>
      <c r="O70" s="284"/>
    </row>
    <row r="71" spans="1:16" x14ac:dyDescent="0.2">
      <c r="A71" s="207" t="s">
        <v>320</v>
      </c>
      <c r="B71" s="268">
        <v>0</v>
      </c>
      <c r="C71" s="268">
        <v>0</v>
      </c>
      <c r="D71" s="268">
        <v>0</v>
      </c>
      <c r="E71" s="268">
        <v>0</v>
      </c>
      <c r="F71" s="268">
        <v>0</v>
      </c>
      <c r="G71" s="268">
        <v>0</v>
      </c>
      <c r="H71" s="268">
        <v>709.02337</v>
      </c>
      <c r="I71" s="268">
        <v>0</v>
      </c>
      <c r="J71" s="268">
        <v>0</v>
      </c>
      <c r="K71" s="268">
        <v>0</v>
      </c>
      <c r="L71" s="279">
        <f t="shared" si="2"/>
        <v>709.02337</v>
      </c>
      <c r="M71" s="51" t="s">
        <v>10</v>
      </c>
      <c r="N71" s="143"/>
      <c r="O71" s="284"/>
    </row>
    <row r="72" spans="1:16" x14ac:dyDescent="0.2">
      <c r="A72" s="207" t="s">
        <v>319</v>
      </c>
      <c r="B72" s="268">
        <v>0</v>
      </c>
      <c r="C72" s="268">
        <v>0</v>
      </c>
      <c r="D72" s="268">
        <v>0</v>
      </c>
      <c r="E72" s="268">
        <v>0</v>
      </c>
      <c r="F72" s="268">
        <v>0</v>
      </c>
      <c r="G72" s="268">
        <v>0</v>
      </c>
      <c r="H72" s="268">
        <v>0</v>
      </c>
      <c r="I72" s="268">
        <v>231.15440000000001</v>
      </c>
      <c r="J72" s="268">
        <v>0</v>
      </c>
      <c r="K72" s="268">
        <v>0</v>
      </c>
      <c r="L72" s="279">
        <f t="shared" si="2"/>
        <v>231.15440000000001</v>
      </c>
      <c r="M72" s="51" t="s">
        <v>10</v>
      </c>
      <c r="N72" s="143"/>
      <c r="O72" s="284"/>
    </row>
    <row r="73" spans="1:16" ht="15" x14ac:dyDescent="0.25">
      <c r="A73" s="207" t="s">
        <v>226</v>
      </c>
      <c r="B73" s="268">
        <v>0</v>
      </c>
      <c r="C73" s="268">
        <v>0</v>
      </c>
      <c r="D73" s="268">
        <v>0</v>
      </c>
      <c r="E73" s="268">
        <v>0</v>
      </c>
      <c r="F73" s="268">
        <v>0</v>
      </c>
      <c r="G73" s="268">
        <v>0</v>
      </c>
      <c r="H73" s="268">
        <v>407</v>
      </c>
      <c r="I73" s="268">
        <v>135</v>
      </c>
      <c r="J73" s="268">
        <v>0</v>
      </c>
      <c r="K73" s="268">
        <v>0</v>
      </c>
      <c r="L73" s="279">
        <f t="shared" si="2"/>
        <v>542</v>
      </c>
      <c r="M73" s="51" t="s">
        <v>10</v>
      </c>
      <c r="N73" s="348"/>
      <c r="O73" s="284"/>
    </row>
    <row r="74" spans="1:16" ht="15" x14ac:dyDescent="0.25">
      <c r="A74" s="13" t="s">
        <v>98</v>
      </c>
      <c r="B74" s="219">
        <f>SUM(B8:B73)</f>
        <v>0</v>
      </c>
      <c r="C74" s="219">
        <f>SUM(C8:C73)</f>
        <v>0</v>
      </c>
      <c r="D74" s="219">
        <f>SUM(D8:D9,D11:D13,D22:D23,D25,D28:D29,D33:D35,D36:D39,D41:D43,D44:D49,D50,D55:D59)+SUM(D60:D73)</f>
        <v>1171500</v>
      </c>
      <c r="E74" s="219">
        <f t="shared" ref="E74:K74" si="3">SUM(E8:E73)</f>
        <v>0</v>
      </c>
      <c r="F74" s="219">
        <f t="shared" si="3"/>
        <v>0</v>
      </c>
      <c r="G74" s="219">
        <f t="shared" si="3"/>
        <v>0</v>
      </c>
      <c r="H74" s="219">
        <f>SUM(H8:H73)</f>
        <v>31559.367350816159</v>
      </c>
      <c r="I74" s="219">
        <f t="shared" si="3"/>
        <v>7265.7232800000011</v>
      </c>
      <c r="J74" s="219">
        <f t="shared" si="3"/>
        <v>0</v>
      </c>
      <c r="K74" s="219">
        <f t="shared" si="3"/>
        <v>0</v>
      </c>
      <c r="L74" s="327">
        <f>D74+G74+H74+I74</f>
        <v>1210325.0906308163</v>
      </c>
      <c r="M74" s="51" t="s">
        <v>10</v>
      </c>
      <c r="N74" s="143"/>
      <c r="O74" s="5"/>
    </row>
    <row r="75" spans="1:16" x14ac:dyDescent="0.2">
      <c r="A75" s="290" t="s">
        <v>97</v>
      </c>
      <c r="B75" s="216"/>
      <c r="C75" s="216"/>
      <c r="D75" s="216">
        <f>'B. Summ of Req. by DU - S&amp;L'!G71</f>
        <v>-45000</v>
      </c>
      <c r="E75" s="216"/>
      <c r="F75" s="216"/>
      <c r="G75" s="216"/>
      <c r="H75" s="216"/>
      <c r="I75" s="216"/>
      <c r="J75" s="216"/>
      <c r="K75" s="216"/>
      <c r="L75" s="215">
        <f t="shared" si="2"/>
        <v>-45000</v>
      </c>
      <c r="M75" s="51" t="s">
        <v>10</v>
      </c>
      <c r="N75" s="143"/>
    </row>
    <row r="76" spans="1:16" ht="15" x14ac:dyDescent="0.25">
      <c r="A76" s="289" t="s">
        <v>111</v>
      </c>
      <c r="B76" s="212"/>
      <c r="C76" s="212"/>
      <c r="D76" s="212">
        <f>SUM(D74:D75)</f>
        <v>1126500</v>
      </c>
      <c r="E76" s="212"/>
      <c r="F76" s="212"/>
      <c r="G76" s="212"/>
      <c r="H76" s="212"/>
      <c r="I76" s="212"/>
      <c r="J76" s="212"/>
      <c r="K76" s="212"/>
      <c r="L76" s="325">
        <f>L74+L75</f>
        <v>1165325.0906308163</v>
      </c>
      <c r="M76" s="51" t="s">
        <v>10</v>
      </c>
      <c r="N76" s="143"/>
      <c r="O76" s="240"/>
    </row>
    <row r="77" spans="1:16" x14ac:dyDescent="0.2">
      <c r="A77" s="210" t="s">
        <v>13</v>
      </c>
      <c r="B77" s="296"/>
      <c r="C77" s="296">
        <v>0</v>
      </c>
      <c r="D77" s="296"/>
      <c r="E77" s="296"/>
      <c r="F77" s="296">
        <v>0</v>
      </c>
      <c r="G77" s="296"/>
      <c r="H77" s="296">
        <v>0</v>
      </c>
      <c r="I77" s="296"/>
      <c r="J77" s="296"/>
      <c r="K77" s="296">
        <f>C77+F77</f>
        <v>0</v>
      </c>
      <c r="L77" s="329"/>
      <c r="M77" s="51" t="s">
        <v>10</v>
      </c>
      <c r="N77" s="143"/>
    </row>
    <row r="78" spans="1:16" x14ac:dyDescent="0.2">
      <c r="A78" s="207" t="s">
        <v>99</v>
      </c>
      <c r="B78" s="268"/>
      <c r="C78" s="268">
        <f>C74+C77</f>
        <v>0</v>
      </c>
      <c r="D78" s="268"/>
      <c r="E78" s="268"/>
      <c r="F78" s="268">
        <f>F74+F77</f>
        <v>0</v>
      </c>
      <c r="G78" s="268"/>
      <c r="H78" s="268">
        <v>0</v>
      </c>
      <c r="I78" s="268"/>
      <c r="J78" s="268"/>
      <c r="K78" s="268">
        <f>K74+K77</f>
        <v>0</v>
      </c>
      <c r="L78" s="279"/>
      <c r="M78" s="51" t="s">
        <v>10</v>
      </c>
      <c r="N78" s="143"/>
    </row>
    <row r="79" spans="1:16" x14ac:dyDescent="0.2">
      <c r="A79" s="207"/>
      <c r="B79" s="268"/>
      <c r="C79" s="268"/>
      <c r="D79" s="268"/>
      <c r="E79" s="268"/>
      <c r="F79" s="268"/>
      <c r="G79" s="268"/>
      <c r="H79" s="268"/>
      <c r="I79" s="268"/>
      <c r="J79" s="268"/>
      <c r="K79" s="268"/>
      <c r="L79" s="279"/>
      <c r="M79" s="51" t="s">
        <v>10</v>
      </c>
      <c r="N79" s="143"/>
    </row>
    <row r="80" spans="1:16" x14ac:dyDescent="0.2">
      <c r="A80" s="207" t="s">
        <v>14</v>
      </c>
      <c r="B80" s="268"/>
      <c r="C80" s="268"/>
      <c r="D80" s="268"/>
      <c r="E80" s="268"/>
      <c r="F80" s="268"/>
      <c r="G80" s="268"/>
      <c r="H80" s="268"/>
      <c r="I80" s="268"/>
      <c r="J80" s="268"/>
      <c r="K80" s="268"/>
      <c r="L80" s="279"/>
      <c r="M80" s="51" t="s">
        <v>10</v>
      </c>
      <c r="N80" s="143"/>
    </row>
    <row r="81" spans="1:14" x14ac:dyDescent="0.2">
      <c r="A81" s="206" t="s">
        <v>15</v>
      </c>
      <c r="B81" s="268"/>
      <c r="C81" s="268">
        <v>0</v>
      </c>
      <c r="D81" s="268"/>
      <c r="E81" s="268"/>
      <c r="F81" s="268">
        <v>0</v>
      </c>
      <c r="G81" s="268"/>
      <c r="H81" s="268">
        <v>0</v>
      </c>
      <c r="I81" s="268"/>
      <c r="J81" s="268"/>
      <c r="K81" s="268">
        <f>C81+F81</f>
        <v>0</v>
      </c>
      <c r="L81" s="279"/>
      <c r="M81" s="51" t="s">
        <v>10</v>
      </c>
      <c r="N81" s="143"/>
    </row>
    <row r="82" spans="1:14" x14ac:dyDescent="0.2">
      <c r="A82" s="205" t="s">
        <v>16</v>
      </c>
      <c r="B82" s="334"/>
      <c r="C82" s="334">
        <v>0</v>
      </c>
      <c r="D82" s="334"/>
      <c r="E82" s="334"/>
      <c r="F82" s="334">
        <v>0</v>
      </c>
      <c r="G82" s="334"/>
      <c r="H82" s="334">
        <v>0</v>
      </c>
      <c r="I82" s="334"/>
      <c r="J82" s="334"/>
      <c r="K82" s="334">
        <f>C82+F82</f>
        <v>0</v>
      </c>
      <c r="L82" s="333"/>
      <c r="M82" s="51" t="s">
        <v>10</v>
      </c>
      <c r="N82" s="143"/>
    </row>
    <row r="83" spans="1:14" ht="15" thickBot="1" x14ac:dyDescent="0.25">
      <c r="A83" s="202" t="s">
        <v>100</v>
      </c>
      <c r="B83" s="332"/>
      <c r="C83" s="332">
        <f>C78+C81+C82</f>
        <v>0</v>
      </c>
      <c r="D83" s="332"/>
      <c r="E83" s="332"/>
      <c r="F83" s="332">
        <f>F78+F81+F82</f>
        <v>0</v>
      </c>
      <c r="G83" s="332"/>
      <c r="H83" s="332">
        <f>H78+H81+H82</f>
        <v>0</v>
      </c>
      <c r="I83" s="332"/>
      <c r="J83" s="332"/>
      <c r="K83" s="332">
        <f>SUM(K78,K81:K82)</f>
        <v>0</v>
      </c>
      <c r="L83" s="331"/>
      <c r="M83" s="51" t="s">
        <v>10</v>
      </c>
      <c r="N83" s="143"/>
    </row>
    <row r="84" spans="1:14" x14ac:dyDescent="0.2">
      <c r="M84" s="51" t="s">
        <v>10</v>
      </c>
    </row>
    <row r="85" spans="1:14" x14ac:dyDescent="0.2">
      <c r="M85" s="51" t="s">
        <v>10</v>
      </c>
    </row>
    <row r="86" spans="1:14" ht="15" x14ac:dyDescent="0.25">
      <c r="A86" s="5" t="s">
        <v>27</v>
      </c>
      <c r="M86" s="51" t="s">
        <v>10</v>
      </c>
    </row>
    <row r="87" spans="1:14" x14ac:dyDescent="0.2">
      <c r="A87" s="176"/>
      <c r="B87" s="176"/>
      <c r="C87" s="176"/>
      <c r="D87" s="176"/>
      <c r="E87" s="176"/>
      <c r="F87" s="176"/>
      <c r="G87" s="176"/>
      <c r="H87" s="176"/>
      <c r="I87" s="176"/>
      <c r="J87" s="176"/>
      <c r="K87" s="176"/>
      <c r="L87" s="176"/>
      <c r="M87" s="51" t="s">
        <v>10</v>
      </c>
    </row>
    <row r="88" spans="1:14" x14ac:dyDescent="0.2">
      <c r="A88" s="176"/>
      <c r="B88" s="176"/>
      <c r="C88" s="176"/>
      <c r="D88" s="176"/>
      <c r="E88" s="176"/>
      <c r="F88" s="176"/>
      <c r="G88" s="176"/>
      <c r="H88" s="176"/>
      <c r="I88" s="176"/>
      <c r="J88" s="176"/>
      <c r="K88" s="176"/>
      <c r="L88" s="176"/>
      <c r="M88" s="51" t="s">
        <v>10</v>
      </c>
    </row>
    <row r="89" spans="1:14" ht="15" x14ac:dyDescent="0.25">
      <c r="A89" s="5" t="s">
        <v>113</v>
      </c>
      <c r="M89" s="51" t="s">
        <v>10</v>
      </c>
    </row>
    <row r="90" spans="1:14" x14ac:dyDescent="0.2">
      <c r="A90" s="176" t="s">
        <v>506</v>
      </c>
      <c r="B90" s="176"/>
      <c r="C90" s="176"/>
      <c r="D90" s="176"/>
      <c r="E90" s="176"/>
      <c r="F90" s="176"/>
      <c r="G90" s="176"/>
      <c r="H90" s="176"/>
      <c r="I90" s="176"/>
      <c r="J90" s="176"/>
      <c r="K90" s="176"/>
      <c r="L90" s="176"/>
      <c r="M90" s="51" t="s">
        <v>10</v>
      </c>
    </row>
    <row r="91" spans="1:14" x14ac:dyDescent="0.2">
      <c r="A91" s="288"/>
      <c r="B91" s="288"/>
      <c r="C91" s="288"/>
      <c r="D91" s="288"/>
      <c r="E91" s="288"/>
      <c r="F91" s="288"/>
      <c r="G91" s="288"/>
      <c r="H91" s="288"/>
      <c r="I91" s="288"/>
      <c r="J91" s="288"/>
      <c r="K91" s="288"/>
      <c r="L91" s="288"/>
      <c r="M91" s="51" t="s">
        <v>10</v>
      </c>
    </row>
    <row r="92" spans="1:14" ht="15" x14ac:dyDescent="0.25">
      <c r="A92" s="5" t="s">
        <v>114</v>
      </c>
      <c r="M92" s="51" t="s">
        <v>10</v>
      </c>
    </row>
    <row r="93" spans="1:14" x14ac:dyDescent="0.2">
      <c r="A93" s="176" t="s">
        <v>507</v>
      </c>
      <c r="B93" s="176"/>
      <c r="C93" s="176"/>
      <c r="D93" s="176"/>
      <c r="E93" s="176"/>
      <c r="F93" s="176"/>
      <c r="G93" s="176"/>
      <c r="H93" s="176"/>
      <c r="I93" s="176"/>
      <c r="J93" s="176"/>
      <c r="K93" s="176"/>
      <c r="L93" s="176"/>
      <c r="M93" s="51" t="s">
        <v>10</v>
      </c>
    </row>
    <row r="94" spans="1:14" x14ac:dyDescent="0.2">
      <c r="M94" s="4" t="s">
        <v>11</v>
      </c>
    </row>
    <row r="95" spans="1:14" x14ac:dyDescent="0.2">
      <c r="M95" s="4"/>
      <c r="N95" s="51"/>
    </row>
  </sheetData>
  <customSheetViews>
    <customSheetView guid="{EE916FE7-61FB-4021-ADDD-E082241FC03C}" scale="80" showPageBreaks="1" printArea="1" view="pageBreakPreview" topLeftCell="A52">
      <selection activeCell="H84" sqref="H84"/>
      <pageMargins left="0.7" right="0.7" top="0.66" bottom="0.66" header="0.3" footer="0.3"/>
      <printOptions horizontalCentered="1"/>
      <pageSetup scale="60" orientation="landscape" r:id="rId1"/>
      <headerFooter>
        <oddHeader>&amp;L&amp;"Arial,Bold"&amp;12G. Crosswalk of 2014 Availability</oddHeader>
        <oddFooter>&amp;C&amp;"Arial,Regular"Exhibit G - Crosswalk of 2014 Availability&amp;RState and Local Law Enforcement Assistance</oddFooter>
      </headerFooter>
    </customSheetView>
    <customSheetView guid="{0BB5DC4B-BC2A-4489-BE17-5E267FA1EF63}" scale="80" showPageBreaks="1" printArea="1" view="pageBreakPreview" topLeftCell="A73">
      <selection activeCell="D14" sqref="D14"/>
      <pageMargins left="0.7" right="0.7" top="0.66" bottom="0.66" header="0.3" footer="0.3"/>
      <printOptions horizontalCentered="1"/>
      <pageSetup scale="60" orientation="landscape" r:id="rId2"/>
      <headerFooter>
        <oddHeader>&amp;L&amp;"Arial,Bold"&amp;12G. Crosswalk of 2014 Availability</oddHeader>
        <oddFooter>&amp;C&amp;"Arial,Regular"Exhibit G - Crosswalk of 2014 Availability&amp;RState and Local Law Enforcement Assistance</oddFooter>
      </headerFooter>
    </customSheetView>
    <customSheetView guid="{6C58FFE1-D756-42C4-A1BC-AA7F1DC1E56F}" scale="80" showPageBreaks="1" printArea="1" view="pageBreakPreview" topLeftCell="B28">
      <selection activeCell="E51" sqref="E51"/>
      <pageMargins left="0.7" right="0.7" top="0.66" bottom="0.66" header="0.3" footer="0.3"/>
      <printOptions horizontalCentered="1"/>
      <pageSetup scale="60" orientation="landscape" r:id="rId3"/>
      <headerFooter>
        <oddHeader>&amp;L&amp;"Arial,Bold"&amp;12G. Crosswalk of 2014 Availability</oddHeader>
        <oddFooter>&amp;C&amp;"Arial,Regular"Exhibit G - Crosswalk of 2014 Availability&amp;RState and Local Law Enforcement Assistance</oddFooter>
      </headerFooter>
    </customSheetView>
    <customSheetView guid="{CFA5D1C9-F4C9-4B8D-923D-4C71CB6E7D3B}" scale="80" showPageBreaks="1" printArea="1" view="pageBreakPreview" topLeftCell="A52">
      <selection activeCell="H84" sqref="H84"/>
      <pageMargins left="0.7" right="0.7" top="0.66" bottom="0.66" header="0.3" footer="0.3"/>
      <printOptions horizontalCentered="1"/>
      <pageSetup scale="60" orientation="landscape" r:id="rId4"/>
      <headerFooter>
        <oddHeader>&amp;L&amp;"Arial,Bold"&amp;12G. Crosswalk of 2014 Availability</oddHeader>
        <oddFooter>&amp;C&amp;"Arial,Regular"Exhibit G - Crosswalk of 2014 Availability&amp;RState and Local Law Enforcement Assistance</oddFooter>
      </headerFooter>
    </customSheetView>
    <customSheetView guid="{A788DF77-74F1-49E4-8B34-BFBDB7664F30}" scale="80" showPageBreaks="1" printArea="1" view="pageBreakPreview" topLeftCell="A52">
      <selection activeCell="D16" sqref="D16"/>
      <rowBreaks count="1" manualBreakCount="1">
        <brk id="51" max="11" man="1"/>
      </rowBreaks>
      <pageMargins left="0.7" right="0.7" top="0.66" bottom="0.66" header="0.3" footer="0.3"/>
      <printOptions horizontalCentered="1"/>
      <pageSetup scale="60" orientation="landscape" r:id="rId5"/>
      <headerFooter>
        <oddHeader>&amp;L&amp;"Arial,Bold"&amp;12G. Crosswalk of 2014 Availability</oddHeader>
        <oddFooter>&amp;C&amp;"Arial,Regular"Exhibit G - Crosswalk of 2014 Availability&amp;RState and Local Law Enforcement Assistance</oddFooter>
      </headerFooter>
    </customSheetView>
  </customSheetViews>
  <mergeCells count="8">
    <mergeCell ref="A6:A7"/>
    <mergeCell ref="B6:D6"/>
    <mergeCell ref="E6:G6"/>
    <mergeCell ref="J6:L6"/>
    <mergeCell ref="A1:L1"/>
    <mergeCell ref="A2:L2"/>
    <mergeCell ref="A3:L3"/>
    <mergeCell ref="A4:L4"/>
  </mergeCells>
  <printOptions horizontalCentered="1"/>
  <pageMargins left="0.7" right="0.7" top="0.66" bottom="0.66" header="0.3" footer="0.3"/>
  <pageSetup scale="60" orientation="landscape" r:id="rId6"/>
  <headerFooter>
    <oddHeader>&amp;L&amp;"Arial,Bold"&amp;12G. Crosswalk of 2014 Availability</oddHeader>
    <oddFooter>&amp;C&amp;"Arial,Regular"Exhibit G - Crosswalk of 2014 Availability&amp;RState and Local Law Enforcement Assistance</oddFooter>
  </headerFooter>
  <rowBreaks count="1" manualBreakCount="1">
    <brk id="49" max="1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view="pageBreakPreview" zoomScale="80" zoomScaleNormal="100" zoomScaleSheetLayoutView="80" workbookViewId="0">
      <selection activeCell="L39" sqref="L39"/>
    </sheetView>
  </sheetViews>
  <sheetFormatPr defaultRowHeight="14.25" x14ac:dyDescent="0.2"/>
  <cols>
    <col min="1" max="1" width="55.7109375" style="143" customWidth="1"/>
    <col min="2" max="3" width="8.28515625" style="143" customWidth="1"/>
    <col min="4" max="4" width="12.7109375" style="143" customWidth="1"/>
    <col min="5" max="6" width="8.28515625" style="143" customWidth="1"/>
    <col min="7" max="7" width="12.7109375" style="143" customWidth="1"/>
    <col min="8" max="9" width="8.28515625" style="143" customWidth="1"/>
    <col min="10" max="10" width="12.7109375" style="143" customWidth="1"/>
    <col min="11" max="12" width="8.28515625" style="143" customWidth="1"/>
    <col min="13" max="13" width="12.7109375" style="143" customWidth="1"/>
    <col min="14" max="14" width="14" style="4" bestFit="1" customWidth="1"/>
    <col min="15" max="15" width="4.5703125" style="143" customWidth="1"/>
    <col min="16" max="16" width="116.7109375" style="143" customWidth="1"/>
    <col min="17" max="18" width="8.28515625" style="143" customWidth="1"/>
    <col min="19" max="19" width="12.7109375" style="143" customWidth="1"/>
    <col min="20" max="21" width="8.28515625" style="143" customWidth="1"/>
    <col min="22" max="22" width="12.7109375" style="143" customWidth="1"/>
    <col min="23" max="16384" width="9.140625" style="143"/>
  </cols>
  <sheetData>
    <row r="1" spans="1:22" ht="18" x14ac:dyDescent="0.25">
      <c r="A1" s="577" t="s">
        <v>30</v>
      </c>
      <c r="B1" s="577"/>
      <c r="C1" s="577"/>
      <c r="D1" s="577"/>
      <c r="E1" s="577"/>
      <c r="F1" s="577"/>
      <c r="G1" s="577"/>
      <c r="H1" s="577"/>
      <c r="I1" s="577"/>
      <c r="J1" s="577"/>
      <c r="K1" s="577"/>
      <c r="L1" s="577"/>
      <c r="M1" s="577"/>
      <c r="N1" s="51" t="s">
        <v>10</v>
      </c>
      <c r="O1" s="6"/>
      <c r="P1" s="199"/>
      <c r="Q1" s="6"/>
      <c r="R1" s="6"/>
      <c r="S1" s="6"/>
      <c r="T1" s="6"/>
      <c r="U1" s="6"/>
      <c r="V1" s="6"/>
    </row>
    <row r="2" spans="1:22" ht="15" x14ac:dyDescent="0.2">
      <c r="A2" s="578" t="s">
        <v>152</v>
      </c>
      <c r="B2" s="578"/>
      <c r="C2" s="578"/>
      <c r="D2" s="578"/>
      <c r="E2" s="578"/>
      <c r="F2" s="578"/>
      <c r="G2" s="578"/>
      <c r="H2" s="578"/>
      <c r="I2" s="578"/>
      <c r="J2" s="578"/>
      <c r="K2" s="578"/>
      <c r="L2" s="578"/>
      <c r="M2" s="578"/>
      <c r="N2" s="51" t="s">
        <v>10</v>
      </c>
      <c r="O2" s="7"/>
      <c r="P2" s="198"/>
      <c r="Q2" s="7"/>
      <c r="R2" s="7"/>
      <c r="S2" s="7"/>
      <c r="T2" s="7"/>
      <c r="U2" s="7"/>
      <c r="V2" s="7"/>
    </row>
    <row r="3" spans="1:22" x14ac:dyDescent="0.2">
      <c r="A3" s="579" t="s">
        <v>282</v>
      </c>
      <c r="B3" s="579"/>
      <c r="C3" s="579"/>
      <c r="D3" s="579"/>
      <c r="E3" s="579"/>
      <c r="F3" s="579"/>
      <c r="G3" s="579"/>
      <c r="H3" s="579"/>
      <c r="I3" s="579"/>
      <c r="J3" s="579"/>
      <c r="K3" s="579"/>
      <c r="L3" s="579"/>
      <c r="M3" s="579"/>
      <c r="N3" s="51" t="s">
        <v>10</v>
      </c>
      <c r="O3" s="163"/>
      <c r="P3" s="198"/>
      <c r="Q3" s="163"/>
      <c r="R3" s="163"/>
      <c r="S3" s="163"/>
      <c r="T3" s="163"/>
      <c r="U3" s="163"/>
      <c r="V3" s="163"/>
    </row>
    <row r="4" spans="1:22" x14ac:dyDescent="0.2">
      <c r="A4" s="608" t="s">
        <v>1</v>
      </c>
      <c r="B4" s="608"/>
      <c r="C4" s="608"/>
      <c r="D4" s="608"/>
      <c r="E4" s="608"/>
      <c r="F4" s="608"/>
      <c r="G4" s="608"/>
      <c r="H4" s="608"/>
      <c r="I4" s="608"/>
      <c r="J4" s="608"/>
      <c r="K4" s="608"/>
      <c r="L4" s="608"/>
      <c r="M4" s="608"/>
      <c r="N4" s="51" t="s">
        <v>10</v>
      </c>
      <c r="O4" s="162"/>
      <c r="P4" s="198"/>
      <c r="Q4" s="162"/>
      <c r="R4" s="162"/>
      <c r="S4" s="162"/>
      <c r="T4" s="162"/>
      <c r="U4" s="162"/>
      <c r="V4" s="162"/>
    </row>
    <row r="5" spans="1:22" ht="15" x14ac:dyDescent="0.25">
      <c r="A5" s="608"/>
      <c r="B5" s="608"/>
      <c r="C5" s="608"/>
      <c r="D5" s="608"/>
      <c r="E5" s="608"/>
      <c r="F5" s="608"/>
      <c r="G5" s="608"/>
      <c r="H5" s="608"/>
      <c r="I5" s="608"/>
      <c r="J5" s="608"/>
      <c r="K5" s="608"/>
      <c r="L5" s="608"/>
      <c r="M5" s="608"/>
      <c r="N5" s="51" t="s">
        <v>10</v>
      </c>
      <c r="O5" s="162"/>
      <c r="P5" s="241"/>
      <c r="Q5" s="162"/>
      <c r="R5" s="162"/>
      <c r="S5" s="162"/>
      <c r="T5" s="162"/>
      <c r="U5" s="162"/>
      <c r="V5" s="162"/>
    </row>
    <row r="6" spans="1:22" ht="15" thickBot="1" x14ac:dyDescent="0.25">
      <c r="A6" s="608"/>
      <c r="B6" s="608"/>
      <c r="C6" s="608"/>
      <c r="D6" s="608"/>
      <c r="E6" s="608"/>
      <c r="F6" s="608"/>
      <c r="G6" s="608"/>
      <c r="H6" s="608"/>
      <c r="I6" s="608"/>
      <c r="J6" s="608"/>
      <c r="K6" s="608"/>
      <c r="L6" s="608"/>
      <c r="M6" s="608"/>
      <c r="N6" s="51" t="s">
        <v>10</v>
      </c>
      <c r="O6" s="162"/>
      <c r="P6" s="276"/>
      <c r="Q6" s="162"/>
      <c r="R6" s="162"/>
      <c r="S6" s="162"/>
      <c r="T6" s="162"/>
      <c r="U6" s="162"/>
      <c r="V6" s="162"/>
    </row>
    <row r="7" spans="1:22" ht="15" x14ac:dyDescent="0.25">
      <c r="A7" s="585" t="s">
        <v>116</v>
      </c>
      <c r="B7" s="588" t="s">
        <v>133</v>
      </c>
      <c r="C7" s="588"/>
      <c r="D7" s="588"/>
      <c r="E7" s="588" t="s">
        <v>136</v>
      </c>
      <c r="F7" s="588"/>
      <c r="G7" s="588"/>
      <c r="H7" s="588" t="s">
        <v>130</v>
      </c>
      <c r="I7" s="588"/>
      <c r="J7" s="588"/>
      <c r="K7" s="588" t="s">
        <v>31</v>
      </c>
      <c r="L7" s="588"/>
      <c r="M7" s="589"/>
      <c r="N7" s="51" t="s">
        <v>10</v>
      </c>
      <c r="P7" s="244"/>
    </row>
    <row r="8" spans="1:22" ht="28.5" x14ac:dyDescent="0.2">
      <c r="A8" s="586"/>
      <c r="B8" s="235" t="s">
        <v>32</v>
      </c>
      <c r="C8" s="235" t="s">
        <v>33</v>
      </c>
      <c r="D8" s="235" t="s">
        <v>3</v>
      </c>
      <c r="E8" s="235" t="s">
        <v>32</v>
      </c>
      <c r="F8" s="235" t="s">
        <v>33</v>
      </c>
      <c r="G8" s="235" t="s">
        <v>3</v>
      </c>
      <c r="H8" s="235" t="s">
        <v>32</v>
      </c>
      <c r="I8" s="235" t="s">
        <v>33</v>
      </c>
      <c r="J8" s="235" t="s">
        <v>3</v>
      </c>
      <c r="K8" s="235" t="s">
        <v>32</v>
      </c>
      <c r="L8" s="235" t="s">
        <v>33</v>
      </c>
      <c r="M8" s="234" t="s">
        <v>3</v>
      </c>
      <c r="N8" s="51" t="s">
        <v>10</v>
      </c>
      <c r="P8" s="356"/>
    </row>
    <row r="9" spans="1:22" x14ac:dyDescent="0.2">
      <c r="A9" s="210" t="s">
        <v>375</v>
      </c>
      <c r="B9" s="296">
        <v>0</v>
      </c>
      <c r="C9" s="296">
        <v>0</v>
      </c>
      <c r="D9" s="296">
        <v>291</v>
      </c>
      <c r="E9" s="296">
        <v>0</v>
      </c>
      <c r="F9" s="296">
        <v>0</v>
      </c>
      <c r="G9" s="296">
        <v>291</v>
      </c>
      <c r="H9" s="296">
        <v>0</v>
      </c>
      <c r="I9" s="296">
        <v>0</v>
      </c>
      <c r="J9" s="296">
        <v>291</v>
      </c>
      <c r="K9" s="296">
        <f t="shared" ref="K9:M13" si="0">H9-E9</f>
        <v>0</v>
      </c>
      <c r="L9" s="296">
        <f t="shared" si="0"/>
        <v>0</v>
      </c>
      <c r="M9" s="329">
        <f t="shared" si="0"/>
        <v>0</v>
      </c>
      <c r="N9" s="51" t="s">
        <v>10</v>
      </c>
      <c r="P9" s="356"/>
    </row>
    <row r="10" spans="1:22" ht="15" x14ac:dyDescent="0.25">
      <c r="A10" s="210" t="s">
        <v>374</v>
      </c>
      <c r="B10" s="296">
        <v>0</v>
      </c>
      <c r="C10" s="296">
        <v>0</v>
      </c>
      <c r="D10" s="296">
        <v>455</v>
      </c>
      <c r="E10" s="296">
        <v>0</v>
      </c>
      <c r="F10" s="296">
        <v>0</v>
      </c>
      <c r="G10" s="296">
        <v>455</v>
      </c>
      <c r="H10" s="296">
        <v>0</v>
      </c>
      <c r="I10" s="296">
        <v>0</v>
      </c>
      <c r="J10" s="296">
        <v>455</v>
      </c>
      <c r="K10" s="296">
        <f t="shared" si="0"/>
        <v>0</v>
      </c>
      <c r="L10" s="296">
        <f t="shared" si="0"/>
        <v>0</v>
      </c>
      <c r="M10" s="329">
        <f t="shared" si="0"/>
        <v>0</v>
      </c>
      <c r="N10" s="51" t="s">
        <v>10</v>
      </c>
      <c r="P10" s="244"/>
    </row>
    <row r="11" spans="1:22" x14ac:dyDescent="0.2">
      <c r="A11" s="207" t="s">
        <v>373</v>
      </c>
      <c r="B11" s="268">
        <v>0</v>
      </c>
      <c r="C11" s="268">
        <v>0</v>
      </c>
      <c r="D11" s="268">
        <v>110</v>
      </c>
      <c r="E11" s="268">
        <v>0</v>
      </c>
      <c r="F11" s="268">
        <v>0</v>
      </c>
      <c r="G11" s="268">
        <v>110</v>
      </c>
      <c r="H11" s="268">
        <v>0</v>
      </c>
      <c r="I11" s="268">
        <v>0</v>
      </c>
      <c r="J11" s="268">
        <v>110</v>
      </c>
      <c r="K11" s="268">
        <f t="shared" si="0"/>
        <v>0</v>
      </c>
      <c r="L11" s="268">
        <f t="shared" si="0"/>
        <v>0</v>
      </c>
      <c r="M11" s="279">
        <f t="shared" si="0"/>
        <v>0</v>
      </c>
      <c r="N11" s="51" t="s">
        <v>10</v>
      </c>
      <c r="P11" s="247"/>
    </row>
    <row r="12" spans="1:22" x14ac:dyDescent="0.2">
      <c r="A12" s="207" t="s">
        <v>372</v>
      </c>
      <c r="B12" s="268">
        <v>0</v>
      </c>
      <c r="C12" s="268">
        <v>0</v>
      </c>
      <c r="D12" s="268">
        <f>800+1000</f>
        <v>1800</v>
      </c>
      <c r="E12" s="268">
        <v>0</v>
      </c>
      <c r="F12" s="268">
        <v>0</v>
      </c>
      <c r="G12" s="268">
        <f>800+1000</f>
        <v>1800</v>
      </c>
      <c r="H12" s="268">
        <v>0</v>
      </c>
      <c r="I12" s="268">
        <v>0</v>
      </c>
      <c r="J12" s="268">
        <v>1800</v>
      </c>
      <c r="K12" s="268">
        <f t="shared" si="0"/>
        <v>0</v>
      </c>
      <c r="L12" s="268">
        <f t="shared" si="0"/>
        <v>0</v>
      </c>
      <c r="M12" s="279">
        <f t="shared" si="0"/>
        <v>0</v>
      </c>
      <c r="N12" s="51" t="s">
        <v>10</v>
      </c>
      <c r="P12" s="247"/>
    </row>
    <row r="13" spans="1:22" x14ac:dyDescent="0.2">
      <c r="A13" s="210" t="s">
        <v>243</v>
      </c>
      <c r="B13" s="296">
        <v>0</v>
      </c>
      <c r="C13" s="296">
        <v>0</v>
      </c>
      <c r="D13" s="296">
        <f>16000+3500+7344+1809</f>
        <v>28653</v>
      </c>
      <c r="E13" s="296">
        <v>0</v>
      </c>
      <c r="F13" s="296">
        <v>0</v>
      </c>
      <c r="G13" s="296">
        <f>16000+3500+7344-16500</f>
        <v>10344</v>
      </c>
      <c r="H13" s="296">
        <v>0</v>
      </c>
      <c r="I13" s="296">
        <v>0</v>
      </c>
      <c r="J13" s="296">
        <f>26844-16500</f>
        <v>10344</v>
      </c>
      <c r="K13" s="296">
        <f t="shared" si="0"/>
        <v>0</v>
      </c>
      <c r="L13" s="296">
        <f t="shared" si="0"/>
        <v>0</v>
      </c>
      <c r="M13" s="329">
        <f t="shared" si="0"/>
        <v>0</v>
      </c>
      <c r="N13" s="51" t="s">
        <v>10</v>
      </c>
      <c r="P13" s="247"/>
    </row>
    <row r="14" spans="1:22" ht="15.75" thickBot="1" x14ac:dyDescent="0.3">
      <c r="A14" s="21" t="s">
        <v>109</v>
      </c>
      <c r="B14" s="246">
        <f t="shared" ref="B14:M14" si="1">SUM(B3:B13)</f>
        <v>0</v>
      </c>
      <c r="C14" s="246">
        <f t="shared" si="1"/>
        <v>0</v>
      </c>
      <c r="D14" s="246">
        <f t="shared" si="1"/>
        <v>31309</v>
      </c>
      <c r="E14" s="246">
        <f t="shared" si="1"/>
        <v>0</v>
      </c>
      <c r="F14" s="246">
        <f t="shared" si="1"/>
        <v>0</v>
      </c>
      <c r="G14" s="246">
        <f t="shared" si="1"/>
        <v>13000</v>
      </c>
      <c r="H14" s="246">
        <f t="shared" si="1"/>
        <v>0</v>
      </c>
      <c r="I14" s="246">
        <f t="shared" si="1"/>
        <v>0</v>
      </c>
      <c r="J14" s="246">
        <f t="shared" si="1"/>
        <v>13000</v>
      </c>
      <c r="K14" s="246">
        <f t="shared" si="1"/>
        <v>0</v>
      </c>
      <c r="L14" s="246">
        <f t="shared" si="1"/>
        <v>0</v>
      </c>
      <c r="M14" s="245">
        <f t="shared" si="1"/>
        <v>0</v>
      </c>
      <c r="N14" s="51" t="s">
        <v>10</v>
      </c>
      <c r="P14" s="247"/>
    </row>
    <row r="15" spans="1:22" ht="15" thickBot="1" x14ac:dyDescent="0.25">
      <c r="N15" s="51" t="s">
        <v>10</v>
      </c>
      <c r="P15" s="247"/>
    </row>
    <row r="16" spans="1:22" ht="18" customHeight="1" x14ac:dyDescent="0.2">
      <c r="A16" s="585" t="s">
        <v>105</v>
      </c>
      <c r="B16" s="588" t="s">
        <v>133</v>
      </c>
      <c r="C16" s="588"/>
      <c r="D16" s="588"/>
      <c r="E16" s="588" t="s">
        <v>136</v>
      </c>
      <c r="F16" s="588"/>
      <c r="G16" s="588"/>
      <c r="H16" s="588" t="s">
        <v>130</v>
      </c>
      <c r="I16" s="588"/>
      <c r="J16" s="588"/>
      <c r="K16" s="588" t="s">
        <v>31</v>
      </c>
      <c r="L16" s="588"/>
      <c r="M16" s="589"/>
      <c r="N16" s="51" t="s">
        <v>10</v>
      </c>
      <c r="P16" s="247"/>
    </row>
    <row r="17" spans="1:16" ht="28.5" x14ac:dyDescent="0.25">
      <c r="A17" s="586"/>
      <c r="B17" s="235" t="s">
        <v>32</v>
      </c>
      <c r="C17" s="235" t="s">
        <v>33</v>
      </c>
      <c r="D17" s="235" t="s">
        <v>3</v>
      </c>
      <c r="E17" s="235" t="s">
        <v>32</v>
      </c>
      <c r="F17" s="235" t="s">
        <v>33</v>
      </c>
      <c r="G17" s="235" t="s">
        <v>3</v>
      </c>
      <c r="H17" s="235" t="s">
        <v>32</v>
      </c>
      <c r="I17" s="235" t="s">
        <v>33</v>
      </c>
      <c r="J17" s="235" t="s">
        <v>3</v>
      </c>
      <c r="K17" s="235" t="s">
        <v>32</v>
      </c>
      <c r="L17" s="235" t="s">
        <v>33</v>
      </c>
      <c r="M17" s="234" t="s">
        <v>3</v>
      </c>
      <c r="N17" s="51" t="s">
        <v>10</v>
      </c>
      <c r="P17" s="355"/>
    </row>
    <row r="18" spans="1:16" ht="15" x14ac:dyDescent="0.25">
      <c r="A18" s="210" t="s">
        <v>371</v>
      </c>
      <c r="B18" s="296">
        <v>0</v>
      </c>
      <c r="C18" s="296">
        <v>0</v>
      </c>
      <c r="D18" s="296">
        <f>G11</f>
        <v>110</v>
      </c>
      <c r="E18" s="296">
        <v>0</v>
      </c>
      <c r="F18" s="296">
        <v>0</v>
      </c>
      <c r="G18" s="296">
        <f>D18</f>
        <v>110</v>
      </c>
      <c r="H18" s="296">
        <v>0</v>
      </c>
      <c r="I18" s="296">
        <v>0</v>
      </c>
      <c r="J18" s="296">
        <f>G18</f>
        <v>110</v>
      </c>
      <c r="K18" s="296">
        <v>0</v>
      </c>
      <c r="L18" s="296">
        <v>0</v>
      </c>
      <c r="M18" s="329">
        <v>0</v>
      </c>
      <c r="N18" s="51" t="s">
        <v>10</v>
      </c>
      <c r="P18" s="355"/>
    </row>
    <row r="19" spans="1:16" ht="15" x14ac:dyDescent="0.25">
      <c r="A19" s="210" t="s">
        <v>279</v>
      </c>
      <c r="B19" s="296">
        <v>0</v>
      </c>
      <c r="C19" s="296">
        <v>0</v>
      </c>
      <c r="D19" s="296">
        <f>G10+G12</f>
        <v>2255</v>
      </c>
      <c r="E19" s="296">
        <v>0</v>
      </c>
      <c r="F19" s="296">
        <v>0</v>
      </c>
      <c r="G19" s="296">
        <f>D19</f>
        <v>2255</v>
      </c>
      <c r="H19" s="296">
        <v>0</v>
      </c>
      <c r="I19" s="296">
        <v>0</v>
      </c>
      <c r="J19" s="296">
        <f>G19</f>
        <v>2255</v>
      </c>
      <c r="K19" s="296">
        <v>0</v>
      </c>
      <c r="L19" s="296">
        <v>0</v>
      </c>
      <c r="M19" s="329">
        <v>0</v>
      </c>
      <c r="N19" s="51" t="s">
        <v>10</v>
      </c>
      <c r="P19" s="355"/>
    </row>
    <row r="20" spans="1:16" ht="15" x14ac:dyDescent="0.25">
      <c r="A20" s="207" t="s">
        <v>277</v>
      </c>
      <c r="B20" s="268">
        <v>0</v>
      </c>
      <c r="C20" s="268">
        <v>0</v>
      </c>
      <c r="D20" s="268">
        <f>G9</f>
        <v>291</v>
      </c>
      <c r="E20" s="268">
        <v>0</v>
      </c>
      <c r="F20" s="268">
        <v>0</v>
      </c>
      <c r="G20" s="268">
        <f>D20</f>
        <v>291</v>
      </c>
      <c r="H20" s="268">
        <v>0</v>
      </c>
      <c r="I20" s="268">
        <v>0</v>
      </c>
      <c r="J20" s="268">
        <f>G20</f>
        <v>291</v>
      </c>
      <c r="K20" s="268">
        <f t="shared" ref="K20:M21" si="2">H20-E20</f>
        <v>0</v>
      </c>
      <c r="L20" s="268">
        <f t="shared" si="2"/>
        <v>0</v>
      </c>
      <c r="M20" s="279">
        <f t="shared" si="2"/>
        <v>0</v>
      </c>
      <c r="N20" s="51" t="s">
        <v>10</v>
      </c>
      <c r="P20" s="244"/>
    </row>
    <row r="21" spans="1:16" x14ac:dyDescent="0.2">
      <c r="A21" s="207" t="s">
        <v>226</v>
      </c>
      <c r="B21" s="268">
        <v>0</v>
      </c>
      <c r="C21" s="268">
        <v>0</v>
      </c>
      <c r="D21" s="268">
        <v>28653</v>
      </c>
      <c r="E21" s="268">
        <v>0</v>
      </c>
      <c r="F21" s="268">
        <v>0</v>
      </c>
      <c r="G21" s="268">
        <v>10344</v>
      </c>
      <c r="H21" s="268">
        <v>0</v>
      </c>
      <c r="I21" s="268">
        <v>0</v>
      </c>
      <c r="J21" s="268">
        <f>G21</f>
        <v>10344</v>
      </c>
      <c r="K21" s="268">
        <f t="shared" si="2"/>
        <v>0</v>
      </c>
      <c r="L21" s="268">
        <f t="shared" si="2"/>
        <v>0</v>
      </c>
      <c r="M21" s="279">
        <f t="shared" si="2"/>
        <v>0</v>
      </c>
      <c r="N21" s="51" t="s">
        <v>10</v>
      </c>
      <c r="P21" s="247"/>
    </row>
    <row r="22" spans="1:16" ht="15.75" thickBot="1" x14ac:dyDescent="0.3">
      <c r="A22" s="21" t="s">
        <v>109</v>
      </c>
      <c r="B22" s="246">
        <f t="shared" ref="B22:M22" si="3">SUM(B18:B21)</f>
        <v>0</v>
      </c>
      <c r="C22" s="246">
        <f t="shared" si="3"/>
        <v>0</v>
      </c>
      <c r="D22" s="246">
        <f t="shared" si="3"/>
        <v>31309</v>
      </c>
      <c r="E22" s="246">
        <f t="shared" si="3"/>
        <v>0</v>
      </c>
      <c r="F22" s="246">
        <f t="shared" si="3"/>
        <v>0</v>
      </c>
      <c r="G22" s="246">
        <f t="shared" si="3"/>
        <v>13000</v>
      </c>
      <c r="H22" s="246">
        <f t="shared" si="3"/>
        <v>0</v>
      </c>
      <c r="I22" s="246">
        <f t="shared" si="3"/>
        <v>0</v>
      </c>
      <c r="J22" s="246">
        <f t="shared" si="3"/>
        <v>13000</v>
      </c>
      <c r="K22" s="246">
        <f t="shared" si="3"/>
        <v>0</v>
      </c>
      <c r="L22" s="246">
        <f t="shared" si="3"/>
        <v>0</v>
      </c>
      <c r="M22" s="245">
        <f t="shared" si="3"/>
        <v>0</v>
      </c>
      <c r="N22" s="51" t="s">
        <v>10</v>
      </c>
      <c r="P22" s="244"/>
    </row>
    <row r="23" spans="1:16" x14ac:dyDescent="0.2">
      <c r="N23" s="51" t="s">
        <v>10</v>
      </c>
      <c r="P23" s="247"/>
    </row>
    <row r="24" spans="1:16" x14ac:dyDescent="0.2">
      <c r="N24" s="51" t="s">
        <v>11</v>
      </c>
      <c r="P24" s="247"/>
    </row>
    <row r="29" spans="1:16" x14ac:dyDescent="0.2">
      <c r="M29" s="143" t="s">
        <v>186</v>
      </c>
    </row>
  </sheetData>
  <customSheetViews>
    <customSheetView guid="{EE916FE7-61FB-4021-ADDD-E082241FC03C}" scale="80" showPageBreaks="1" printArea="1" view="pageBreakPreview">
      <selection activeCell="D14" sqref="D14"/>
      <pageMargins left="0.7" right="0.7" top="0.75" bottom="0.75" header="0.3" footer="0.3"/>
      <printOptions horizontalCentered="1"/>
      <pageSetup scale="70" orientation="landscape" r:id="rId1"/>
      <headerFooter>
        <oddHeader>&amp;L&amp;"Arial,Bold"&amp;12H. Summary of Reimbursable Resources</oddHeader>
        <oddFooter>&amp;C&amp;"Arial,Regular"Exhibit H - Summary of Reimbursable Resources</oddFooter>
      </headerFooter>
    </customSheetView>
    <customSheetView guid="{0BB5DC4B-BC2A-4489-BE17-5E267FA1EF63}" scale="80" showPageBreaks="1" printArea="1" view="pageBreakPreview">
      <selection activeCell="D14" sqref="D14"/>
      <pageMargins left="0.7" right="0.7" top="0.75" bottom="0.75" header="0.3" footer="0.3"/>
      <printOptions horizontalCentered="1"/>
      <pageSetup scale="70" orientation="landscape" r:id="rId2"/>
      <headerFooter>
        <oddHeader>&amp;L&amp;"Arial,Bold"&amp;12H. Summary of Reimbursable Resources</oddHeader>
        <oddFooter>&amp;C&amp;"Arial,Regular"Exhibit H - Summary of Reimbursable Resources</oddFooter>
      </headerFooter>
    </customSheetView>
    <customSheetView guid="{6C58FFE1-D756-42C4-A1BC-AA7F1DC1E56F}" scale="80" showPageBreaks="1" printArea="1" view="pageBreakPreview" topLeftCell="B21">
      <selection activeCell="E26" sqref="E26"/>
      <pageMargins left="0.7" right="0.7" top="0.75" bottom="0.75" header="0.3" footer="0.3"/>
      <printOptions horizontalCentered="1"/>
      <pageSetup scale="70" orientation="landscape" r:id="rId3"/>
      <headerFooter>
        <oddHeader>&amp;L&amp;"Arial,Bold"&amp;12H. Summary of Reimbursable Resources</oddHeader>
        <oddFooter>&amp;C&amp;"Arial,Regular"Exhibit H - Summary of Reimbursable Resources&amp;RState and Local Law Enforcement Assistance</oddFooter>
      </headerFooter>
    </customSheetView>
    <customSheetView guid="{CFA5D1C9-F4C9-4B8D-923D-4C71CB6E7D3B}" scale="80" showPageBreaks="1" printArea="1" view="pageBreakPreview">
      <selection activeCell="D14" sqref="D14"/>
      <pageMargins left="0.7" right="0.7" top="0.75" bottom="0.75" header="0.3" footer="0.3"/>
      <printOptions horizontalCentered="1"/>
      <pageSetup scale="70" orientation="landscape" r:id="rId4"/>
      <headerFooter>
        <oddHeader>&amp;L&amp;"Arial,Bold"&amp;12H. Summary of Reimbursable Resources</oddHeader>
        <oddFooter>&amp;C&amp;"Arial,Regular"Exhibit H - Summary of Reimbursable Resources</oddFooter>
      </headerFooter>
    </customSheetView>
    <customSheetView guid="{A788DF77-74F1-49E4-8B34-BFBDB7664F30}" scale="80" showPageBreaks="1" printArea="1" view="pageBreakPreview" topLeftCell="A4">
      <selection activeCell="E26" sqref="E26"/>
      <pageMargins left="0.7" right="0.7" top="0.75" bottom="0.75" header="0.3" footer="0.3"/>
      <printOptions horizontalCentered="1"/>
      <pageSetup scale="70" orientation="landscape" r:id="rId5"/>
      <headerFooter>
        <oddHeader>&amp;L&amp;"Arial,Bold"&amp;12H. Summary of Reimbursable Resources</oddHeader>
        <oddFooter>&amp;C&amp;"Arial,Regular"Exhibit H - Summary of Reimbursable Resources&amp;R&amp;"Arial,Regular"State and Local Law Enforcement Assistance</oddFooter>
      </headerFooter>
    </customSheetView>
  </customSheetViews>
  <mergeCells count="16">
    <mergeCell ref="A7:A8"/>
    <mergeCell ref="B7:D7"/>
    <mergeCell ref="E7:G7"/>
    <mergeCell ref="H7:J7"/>
    <mergeCell ref="K7:M7"/>
    <mergeCell ref="A16:A17"/>
    <mergeCell ref="B16:D16"/>
    <mergeCell ref="E16:G16"/>
    <mergeCell ref="H16:J16"/>
    <mergeCell ref="K16:M16"/>
    <mergeCell ref="A6:M6"/>
    <mergeCell ref="A1:M1"/>
    <mergeCell ref="A2:M2"/>
    <mergeCell ref="A3:M3"/>
    <mergeCell ref="A4:M4"/>
    <mergeCell ref="A5:M5"/>
  </mergeCells>
  <printOptions horizontalCentered="1"/>
  <pageMargins left="0.7" right="0.7" top="0.75" bottom="0.75" header="0.3" footer="0.3"/>
  <pageSetup scale="70" orientation="landscape" r:id="rId6"/>
  <headerFooter>
    <oddHeader>&amp;L&amp;"Arial,Bold"&amp;12H. Summary of Reimbursable Resources</oddHeader>
    <oddFooter>&amp;C&amp;"Arial,Regular"Exhibit H - Summary of Reimbursable Resources&amp;R&amp;"Arial,Regular"State and Local Law Enforcement Assistance</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6"/>
  <sheetViews>
    <sheetView view="pageBreakPreview" topLeftCell="A43" zoomScale="70" zoomScaleNormal="100" zoomScaleSheetLayoutView="70" workbookViewId="0">
      <selection activeCell="R43" sqref="R43"/>
    </sheetView>
  </sheetViews>
  <sheetFormatPr defaultRowHeight="14.25" x14ac:dyDescent="0.2"/>
  <cols>
    <col min="1" max="1" width="63.5703125" style="143" customWidth="1"/>
    <col min="2" max="2" width="8.7109375" style="143" customWidth="1"/>
    <col min="3" max="3" width="12.7109375" style="143" customWidth="1"/>
    <col min="4" max="4" width="8.7109375" style="143" customWidth="1"/>
    <col min="5" max="5" width="12.7109375" style="143" customWidth="1"/>
    <col min="6" max="6" width="8.7109375" style="143" customWidth="1"/>
    <col min="7" max="7" width="12.7109375" style="143" customWidth="1"/>
    <col min="8" max="8" width="8.7109375" style="143" customWidth="1"/>
    <col min="9" max="9" width="12.7109375" style="143" customWidth="1"/>
    <col min="10" max="10" width="8.7109375" style="143" customWidth="1"/>
    <col min="11" max="11" width="12.7109375" style="143" customWidth="1"/>
    <col min="12" max="12" width="8.7109375" style="143" customWidth="1"/>
    <col min="13" max="15" width="12.7109375" style="143" customWidth="1"/>
    <col min="16" max="16" width="14" style="4" bestFit="1" customWidth="1"/>
    <col min="17" max="17" width="4.5703125" style="143" customWidth="1"/>
    <col min="18" max="18" width="122.85546875" style="143" customWidth="1"/>
    <col min="19" max="20" width="8.28515625" style="143" customWidth="1"/>
    <col min="21" max="21" width="12.7109375" style="143" customWidth="1"/>
    <col min="22" max="23" width="8.28515625" style="143" customWidth="1"/>
    <col min="24" max="24" width="12.7109375" style="143" customWidth="1"/>
    <col min="25" max="16384" width="9.140625" style="143"/>
  </cols>
  <sheetData>
    <row r="1" spans="1:24" ht="18" x14ac:dyDescent="0.25">
      <c r="A1" s="577" t="s">
        <v>253</v>
      </c>
      <c r="B1" s="577"/>
      <c r="C1" s="577"/>
      <c r="D1" s="577"/>
      <c r="E1" s="577"/>
      <c r="F1" s="577"/>
      <c r="G1" s="577"/>
      <c r="H1" s="577"/>
      <c r="I1" s="577"/>
      <c r="J1" s="577"/>
      <c r="K1" s="577"/>
      <c r="L1" s="577"/>
      <c r="M1" s="577"/>
      <c r="N1" s="577"/>
      <c r="O1" s="577"/>
      <c r="P1" s="51" t="s">
        <v>10</v>
      </c>
      <c r="Q1" s="6"/>
      <c r="R1" s="199"/>
      <c r="S1" s="6"/>
      <c r="T1" s="6"/>
      <c r="U1" s="6"/>
      <c r="V1" s="6"/>
      <c r="W1" s="6"/>
      <c r="X1" s="6"/>
    </row>
    <row r="2" spans="1:24" ht="15" x14ac:dyDescent="0.2">
      <c r="A2" s="578" t="s">
        <v>152</v>
      </c>
      <c r="B2" s="578"/>
      <c r="C2" s="578"/>
      <c r="D2" s="578"/>
      <c r="E2" s="578"/>
      <c r="F2" s="578"/>
      <c r="G2" s="578"/>
      <c r="H2" s="578"/>
      <c r="I2" s="578"/>
      <c r="J2" s="578"/>
      <c r="K2" s="578"/>
      <c r="L2" s="578"/>
      <c r="M2" s="578"/>
      <c r="N2" s="578"/>
      <c r="O2" s="578"/>
      <c r="P2" s="51" t="s">
        <v>10</v>
      </c>
      <c r="Q2" s="7"/>
      <c r="R2" s="198"/>
      <c r="S2" s="7"/>
      <c r="T2" s="7"/>
      <c r="U2" s="7"/>
      <c r="V2" s="7"/>
      <c r="W2" s="7"/>
      <c r="X2" s="7"/>
    </row>
    <row r="3" spans="1:24" x14ac:dyDescent="0.2">
      <c r="A3" s="579" t="s">
        <v>282</v>
      </c>
      <c r="B3" s="579"/>
      <c r="C3" s="579"/>
      <c r="D3" s="579"/>
      <c r="E3" s="579"/>
      <c r="F3" s="579"/>
      <c r="G3" s="579"/>
      <c r="H3" s="579"/>
      <c r="I3" s="579"/>
      <c r="J3" s="579"/>
      <c r="K3" s="579"/>
      <c r="L3" s="579"/>
      <c r="M3" s="579"/>
      <c r="N3" s="579"/>
      <c r="O3" s="579"/>
      <c r="P3" s="51" t="s">
        <v>10</v>
      </c>
      <c r="Q3" s="163"/>
      <c r="R3" s="198"/>
      <c r="S3" s="163"/>
      <c r="T3" s="163"/>
      <c r="U3" s="163"/>
      <c r="V3" s="163"/>
      <c r="W3" s="163"/>
      <c r="X3" s="163"/>
    </row>
    <row r="4" spans="1:24" x14ac:dyDescent="0.2">
      <c r="A4" s="608" t="s">
        <v>1</v>
      </c>
      <c r="B4" s="608"/>
      <c r="C4" s="608"/>
      <c r="D4" s="608"/>
      <c r="E4" s="608"/>
      <c r="F4" s="608"/>
      <c r="G4" s="608"/>
      <c r="H4" s="608"/>
      <c r="I4" s="608"/>
      <c r="J4" s="608"/>
      <c r="K4" s="608"/>
      <c r="L4" s="608"/>
      <c r="M4" s="608"/>
      <c r="N4" s="608"/>
      <c r="O4" s="608"/>
      <c r="P4" s="51" t="s">
        <v>10</v>
      </c>
      <c r="Q4" s="162"/>
      <c r="R4" s="198"/>
      <c r="S4" s="162"/>
      <c r="T4" s="162"/>
      <c r="U4" s="162"/>
      <c r="V4" s="162"/>
      <c r="W4" s="162"/>
      <c r="X4" s="162"/>
    </row>
    <row r="5" spans="1:24" ht="15" x14ac:dyDescent="0.25">
      <c r="A5" s="608"/>
      <c r="B5" s="608"/>
      <c r="C5" s="608"/>
      <c r="D5" s="608"/>
      <c r="E5" s="608"/>
      <c r="F5" s="608"/>
      <c r="G5" s="608"/>
      <c r="H5" s="608"/>
      <c r="I5" s="608"/>
      <c r="J5" s="608"/>
      <c r="K5" s="608"/>
      <c r="L5" s="608"/>
      <c r="M5" s="608"/>
      <c r="N5" s="181"/>
      <c r="O5" s="181"/>
      <c r="P5" s="51" t="s">
        <v>10</v>
      </c>
      <c r="Q5" s="162"/>
      <c r="R5" s="241"/>
      <c r="S5" s="162"/>
      <c r="T5" s="162"/>
      <c r="U5" s="162"/>
      <c r="V5" s="162"/>
      <c r="W5" s="162"/>
      <c r="X5" s="162"/>
    </row>
    <row r="6" spans="1:24" ht="15" x14ac:dyDescent="0.2">
      <c r="A6" s="649"/>
      <c r="B6" s="636" t="s">
        <v>282</v>
      </c>
      <c r="C6" s="652"/>
      <c r="D6" s="652"/>
      <c r="E6" s="652"/>
      <c r="F6" s="652"/>
      <c r="G6" s="652"/>
      <c r="H6" s="653"/>
      <c r="I6" s="653"/>
      <c r="J6" s="653"/>
      <c r="K6" s="653"/>
      <c r="L6" s="653"/>
      <c r="M6" s="653"/>
      <c r="N6" s="653"/>
      <c r="O6" s="639"/>
      <c r="P6" s="51" t="s">
        <v>10</v>
      </c>
      <c r="R6" s="247"/>
    </row>
    <row r="7" spans="1:24" ht="15" customHeight="1" x14ac:dyDescent="0.2">
      <c r="A7" s="650"/>
      <c r="B7" s="636" t="s">
        <v>378</v>
      </c>
      <c r="C7" s="639"/>
      <c r="D7" s="636" t="s">
        <v>378</v>
      </c>
      <c r="E7" s="639"/>
      <c r="F7" s="636" t="s">
        <v>378</v>
      </c>
      <c r="G7" s="639"/>
      <c r="H7" s="636" t="s">
        <v>378</v>
      </c>
      <c r="I7" s="639"/>
      <c r="J7" s="636" t="s">
        <v>378</v>
      </c>
      <c r="K7" s="639"/>
      <c r="L7" s="636" t="s">
        <v>378</v>
      </c>
      <c r="M7" s="639"/>
      <c r="N7" s="636" t="s">
        <v>378</v>
      </c>
      <c r="O7" s="639"/>
      <c r="P7" s="51" t="s">
        <v>10</v>
      </c>
      <c r="R7" s="247"/>
    </row>
    <row r="8" spans="1:24" ht="47.25" customHeight="1" x14ac:dyDescent="0.2">
      <c r="A8" s="650"/>
      <c r="B8" s="636" t="s">
        <v>279</v>
      </c>
      <c r="C8" s="637"/>
      <c r="D8" s="636" t="s">
        <v>278</v>
      </c>
      <c r="E8" s="637"/>
      <c r="F8" s="636" t="s">
        <v>354</v>
      </c>
      <c r="G8" s="639"/>
      <c r="H8" s="636" t="s">
        <v>383</v>
      </c>
      <c r="I8" s="639"/>
      <c r="J8" s="636" t="s">
        <v>382</v>
      </c>
      <c r="K8" s="639"/>
      <c r="L8" s="636" t="s">
        <v>277</v>
      </c>
      <c r="M8" s="637"/>
      <c r="N8" s="636" t="s">
        <v>276</v>
      </c>
      <c r="O8" s="637"/>
      <c r="P8" s="51" t="s">
        <v>10</v>
      </c>
      <c r="R8" s="247"/>
    </row>
    <row r="9" spans="1:24" ht="28.5" x14ac:dyDescent="0.2">
      <c r="A9" s="651"/>
      <c r="B9" s="235" t="s">
        <v>2</v>
      </c>
      <c r="C9" s="235" t="s">
        <v>3</v>
      </c>
      <c r="D9" s="235" t="s">
        <v>2</v>
      </c>
      <c r="E9" s="235" t="s">
        <v>3</v>
      </c>
      <c r="F9" s="235" t="s">
        <v>2</v>
      </c>
      <c r="G9" s="235" t="s">
        <v>3</v>
      </c>
      <c r="H9" s="235" t="s">
        <v>2</v>
      </c>
      <c r="I9" s="235" t="s">
        <v>3</v>
      </c>
      <c r="J9" s="235" t="s">
        <v>2</v>
      </c>
      <c r="K9" s="235" t="s">
        <v>3</v>
      </c>
      <c r="L9" s="235" t="s">
        <v>2</v>
      </c>
      <c r="M9" s="235" t="s">
        <v>3</v>
      </c>
      <c r="N9" s="235" t="s">
        <v>2</v>
      </c>
      <c r="O9" s="235" t="s">
        <v>3</v>
      </c>
      <c r="P9" s="51" t="s">
        <v>10</v>
      </c>
      <c r="R9" s="247"/>
    </row>
    <row r="10" spans="1:24" x14ac:dyDescent="0.2">
      <c r="A10" s="297" t="s">
        <v>68</v>
      </c>
      <c r="B10" s="296"/>
      <c r="C10" s="296">
        <f>('K. Summary by OC - S&amp;L'!$C$18/'K. Summary by OC - S&amp;L'!$C$37)*'C. Program Changes by DU - S&amp;L'!$J$8</f>
        <v>2.1202672102089454E-2</v>
      </c>
      <c r="D10" s="296"/>
      <c r="E10" s="296">
        <f>('K. Summary by OC - S&amp;L'!$C$18/'K. Summary by OC - S&amp;L'!$C$37)*'C. Program Changes by DU - S&amp;L'!$J$9</f>
        <v>0.26856717995979973</v>
      </c>
      <c r="F10" s="296"/>
      <c r="G10" s="296">
        <f>('K. Summary by OC - S&amp;L'!$C$18/'K. Summary by OC - S&amp;L'!$C$37)*'C. Program Changes by DU - S&amp;L'!$J$10</f>
        <v>0.21202672102089454</v>
      </c>
      <c r="H10" s="296"/>
      <c r="I10" s="296">
        <f>('K. Summary by OC - S&amp;L'!$C$18/'K. Summary by OC - S&amp;L'!$C$37)*'C. Program Changes by DU - S&amp;L'!$J$11</f>
        <v>7.0675573673631503E-2</v>
      </c>
      <c r="J10" s="296"/>
      <c r="K10" s="296">
        <f>('K. Summary by OC - S&amp;L'!$C$18/'K. Summary by OC - S&amp;L'!$C$37)*'C. Program Changes by DU - S&amp;L'!$J$12</f>
        <v>0.49472901571542055</v>
      </c>
      <c r="L10" s="296"/>
      <c r="M10" s="296">
        <f>('K. Summary by OC - S&amp;L'!$C$18/'K. Summary by OC - S&amp;L'!$C$37)*'C. Program Changes by DU - S&amp;L'!$J$13</f>
        <v>0.21202672102089454</v>
      </c>
      <c r="N10" s="296"/>
      <c r="O10" s="296">
        <f>('K. Summary by OC - S&amp;L'!$C$18/'K. Summary by OC - S&amp;L'!$C$37)*'C. Program Changes by DU - S&amp;L'!$J$14</f>
        <v>7.0675573673631503E-2</v>
      </c>
      <c r="P10" s="51" t="s">
        <v>10</v>
      </c>
      <c r="R10" s="247"/>
    </row>
    <row r="11" spans="1:24" x14ac:dyDescent="0.2">
      <c r="A11" s="297" t="s">
        <v>72</v>
      </c>
      <c r="B11" s="296"/>
      <c r="C11" s="296">
        <f>('K. Summary by OC - S&amp;L'!$C$23/'K. Summary by OC - S&amp;L'!$C$37)*'C. Program Changes by DU - S&amp;L'!$J$8</f>
        <v>-0.98097696259000533</v>
      </c>
      <c r="D11" s="296"/>
      <c r="E11" s="296">
        <f>('K. Summary by OC - S&amp;L'!$C$23/'K. Summary by OC - S&amp;L'!$C$37)*'C. Program Changes by DU - S&amp;L'!$J$9</f>
        <v>-12.425708192806734</v>
      </c>
      <c r="F11" s="296"/>
      <c r="G11" s="296">
        <f>('K. Summary by OC - S&amp;L'!$C$23/'K. Summary by OC - S&amp;L'!$C$37)*'C. Program Changes by DU - S&amp;L'!$J$10</f>
        <v>-9.8097696259000529</v>
      </c>
      <c r="H11" s="296"/>
      <c r="I11" s="296">
        <f>('K. Summary by OC - S&amp;L'!$C$23/'K. Summary by OC - S&amp;L'!$C$37)*'C. Program Changes by DU - S&amp;L'!$J$11</f>
        <v>-3.269923208633351</v>
      </c>
      <c r="J11" s="296"/>
      <c r="K11" s="296">
        <f>('K. Summary by OC - S&amp;L'!$C$23/'K. Summary by OC - S&amp;L'!$C$37)*'C. Program Changes by DU - S&amp;L'!$J$12</f>
        <v>-22.889462460433457</v>
      </c>
      <c r="L11" s="296"/>
      <c r="M11" s="296">
        <f>('K. Summary by OC - S&amp;L'!$C$23/'K. Summary by OC - S&amp;L'!$C$37)*'C. Program Changes by DU - S&amp;L'!$J$13</f>
        <v>-9.8097696259000529</v>
      </c>
      <c r="N11" s="296"/>
      <c r="O11" s="296">
        <f>('K. Summary by OC - S&amp;L'!$C$23/'K. Summary by OC - S&amp;L'!$C$37)*'C. Program Changes by DU - S&amp;L'!$J$14</f>
        <v>-3.269923208633351</v>
      </c>
      <c r="P11" s="51" t="s">
        <v>10</v>
      </c>
      <c r="R11" s="247"/>
    </row>
    <row r="12" spans="1:24" x14ac:dyDescent="0.2">
      <c r="A12" s="297" t="s">
        <v>73</v>
      </c>
      <c r="B12" s="296"/>
      <c r="C12" s="296">
        <f>('K. Summary by OC - S&amp;L'!$C$24/'K. Summary by OC - S&amp;L'!$C$37)*'C. Program Changes by DU - S&amp;L'!$J$8</f>
        <v>27.690689765328823</v>
      </c>
      <c r="D12" s="296"/>
      <c r="E12" s="296">
        <f>('K. Summary by OC - S&amp;L'!$C$24/'K. Summary by OC - S&amp;L'!$C$37)*'C. Program Changes by DU - S&amp;L'!$J$9</f>
        <v>350.74873702749841</v>
      </c>
      <c r="F12" s="296"/>
      <c r="G12" s="296">
        <f>('K. Summary by OC - S&amp;L'!$C$24/'K. Summary by OC - S&amp;L'!$C$37)*'C. Program Changes by DU - S&amp;L'!$J$10</f>
        <v>276.90689765328824</v>
      </c>
      <c r="H12" s="296"/>
      <c r="I12" s="296">
        <f>('K. Summary by OC - S&amp;L'!$C$24/'K. Summary by OC - S&amp;L'!$C$37)*'C. Program Changes by DU - S&amp;L'!$J$11</f>
        <v>92.302299217762751</v>
      </c>
      <c r="J12" s="296"/>
      <c r="K12" s="296">
        <f>('K. Summary by OC - S&amp;L'!$C$24/'K. Summary by OC - S&amp;L'!$C$37)*'C. Program Changes by DU - S&amp;L'!$J$12</f>
        <v>646.11609452433925</v>
      </c>
      <c r="L12" s="296"/>
      <c r="M12" s="296">
        <f>('K. Summary by OC - S&amp;L'!$C$24/'K. Summary by OC - S&amp;L'!$C$37)*'C. Program Changes by DU - S&amp;L'!$J$13</f>
        <v>276.90689765328824</v>
      </c>
      <c r="N12" s="296"/>
      <c r="O12" s="296">
        <f>('K. Summary by OC - S&amp;L'!$C$24/'K. Summary by OC - S&amp;L'!$C$37)*'C. Program Changes by DU - S&amp;L'!$J$14</f>
        <v>92.302299217762751</v>
      </c>
      <c r="P12" s="51" t="s">
        <v>10</v>
      </c>
      <c r="R12" s="247"/>
    </row>
    <row r="13" spans="1:24" x14ac:dyDescent="0.2">
      <c r="A13" s="297" t="s">
        <v>74</v>
      </c>
      <c r="B13" s="296"/>
      <c r="C13" s="296">
        <f>('K. Summary by OC - S&amp;L'!$C$25/'K. Summary by OC - S&amp;L'!$C$37)*'C. Program Changes by DU - S&amp;L'!$J$8</f>
        <v>1.0318633756350202</v>
      </c>
      <c r="D13" s="296"/>
      <c r="E13" s="296">
        <f>('K. Summary by OC - S&amp;L'!$C$25/'K. Summary by OC - S&amp;L'!$C$37)*'C. Program Changes by DU - S&amp;L'!$J$9</f>
        <v>13.070269424710254</v>
      </c>
      <c r="F13" s="296"/>
      <c r="G13" s="296">
        <f>('K. Summary by OC - S&amp;L'!$C$25/'K. Summary by OC - S&amp;L'!$C$37)*'C. Program Changes by DU - S&amp;L'!$J$10</f>
        <v>10.3186337563502</v>
      </c>
      <c r="H13" s="296"/>
      <c r="I13" s="296">
        <f>('K. Summary by OC - S&amp;L'!$C$25/'K. Summary by OC - S&amp;L'!$C$37)*'C. Program Changes by DU - S&amp;L'!$J$11</f>
        <v>3.4395445854500668</v>
      </c>
      <c r="J13" s="296"/>
      <c r="K13" s="296">
        <f>('K. Summary by OC - S&amp;L'!$C$25/'K. Summary by OC - S&amp;L'!$C$37)*'C. Program Changes by DU - S&amp;L'!$J$12</f>
        <v>24.076812098150469</v>
      </c>
      <c r="L13" s="296"/>
      <c r="M13" s="296">
        <f>('K. Summary by OC - S&amp;L'!$C$25/'K. Summary by OC - S&amp;L'!$C$37)*'C. Program Changes by DU - S&amp;L'!$J$13</f>
        <v>10.3186337563502</v>
      </c>
      <c r="N13" s="296"/>
      <c r="O13" s="296">
        <f>('K. Summary by OC - S&amp;L'!$C$25/'K. Summary by OC - S&amp;L'!$C$37)*'C. Program Changes by DU - S&amp;L'!$J$14</f>
        <v>3.4395445854500668</v>
      </c>
      <c r="P13" s="51" t="s">
        <v>10</v>
      </c>
      <c r="R13" s="247"/>
    </row>
    <row r="14" spans="1:24" x14ac:dyDescent="0.2">
      <c r="A14" s="297" t="s">
        <v>75</v>
      </c>
      <c r="B14" s="296"/>
      <c r="C14" s="296">
        <f>('K. Summary by OC - S&amp;L'!$C$26/'K. Summary by OC - S&amp;L'!$C$37)*'C. Program Changes by DU - S&amp;L'!$J$8</f>
        <v>128.26485812585341</v>
      </c>
      <c r="D14" s="296"/>
      <c r="E14" s="296">
        <f>('K. Summary by OC - S&amp;L'!$C$26/'K. Summary by OC - S&amp;L'!$C$37)*'C. Program Changes by DU - S&amp;L'!$J$9</f>
        <v>1624.6882029274766</v>
      </c>
      <c r="F14" s="296"/>
      <c r="G14" s="296">
        <f>('K. Summary by OC - S&amp;L'!$C$26/'K. Summary by OC - S&amp;L'!$C$37)*'C. Program Changes by DU - S&amp;L'!$J$10</f>
        <v>1282.648581258534</v>
      </c>
      <c r="H14" s="296"/>
      <c r="I14" s="296">
        <f>('K. Summary by OC - S&amp;L'!$C$26/'K. Summary by OC - S&amp;L'!$C$37)*'C. Program Changes by DU - S&amp;L'!$J$11</f>
        <v>427.54952708617805</v>
      </c>
      <c r="J14" s="296"/>
      <c r="K14" s="296">
        <f>('K. Summary by OC - S&amp;L'!$C$26/'K. Summary by OC - S&amp;L'!$C$37)*'C. Program Changes by DU - S&amp;L'!$J$12</f>
        <v>2992.846689603246</v>
      </c>
      <c r="L14" s="296"/>
      <c r="M14" s="296">
        <f>('K. Summary by OC - S&amp;L'!$C$26/'K. Summary by OC - S&amp;L'!$C$37)*'C. Program Changes by DU - S&amp;L'!$J$13</f>
        <v>1282.648581258534</v>
      </c>
      <c r="N14" s="296"/>
      <c r="O14" s="296">
        <f>('K. Summary by OC - S&amp;L'!$C$26/'K. Summary by OC - S&amp;L'!$C$37)*'C. Program Changes by DU - S&amp;L'!$J$14</f>
        <v>427.54952708617805</v>
      </c>
      <c r="P14" s="51" t="s">
        <v>10</v>
      </c>
      <c r="R14" s="247"/>
    </row>
    <row r="15" spans="1:24" x14ac:dyDescent="0.2">
      <c r="A15" s="297" t="s">
        <v>80</v>
      </c>
      <c r="B15" s="296"/>
      <c r="C15" s="296">
        <f>('K. Summary by OC - S&amp;L'!$C$32/'K. Summary by OC - S&amp;L'!$C$37)*'C. Program Changes by DU - S&amp;L'!$J$8</f>
        <v>4.2405344204178904E-3</v>
      </c>
      <c r="D15" s="296"/>
      <c r="E15" s="296">
        <f>('K. Summary by OC - S&amp;L'!$C$32/'K. Summary by OC - S&amp;L'!$C$37)*'C. Program Changes by DU - S&amp;L'!$J$9</f>
        <v>5.3713435991959942E-2</v>
      </c>
      <c r="F15" s="296"/>
      <c r="G15" s="296">
        <f>('K. Summary by OC - S&amp;L'!$C$32/'K. Summary by OC - S&amp;L'!$C$37)*'C. Program Changes by DU - S&amp;L'!$J$10</f>
        <v>4.2405344204178901E-2</v>
      </c>
      <c r="H15" s="296"/>
      <c r="I15" s="296">
        <f>('K. Summary by OC - S&amp;L'!$C$32/'K. Summary by OC - S&amp;L'!$C$37)*'C. Program Changes by DU - S&amp;L'!$J$11</f>
        <v>1.4135114734726301E-2</v>
      </c>
      <c r="J15" s="296"/>
      <c r="K15" s="296">
        <f>('K. Summary by OC - S&amp;L'!$C$32/'K. Summary by OC - S&amp;L'!$C$37)*'C. Program Changes by DU - S&amp;L'!$J$12</f>
        <v>9.8945803143084113E-2</v>
      </c>
      <c r="L15" s="296"/>
      <c r="M15" s="296">
        <f>('K. Summary by OC - S&amp;L'!$C$32/'K. Summary by OC - S&amp;L'!$C$37)*'C. Program Changes by DU - S&amp;L'!$J$13</f>
        <v>4.2405344204178901E-2</v>
      </c>
      <c r="N15" s="296"/>
      <c r="O15" s="296">
        <f>('K. Summary by OC - S&amp;L'!$C$32/'K. Summary by OC - S&amp;L'!$C$37)*'C. Program Changes by DU - S&amp;L'!$J$14</f>
        <v>1.4135114734726301E-2</v>
      </c>
      <c r="P15" s="51" t="s">
        <v>10</v>
      </c>
      <c r="R15" s="247"/>
    </row>
    <row r="16" spans="1:24" x14ac:dyDescent="0.2">
      <c r="A16" s="357" t="s">
        <v>83</v>
      </c>
      <c r="B16" s="291"/>
      <c r="C16" s="291">
        <f>('K. Summary by OC - S&amp;L'!$C$35/'K. Summary by OC - S&amp;L'!$C$37)*'C. Program Changes by DU - S&amp;L'!$J$8</f>
        <v>1343.9681224892504</v>
      </c>
      <c r="D16" s="291"/>
      <c r="E16" s="291">
        <f>('K. Summary by OC - S&amp;L'!$C$35/'K. Summary by OC - S&amp;L'!$C$37)*'C. Program Changes by DU - S&amp;L'!$J$9</f>
        <v>17023.59621819717</v>
      </c>
      <c r="F16" s="291"/>
      <c r="G16" s="291">
        <f>('K. Summary by OC - S&amp;L'!$C$35/'K. Summary by OC - S&amp;L'!$C$37)*'C. Program Changes by DU - S&amp;L'!$J$10</f>
        <v>13439.681224892503</v>
      </c>
      <c r="H16" s="291"/>
      <c r="I16" s="291">
        <f>('K. Summary by OC - S&amp;L'!$C$35/'K. Summary by OC - S&amp;L'!$C$37)*'C. Program Changes by DU - S&amp;L'!$J$11</f>
        <v>4479.8937416308345</v>
      </c>
      <c r="J16" s="291"/>
      <c r="K16" s="291">
        <f>('K. Summary by OC - S&amp;L'!$C$35/'K. Summary by OC - S&amp;L'!$C$37)*'C. Program Changes by DU - S&amp;L'!$J$12</f>
        <v>31359.25619141584</v>
      </c>
      <c r="L16" s="291"/>
      <c r="M16" s="291">
        <f>('K. Summary by OC - S&amp;L'!$C$35/'K. Summary by OC - S&amp;L'!$C$37)*'C. Program Changes by DU - S&amp;L'!$J$13</f>
        <v>13439.681224892503</v>
      </c>
      <c r="N16" s="291"/>
      <c r="O16" s="291">
        <f>('K. Summary by OC - S&amp;L'!$C$35/'K. Summary by OC - S&amp;L'!$C$37)*'C. Program Changes by DU - S&amp;L'!$J$14</f>
        <v>4479.8937416308345</v>
      </c>
      <c r="P16" s="51" t="s">
        <v>10</v>
      </c>
      <c r="R16" s="247"/>
    </row>
    <row r="17" spans="1:18" ht="15" x14ac:dyDescent="0.25">
      <c r="A17" s="295" t="s">
        <v>250</v>
      </c>
      <c r="B17" s="219">
        <f t="shared" ref="B17:O17" si="0">SUM(B10:B16)</f>
        <v>0</v>
      </c>
      <c r="C17" s="219">
        <f t="shared" si="0"/>
        <v>1500.0000000000002</v>
      </c>
      <c r="D17" s="219">
        <f t="shared" si="0"/>
        <v>0</v>
      </c>
      <c r="E17" s="219">
        <f t="shared" si="0"/>
        <v>19000</v>
      </c>
      <c r="F17" s="219">
        <f t="shared" si="0"/>
        <v>0</v>
      </c>
      <c r="G17" s="219">
        <f t="shared" si="0"/>
        <v>15000</v>
      </c>
      <c r="H17" s="219">
        <f t="shared" si="0"/>
        <v>0</v>
      </c>
      <c r="I17" s="219">
        <f t="shared" si="0"/>
        <v>5000</v>
      </c>
      <c r="J17" s="219">
        <f t="shared" si="0"/>
        <v>0</v>
      </c>
      <c r="K17" s="219">
        <f t="shared" si="0"/>
        <v>35000</v>
      </c>
      <c r="L17" s="219">
        <f t="shared" si="0"/>
        <v>0</v>
      </c>
      <c r="M17" s="219">
        <f t="shared" si="0"/>
        <v>15000</v>
      </c>
      <c r="N17" s="219">
        <f t="shared" si="0"/>
        <v>0</v>
      </c>
      <c r="O17" s="219">
        <f t="shared" si="0"/>
        <v>5000</v>
      </c>
      <c r="P17" s="51" t="s">
        <v>10</v>
      </c>
      <c r="R17" s="247"/>
    </row>
    <row r="18" spans="1:18" ht="15" x14ac:dyDescent="0.25">
      <c r="A18" s="294"/>
      <c r="B18" s="358"/>
      <c r="C18" s="358"/>
      <c r="D18" s="358"/>
      <c r="E18" s="358"/>
      <c r="F18" s="358"/>
      <c r="G18" s="358"/>
      <c r="H18" s="358"/>
      <c r="I18" s="358"/>
      <c r="J18" s="358"/>
      <c r="K18" s="358"/>
      <c r="L18" s="358"/>
      <c r="M18" s="358"/>
      <c r="N18" s="358"/>
      <c r="O18" s="358"/>
      <c r="P18" s="51" t="s">
        <v>10</v>
      </c>
      <c r="R18" s="247"/>
    </row>
    <row r="19" spans="1:18" ht="15" x14ac:dyDescent="0.25">
      <c r="A19" s="294"/>
      <c r="B19" s="360"/>
      <c r="C19" s="360"/>
      <c r="D19" s="360"/>
      <c r="E19" s="360"/>
      <c r="F19" s="360"/>
      <c r="G19" s="360"/>
      <c r="H19" s="360"/>
      <c r="I19" s="360"/>
      <c r="J19" s="360"/>
      <c r="K19" s="360"/>
      <c r="L19" s="360"/>
      <c r="M19" s="360"/>
      <c r="N19" s="360"/>
      <c r="O19" s="360"/>
      <c r="P19" s="51" t="s">
        <v>10</v>
      </c>
      <c r="R19" s="247"/>
    </row>
    <row r="20" spans="1:18" ht="15" x14ac:dyDescent="0.2">
      <c r="A20" s="649"/>
      <c r="B20" s="636" t="s">
        <v>282</v>
      </c>
      <c r="C20" s="652"/>
      <c r="D20" s="652"/>
      <c r="E20" s="652"/>
      <c r="F20" s="652"/>
      <c r="G20" s="652"/>
      <c r="H20" s="653"/>
      <c r="I20" s="653"/>
      <c r="J20" s="653"/>
      <c r="K20" s="653"/>
      <c r="L20" s="653"/>
      <c r="M20" s="653"/>
      <c r="N20" s="653"/>
      <c r="O20" s="639"/>
      <c r="P20" s="51" t="s">
        <v>10</v>
      </c>
      <c r="R20" s="247"/>
    </row>
    <row r="21" spans="1:18" ht="15" customHeight="1" x14ac:dyDescent="0.2">
      <c r="A21" s="650"/>
      <c r="B21" s="636" t="s">
        <v>378</v>
      </c>
      <c r="C21" s="639"/>
      <c r="D21" s="636" t="s">
        <v>378</v>
      </c>
      <c r="E21" s="639"/>
      <c r="F21" s="636" t="s">
        <v>378</v>
      </c>
      <c r="G21" s="639"/>
      <c r="H21" s="636" t="s">
        <v>378</v>
      </c>
      <c r="I21" s="639"/>
      <c r="J21" s="636" t="s">
        <v>378</v>
      </c>
      <c r="K21" s="639"/>
      <c r="L21" s="636" t="s">
        <v>378</v>
      </c>
      <c r="M21" s="639"/>
      <c r="N21" s="636" t="s">
        <v>378</v>
      </c>
      <c r="O21" s="639"/>
      <c r="P21" s="51" t="s">
        <v>10</v>
      </c>
      <c r="R21" s="247"/>
    </row>
    <row r="22" spans="1:18" ht="75" customHeight="1" x14ac:dyDescent="0.2">
      <c r="A22" s="650"/>
      <c r="B22" s="636" t="s">
        <v>381</v>
      </c>
      <c r="C22" s="639"/>
      <c r="D22" s="636" t="s">
        <v>380</v>
      </c>
      <c r="E22" s="639"/>
      <c r="F22" s="636" t="s">
        <v>274</v>
      </c>
      <c r="G22" s="639"/>
      <c r="H22" s="636" t="s">
        <v>273</v>
      </c>
      <c r="I22" s="639"/>
      <c r="J22" s="636" t="s">
        <v>379</v>
      </c>
      <c r="K22" s="637"/>
      <c r="L22" s="636" t="s">
        <v>272</v>
      </c>
      <c r="M22" s="637"/>
      <c r="N22" s="636" t="s">
        <v>271</v>
      </c>
      <c r="O22" s="637"/>
      <c r="P22" s="51" t="s">
        <v>10</v>
      </c>
      <c r="R22" s="247"/>
    </row>
    <row r="23" spans="1:18" ht="28.5" x14ac:dyDescent="0.2">
      <c r="A23" s="651"/>
      <c r="B23" s="235" t="s">
        <v>2</v>
      </c>
      <c r="C23" s="235" t="s">
        <v>3</v>
      </c>
      <c r="D23" s="235" t="s">
        <v>2</v>
      </c>
      <c r="E23" s="235" t="s">
        <v>3</v>
      </c>
      <c r="F23" s="235" t="s">
        <v>2</v>
      </c>
      <c r="G23" s="235" t="s">
        <v>3</v>
      </c>
      <c r="H23" s="235" t="s">
        <v>2</v>
      </c>
      <c r="I23" s="235" t="s">
        <v>3</v>
      </c>
      <c r="J23" s="235" t="s">
        <v>2</v>
      </c>
      <c r="K23" s="235" t="s">
        <v>3</v>
      </c>
      <c r="L23" s="235" t="s">
        <v>2</v>
      </c>
      <c r="M23" s="235" t="s">
        <v>3</v>
      </c>
      <c r="N23" s="235" t="s">
        <v>2</v>
      </c>
      <c r="O23" s="235" t="s">
        <v>3</v>
      </c>
      <c r="P23" s="51" t="s">
        <v>10</v>
      </c>
      <c r="R23" s="247"/>
    </row>
    <row r="24" spans="1:18" x14ac:dyDescent="0.2">
      <c r="A24" s="297" t="s">
        <v>68</v>
      </c>
      <c r="B24" s="296"/>
      <c r="C24" s="296">
        <f>('K. Summary by OC - S&amp;L'!$C$18/'K. Summary by OC - S&amp;L'!$C$37)*'C. Program Changes by DU - S&amp;L'!$J$15</f>
        <v>7.6329619567522031E-2</v>
      </c>
      <c r="D24" s="296"/>
      <c r="E24" s="296">
        <f>('K. Summary by OC - S&amp;L'!$C$18/'K. Summary by OC - S&amp;L'!$C$37)*'C. Program Changes by DU - S&amp;L'!$J$16</f>
        <v>3.5337786836815752E-2</v>
      </c>
      <c r="F24" s="296"/>
      <c r="G24" s="296">
        <f>('K. Summary by OC - S&amp;L'!$C$18/'K. Summary by OC - S&amp;L'!$C$37)*'C. Program Changes by DU - S&amp;L'!$J$17</f>
        <v>4.9472901571542056E-2</v>
      </c>
      <c r="H24" s="296"/>
      <c r="I24" s="296">
        <f>('K. Summary by OC - S&amp;L'!$C$18/'K. Summary by OC - S&amp;L'!$C$37)*'C. Program Changes by DU - S&amp;L'!$J$18</f>
        <v>0.62194504832795727</v>
      </c>
      <c r="J24" s="296"/>
      <c r="K24" s="296">
        <f>('K. Summary by OC - S&amp;L'!$C$18/'K. Summary by OC - S&amp;L'!$C$37)*'C. Program Changes by DU - S&amp;L'!$J$19</f>
        <v>0.12721603261253672</v>
      </c>
      <c r="L24" s="296"/>
      <c r="M24" s="296">
        <f>('K. Summary by OC - S&amp;L'!$C$18/'K. Summary by OC - S&amp;L'!$C$37)*'C. Program Changes by DU - S&amp;L'!$J$20</f>
        <v>8.4810688408357815E-2</v>
      </c>
      <c r="N24" s="296"/>
      <c r="O24" s="296">
        <f>('K. Summary by OC - S&amp;L'!$C$18/'K. Summary by OC - S&amp;L'!$C$37)*'C. Program Changes by DU - S&amp;L'!$J$21</f>
        <v>5.6540458938905205E-2</v>
      </c>
      <c r="P24" s="51" t="s">
        <v>10</v>
      </c>
      <c r="R24" s="247"/>
    </row>
    <row r="25" spans="1:18" x14ac:dyDescent="0.2">
      <c r="A25" s="297" t="s">
        <v>72</v>
      </c>
      <c r="B25" s="296"/>
      <c r="C25" s="296">
        <f>('K. Summary by OC - S&amp;L'!$C$23/'K. Summary by OC - S&amp;L'!$C$37)*'C. Program Changes by DU - S&amp;L'!$J$15</f>
        <v>-3.5315170653240191</v>
      </c>
      <c r="D25" s="296"/>
      <c r="E25" s="296">
        <f>('K. Summary by OC - S&amp;L'!$C$23/'K. Summary by OC - S&amp;L'!$C$37)*'C. Program Changes by DU - S&amp;L'!$J$16</f>
        <v>-1.6349616043166755</v>
      </c>
      <c r="F25" s="296"/>
      <c r="G25" s="296">
        <f>('K. Summary by OC - S&amp;L'!$C$23/'K. Summary by OC - S&amp;L'!$C$37)*'C. Program Changes by DU - S&amp;L'!$J$17</f>
        <v>-2.2889462460433458</v>
      </c>
      <c r="H25" s="296"/>
      <c r="I25" s="296">
        <f>('K. Summary by OC - S&amp;L'!$C$23/'K. Summary by OC - S&amp;L'!$C$37)*'C. Program Changes by DU - S&amp;L'!$J$18</f>
        <v>-28.775324235973489</v>
      </c>
      <c r="J25" s="296"/>
      <c r="K25" s="296">
        <f>('K. Summary by OC - S&amp;L'!$C$23/'K. Summary by OC - S&amp;L'!$C$37)*'C. Program Changes by DU - S&amp;L'!$J$19</f>
        <v>-5.8858617755400315</v>
      </c>
      <c r="L25" s="296"/>
      <c r="M25" s="296">
        <f>('K. Summary by OC - S&amp;L'!$C$23/'K. Summary by OC - S&amp;L'!$C$37)*'C. Program Changes by DU - S&amp;L'!$J$20</f>
        <v>-3.9239078503600213</v>
      </c>
      <c r="N25" s="296"/>
      <c r="O25" s="296">
        <f>('K. Summary by OC - S&amp;L'!$C$23/'K. Summary by OC - S&amp;L'!$C$37)*'C. Program Changes by DU - S&amp;L'!$J$21</f>
        <v>-2.615938566906681</v>
      </c>
      <c r="P25" s="51" t="s">
        <v>10</v>
      </c>
      <c r="R25" s="247"/>
    </row>
    <row r="26" spans="1:18" x14ac:dyDescent="0.2">
      <c r="A26" s="297" t="s">
        <v>73</v>
      </c>
      <c r="B26" s="296"/>
      <c r="C26" s="296">
        <f>('K. Summary by OC - S&amp;L'!$C$24/'K. Summary by OC - S&amp;L'!$C$37)*'C. Program Changes by DU - S&amp;L'!$J$15</f>
        <v>99.686483155183765</v>
      </c>
      <c r="D26" s="296"/>
      <c r="E26" s="296">
        <f>('K. Summary by OC - S&amp;L'!$C$24/'K. Summary by OC - S&amp;L'!$C$37)*'C. Program Changes by DU - S&amp;L'!$J$16</f>
        <v>46.151149608881376</v>
      </c>
      <c r="F26" s="296"/>
      <c r="G26" s="296">
        <f>('K. Summary by OC - S&amp;L'!$C$24/'K. Summary by OC - S&amp;L'!$C$37)*'C. Program Changes by DU - S&amp;L'!$J$17</f>
        <v>64.611609452433925</v>
      </c>
      <c r="H26" s="296"/>
      <c r="I26" s="296">
        <f>('K. Summary by OC - S&amp;L'!$C$24/'K. Summary by OC - S&amp;L'!$C$37)*'C. Program Changes by DU - S&amp;L'!$J$18</f>
        <v>812.26023311631218</v>
      </c>
      <c r="J26" s="296"/>
      <c r="K26" s="296">
        <f>('K. Summary by OC - S&amp;L'!$C$24/'K. Summary by OC - S&amp;L'!$C$37)*'C. Program Changes by DU - S&amp;L'!$J$19</f>
        <v>166.14413859197293</v>
      </c>
      <c r="L26" s="296"/>
      <c r="M26" s="296">
        <f>('K. Summary by OC - S&amp;L'!$C$24/'K. Summary by OC - S&amp;L'!$C$37)*'C. Program Changes by DU - S&amp;L'!$J$20</f>
        <v>110.76275906131529</v>
      </c>
      <c r="N26" s="296"/>
      <c r="O26" s="296">
        <f>('K. Summary by OC - S&amp;L'!$C$24/'K. Summary by OC - S&amp;L'!$C$37)*'C. Program Changes by DU - S&amp;L'!$J$21</f>
        <v>73.841839374210196</v>
      </c>
      <c r="P26" s="51" t="s">
        <v>10</v>
      </c>
      <c r="R26" s="247"/>
    </row>
    <row r="27" spans="1:18" x14ac:dyDescent="0.2">
      <c r="A27" s="297" t="s">
        <v>74</v>
      </c>
      <c r="B27" s="296"/>
      <c r="C27" s="296">
        <f>('K. Summary by OC - S&amp;L'!$C$25/'K. Summary by OC - S&amp;L'!$C$37)*'C. Program Changes by DU - S&amp;L'!$J$15</f>
        <v>3.7147081522860725</v>
      </c>
      <c r="D27" s="296"/>
      <c r="E27" s="296">
        <f>('K. Summary by OC - S&amp;L'!$C$25/'K. Summary by OC - S&amp;L'!$C$37)*'C. Program Changes by DU - S&amp;L'!$J$16</f>
        <v>1.7197722927250334</v>
      </c>
      <c r="F27" s="296"/>
      <c r="G27" s="296">
        <f>('K. Summary by OC - S&amp;L'!$C$25/'K. Summary by OC - S&amp;L'!$C$37)*'C. Program Changes by DU - S&amp;L'!$J$17</f>
        <v>2.4076812098150469</v>
      </c>
      <c r="H27" s="296"/>
      <c r="I27" s="296">
        <f>('K. Summary by OC - S&amp;L'!$C$25/'K. Summary by OC - S&amp;L'!$C$37)*'C. Program Changes by DU - S&amp;L'!$J$18</f>
        <v>30.26799235196059</v>
      </c>
      <c r="J27" s="296"/>
      <c r="K27" s="296">
        <f>('K. Summary by OC - S&amp;L'!$C$25/'K. Summary by OC - S&amp;L'!$C$37)*'C. Program Changes by DU - S&amp;L'!$J$19</f>
        <v>6.1911802538101206</v>
      </c>
      <c r="L27" s="296"/>
      <c r="M27" s="296">
        <f>('K. Summary by OC - S&amp;L'!$C$25/'K. Summary by OC - S&amp;L'!$C$37)*'C. Program Changes by DU - S&amp;L'!$J$20</f>
        <v>4.1274535025400807</v>
      </c>
      <c r="N27" s="296"/>
      <c r="O27" s="296">
        <f>('K. Summary by OC - S&amp;L'!$C$25/'K. Summary by OC - S&amp;L'!$C$37)*'C. Program Changes by DU - S&amp;L'!$J$21</f>
        <v>2.7516356683600538</v>
      </c>
      <c r="P27" s="51" t="s">
        <v>10</v>
      </c>
      <c r="R27" s="247"/>
    </row>
    <row r="28" spans="1:18" x14ac:dyDescent="0.2">
      <c r="A28" s="297" t="s">
        <v>75</v>
      </c>
      <c r="B28" s="296"/>
      <c r="C28" s="296">
        <f>('K. Summary by OC - S&amp;L'!$C$26/'K. Summary by OC - S&amp;L'!$C$37)*'C. Program Changes by DU - S&amp;L'!$J$15</f>
        <v>461.75348925307225</v>
      </c>
      <c r="D28" s="296"/>
      <c r="E28" s="296">
        <f>('K. Summary by OC - S&amp;L'!$C$26/'K. Summary by OC - S&amp;L'!$C$37)*'C. Program Changes by DU - S&amp;L'!$J$16</f>
        <v>213.77476354308902</v>
      </c>
      <c r="F28" s="296"/>
      <c r="G28" s="296">
        <f>('K. Summary by OC - S&amp;L'!$C$26/'K. Summary by OC - S&amp;L'!$C$37)*'C. Program Changes by DU - S&amp;L'!$J$17</f>
        <v>299.28466896032461</v>
      </c>
      <c r="H28" s="296"/>
      <c r="I28" s="296">
        <f>('K. Summary by OC - S&amp;L'!$C$26/'K. Summary by OC - S&amp;L'!$C$37)*'C. Program Changes by DU - S&amp;L'!$J$18</f>
        <v>3762.4358383583667</v>
      </c>
      <c r="J28" s="296"/>
      <c r="K28" s="296">
        <f>('K. Summary by OC - S&amp;L'!$C$26/'K. Summary by OC - S&amp;L'!$C$37)*'C. Program Changes by DU - S&amp;L'!$J$19</f>
        <v>769.58914875512039</v>
      </c>
      <c r="L28" s="296"/>
      <c r="M28" s="296">
        <f>('K. Summary by OC - S&amp;L'!$C$26/'K. Summary by OC - S&amp;L'!$C$37)*'C. Program Changes by DU - S&amp;L'!$J$20</f>
        <v>513.05943250341363</v>
      </c>
      <c r="N28" s="296"/>
      <c r="O28" s="296">
        <f>('K. Summary by OC - S&amp;L'!$C$26/'K. Summary by OC - S&amp;L'!$C$37)*'C. Program Changes by DU - S&amp;L'!$J$21</f>
        <v>342.0396216689424</v>
      </c>
      <c r="P28" s="51" t="s">
        <v>10</v>
      </c>
      <c r="R28" s="247"/>
    </row>
    <row r="29" spans="1:18" x14ac:dyDescent="0.2">
      <c r="A29" s="297" t="s">
        <v>80</v>
      </c>
      <c r="B29" s="296"/>
      <c r="C29" s="296">
        <f>('K. Summary by OC - S&amp;L'!$C$32/'K. Summary by OC - S&amp;L'!$C$37)*'C. Program Changes by DU - S&amp;L'!$J$15</f>
        <v>1.5265923913504405E-2</v>
      </c>
      <c r="D29" s="296"/>
      <c r="E29" s="296">
        <f>('K. Summary by OC - S&amp;L'!$C$32/'K. Summary by OC - S&amp;L'!$C$37)*'C. Program Changes by DU - S&amp;L'!$J$16</f>
        <v>7.0675573673631507E-3</v>
      </c>
      <c r="F29" s="296"/>
      <c r="G29" s="296">
        <f>('K. Summary by OC - S&amp;L'!$C$32/'K. Summary by OC - S&amp;L'!$C$37)*'C. Program Changes by DU - S&amp;L'!$J$17</f>
        <v>9.8945803143084109E-3</v>
      </c>
      <c r="H29" s="296"/>
      <c r="I29" s="296">
        <f>('K. Summary by OC - S&amp;L'!$C$32/'K. Summary by OC - S&amp;L'!$C$37)*'C. Program Changes by DU - S&amp;L'!$J$18</f>
        <v>0.12438900966559145</v>
      </c>
      <c r="J29" s="296"/>
      <c r="K29" s="296">
        <f>('K. Summary by OC - S&amp;L'!$C$32/'K. Summary by OC - S&amp;L'!$C$37)*'C. Program Changes by DU - S&amp;L'!$J$19</f>
        <v>2.5443206522507342E-2</v>
      </c>
      <c r="L29" s="296"/>
      <c r="M29" s="296">
        <f>('K. Summary by OC - S&amp;L'!$C$32/'K. Summary by OC - S&amp;L'!$C$37)*'C. Program Changes by DU - S&amp;L'!$J$20</f>
        <v>1.6962137681671562E-2</v>
      </c>
      <c r="N29" s="296"/>
      <c r="O29" s="296">
        <f>('K. Summary by OC - S&amp;L'!$C$32/'K. Summary by OC - S&amp;L'!$C$37)*'C. Program Changes by DU - S&amp;L'!$J$21</f>
        <v>1.1308091787781041E-2</v>
      </c>
      <c r="P29" s="51" t="s">
        <v>10</v>
      </c>
      <c r="R29" s="247"/>
    </row>
    <row r="30" spans="1:18" x14ac:dyDescent="0.2">
      <c r="A30" s="357" t="s">
        <v>83</v>
      </c>
      <c r="B30" s="291"/>
      <c r="C30" s="291">
        <f>('K. Summary by OC - S&amp;L'!$C$35/'K. Summary by OC - S&amp;L'!$C$37)*'C. Program Changes by DU - S&amp;L'!$J$15</f>
        <v>4838.2852409613015</v>
      </c>
      <c r="D30" s="291"/>
      <c r="E30" s="291">
        <f>('K. Summary by OC - S&amp;L'!$C$35/'K. Summary by OC - S&amp;L'!$C$37)*'C. Program Changes by DU - S&amp;L'!$J$16</f>
        <v>2239.9468708154172</v>
      </c>
      <c r="F30" s="291"/>
      <c r="G30" s="291">
        <f>('K. Summary by OC - S&amp;L'!$C$35/'K. Summary by OC - S&amp;L'!$C$37)*'C. Program Changes by DU - S&amp;L'!$J$17</f>
        <v>3135.9256191415839</v>
      </c>
      <c r="H30" s="291"/>
      <c r="I30" s="291">
        <f>('K. Summary by OC - S&amp;L'!$C$35/'K. Summary by OC - S&amp;L'!$C$37)*'C. Program Changes by DU - S&amp;L'!$J$18</f>
        <v>39423.064926351341</v>
      </c>
      <c r="J30" s="291"/>
      <c r="K30" s="291">
        <f>('K. Summary by OC - S&amp;L'!$C$35/'K. Summary by OC - S&amp;L'!$C$37)*'C. Program Changes by DU - S&amp;L'!$J$19</f>
        <v>8063.8087349355019</v>
      </c>
      <c r="L30" s="291"/>
      <c r="M30" s="291">
        <f>('K. Summary by OC - S&amp;L'!$C$35/'K. Summary by OC - S&amp;L'!$C$37)*'C. Program Changes by DU - S&amp;L'!$J$20</f>
        <v>5375.8724899570016</v>
      </c>
      <c r="N30" s="291"/>
      <c r="O30" s="291">
        <f>('K. Summary by OC - S&amp;L'!$C$35/'K. Summary by OC - S&amp;L'!$C$37)*'C. Program Changes by DU - S&amp;L'!$J$21</f>
        <v>3583.9149933046674</v>
      </c>
      <c r="P30" s="51" t="s">
        <v>10</v>
      </c>
      <c r="R30" s="247"/>
    </row>
    <row r="31" spans="1:18" ht="15" x14ac:dyDescent="0.25">
      <c r="A31" s="295" t="s">
        <v>250</v>
      </c>
      <c r="B31" s="219">
        <f t="shared" ref="B31:O31" si="1">SUM(B24:B30)</f>
        <v>0</v>
      </c>
      <c r="C31" s="219">
        <f t="shared" si="1"/>
        <v>5400.0000000000009</v>
      </c>
      <c r="D31" s="219">
        <f t="shared" si="1"/>
        <v>0</v>
      </c>
      <c r="E31" s="219">
        <f t="shared" si="1"/>
        <v>2500</v>
      </c>
      <c r="F31" s="219">
        <f t="shared" si="1"/>
        <v>0</v>
      </c>
      <c r="G31" s="219">
        <f>SUM(G24:G30)</f>
        <v>3500</v>
      </c>
      <c r="H31" s="219">
        <f t="shared" si="1"/>
        <v>0</v>
      </c>
      <c r="I31" s="219">
        <f t="shared" si="1"/>
        <v>44000</v>
      </c>
      <c r="J31" s="219">
        <f t="shared" si="1"/>
        <v>0</v>
      </c>
      <c r="K31" s="219">
        <f t="shared" si="1"/>
        <v>9000</v>
      </c>
      <c r="L31" s="219">
        <f t="shared" si="1"/>
        <v>0</v>
      </c>
      <c r="M31" s="219">
        <f t="shared" si="1"/>
        <v>6000.0000000000009</v>
      </c>
      <c r="N31" s="219">
        <f t="shared" si="1"/>
        <v>0</v>
      </c>
      <c r="O31" s="219">
        <f t="shared" si="1"/>
        <v>4000</v>
      </c>
      <c r="P31" s="51" t="s">
        <v>10</v>
      </c>
      <c r="R31" s="247"/>
    </row>
    <row r="32" spans="1:18" ht="14.25" customHeight="1" x14ac:dyDescent="0.25">
      <c r="A32" s="294"/>
      <c r="B32" s="360"/>
      <c r="C32" s="360"/>
      <c r="D32" s="360"/>
      <c r="E32" s="360"/>
      <c r="F32" s="360"/>
      <c r="G32" s="360"/>
      <c r="H32" s="360"/>
      <c r="I32" s="360"/>
      <c r="J32" s="360"/>
      <c r="K32" s="360"/>
      <c r="L32" s="360"/>
      <c r="M32" s="360"/>
      <c r="N32" s="360"/>
      <c r="O32" s="360"/>
      <c r="P32" s="51" t="s">
        <v>10</v>
      </c>
      <c r="R32" s="247"/>
    </row>
    <row r="33" spans="1:18" ht="14.25" customHeight="1" x14ac:dyDescent="0.25">
      <c r="A33" s="294"/>
      <c r="B33" s="360"/>
      <c r="C33" s="360"/>
      <c r="D33" s="360"/>
      <c r="E33" s="360"/>
      <c r="F33" s="360"/>
      <c r="G33" s="360"/>
      <c r="H33" s="360"/>
      <c r="I33" s="360"/>
      <c r="J33" s="360"/>
      <c r="K33" s="360"/>
      <c r="L33" s="360"/>
      <c r="M33" s="360"/>
      <c r="N33" s="360"/>
      <c r="O33" s="360"/>
      <c r="P33" s="51" t="s">
        <v>10</v>
      </c>
      <c r="R33" s="247"/>
    </row>
    <row r="34" spans="1:18" ht="15" x14ac:dyDescent="0.2">
      <c r="A34" s="649"/>
      <c r="B34" s="636" t="s">
        <v>282</v>
      </c>
      <c r="C34" s="652"/>
      <c r="D34" s="652"/>
      <c r="E34" s="652"/>
      <c r="F34" s="652"/>
      <c r="G34" s="652"/>
      <c r="H34" s="653"/>
      <c r="I34" s="653"/>
      <c r="J34" s="653"/>
      <c r="K34" s="653"/>
      <c r="L34" s="653"/>
      <c r="M34" s="653"/>
      <c r="N34" s="653"/>
      <c r="O34" s="639"/>
      <c r="P34" s="51" t="s">
        <v>10</v>
      </c>
      <c r="R34" s="247"/>
    </row>
    <row r="35" spans="1:18" ht="15" customHeight="1" x14ac:dyDescent="0.2">
      <c r="A35" s="650"/>
      <c r="B35" s="636" t="s">
        <v>378</v>
      </c>
      <c r="C35" s="639"/>
      <c r="D35" s="636" t="s">
        <v>376</v>
      </c>
      <c r="E35" s="639"/>
      <c r="F35" s="636" t="s">
        <v>376</v>
      </c>
      <c r="G35" s="639"/>
      <c r="H35" s="636" t="s">
        <v>376</v>
      </c>
      <c r="I35" s="639"/>
      <c r="J35" s="636" t="s">
        <v>376</v>
      </c>
      <c r="K35" s="639"/>
      <c r="L35" s="636" t="s">
        <v>376</v>
      </c>
      <c r="M35" s="639"/>
      <c r="N35" s="636" t="s">
        <v>376</v>
      </c>
      <c r="O35" s="639"/>
      <c r="P35" s="51" t="s">
        <v>10</v>
      </c>
      <c r="R35" s="247"/>
    </row>
    <row r="36" spans="1:18" ht="61.5" customHeight="1" x14ac:dyDescent="0.2">
      <c r="A36" s="650"/>
      <c r="B36" s="636" t="s">
        <v>270</v>
      </c>
      <c r="C36" s="637"/>
      <c r="D36" s="636" t="s">
        <v>269</v>
      </c>
      <c r="E36" s="637"/>
      <c r="F36" s="636" t="s">
        <v>268</v>
      </c>
      <c r="G36" s="637"/>
      <c r="H36" s="636" t="s">
        <v>267</v>
      </c>
      <c r="I36" s="637"/>
      <c r="J36" s="636" t="s">
        <v>266</v>
      </c>
      <c r="K36" s="637"/>
      <c r="L36" s="636" t="s">
        <v>265</v>
      </c>
      <c r="M36" s="637"/>
      <c r="N36" s="636" t="s">
        <v>264</v>
      </c>
      <c r="O36" s="637"/>
      <c r="P36" s="51" t="s">
        <v>10</v>
      </c>
      <c r="R36" s="247"/>
    </row>
    <row r="37" spans="1:18" ht="28.5" x14ac:dyDescent="0.2">
      <c r="A37" s="651"/>
      <c r="B37" s="235" t="s">
        <v>2</v>
      </c>
      <c r="C37" s="235" t="s">
        <v>3</v>
      </c>
      <c r="D37" s="235" t="s">
        <v>2</v>
      </c>
      <c r="E37" s="235" t="s">
        <v>3</v>
      </c>
      <c r="F37" s="235" t="s">
        <v>2</v>
      </c>
      <c r="G37" s="235" t="s">
        <v>3</v>
      </c>
      <c r="H37" s="235" t="s">
        <v>2</v>
      </c>
      <c r="I37" s="235" t="s">
        <v>3</v>
      </c>
      <c r="J37" s="235" t="s">
        <v>2</v>
      </c>
      <c r="K37" s="235" t="s">
        <v>3</v>
      </c>
      <c r="L37" s="235" t="s">
        <v>2</v>
      </c>
      <c r="M37" s="235" t="s">
        <v>3</v>
      </c>
      <c r="N37" s="235" t="s">
        <v>2</v>
      </c>
      <c r="O37" s="235" t="s">
        <v>3</v>
      </c>
      <c r="P37" s="51" t="s">
        <v>10</v>
      </c>
      <c r="R37" s="247"/>
    </row>
    <row r="38" spans="1:18" x14ac:dyDescent="0.2">
      <c r="A38" s="297" t="s">
        <v>68</v>
      </c>
      <c r="B38" s="296"/>
      <c r="C38" s="296">
        <f>('K. Summary by OC - S&amp;L'!$C$18/'K. Summary by OC - S&amp;L'!$C$37)*'C. Program Changes by DU - S&amp;L'!$J$22</f>
        <v>0.66788417121581778</v>
      </c>
      <c r="D38" s="296"/>
      <c r="E38" s="296">
        <f>('K. Summary by OC - S&amp;L'!$C$18/'K. Summary by OC - S&amp;L'!$C$37)*'C. Program Changes by DU - S&amp;L'!$J$27</f>
        <v>-0.31804008153134178</v>
      </c>
      <c r="F38" s="296"/>
      <c r="G38" s="296">
        <f>('K. Summary by OC - S&amp;L'!$C$18/'K. Summary by OC - S&amp;L'!$C$37)*'C. Program Changes by DU - S&amp;L'!$J$28</f>
        <v>-2.8270229469452603E-2</v>
      </c>
      <c r="H38" s="296"/>
      <c r="I38" s="296">
        <f>('K. Summary by OC - S&amp;L'!$C$18/'K. Summary by OC - S&amp;L'!$C$37)*'C. Program Changes by DU - S&amp;L'!$J$29</f>
        <v>-0.35337786836815754</v>
      </c>
      <c r="J38" s="296"/>
      <c r="K38" s="296">
        <f>('K. Summary by OC - S&amp;L'!$C$18/'K. Summary by OC - S&amp;L'!$C$37)*'C. Program Changes by DU - S&amp;L'!$J$30</f>
        <v>-0.57247214675641522</v>
      </c>
      <c r="L38" s="296"/>
      <c r="M38" s="296">
        <f>('K. Summary by OC - S&amp;L'!$C$18/'K. Summary by OC - S&amp;L'!$C$37)*'C. Program Changes by DU - S&amp;L'!$J$31</f>
        <v>-0.42405344204178907</v>
      </c>
      <c r="N38" s="296"/>
      <c r="O38" s="296">
        <f>('K. Summary by OC - S&amp;L'!$C$18/'K. Summary by OC - S&amp;L'!$C$37)*'C. Program Changes by DU - S&amp;L'!$J$32</f>
        <v>-2.8270229469452603E-2</v>
      </c>
      <c r="P38" s="51" t="s">
        <v>10</v>
      </c>
      <c r="R38" s="247"/>
    </row>
    <row r="39" spans="1:18" x14ac:dyDescent="0.2">
      <c r="A39" s="297" t="s">
        <v>72</v>
      </c>
      <c r="B39" s="296"/>
      <c r="C39" s="296">
        <f>('K. Summary by OC - S&amp;L'!$C$23/'K. Summary by OC - S&amp;L'!$C$37)*'C. Program Changes by DU - S&amp;L'!$J$22</f>
        <v>-30.900774321585168</v>
      </c>
      <c r="D39" s="296"/>
      <c r="E39" s="296">
        <f>('K. Summary by OC - S&amp;L'!$C$23/'K. Summary by OC - S&amp;L'!$C$37)*'C. Program Changes by DU - S&amp;L'!$J$27</f>
        <v>14.714654438850079</v>
      </c>
      <c r="F39" s="296"/>
      <c r="G39" s="296">
        <f>('K. Summary by OC - S&amp;L'!$C$23/'K. Summary by OC - S&amp;L'!$C$37)*'C. Program Changes by DU - S&amp;L'!$J$28</f>
        <v>1.3079692834533405</v>
      </c>
      <c r="H39" s="296"/>
      <c r="I39" s="296">
        <f>('K. Summary by OC - S&amp;L'!$C$23/'K. Summary by OC - S&amp;L'!$C$37)*'C. Program Changes by DU - S&amp;L'!$J$29</f>
        <v>16.349616043166755</v>
      </c>
      <c r="J39" s="296"/>
      <c r="K39" s="296">
        <f>('K. Summary by OC - S&amp;L'!$C$23/'K. Summary by OC - S&amp;L'!$C$37)*'C. Program Changes by DU - S&amp;L'!$J$30</f>
        <v>26.486377989930144</v>
      </c>
      <c r="L39" s="296"/>
      <c r="M39" s="296">
        <f>('K. Summary by OC - S&amp;L'!$C$23/'K. Summary by OC - S&amp;L'!$C$37)*'C. Program Changes by DU - S&amp;L'!$J$31</f>
        <v>19.619539251800106</v>
      </c>
      <c r="N39" s="296"/>
      <c r="O39" s="296">
        <f>('K. Summary by OC - S&amp;L'!$C$23/'K. Summary by OC - S&amp;L'!$C$37)*'C. Program Changes by DU - S&amp;L'!$J$32</f>
        <v>1.3079692834533405</v>
      </c>
      <c r="P39" s="51" t="s">
        <v>10</v>
      </c>
      <c r="R39" s="247"/>
    </row>
    <row r="40" spans="1:18" x14ac:dyDescent="0.2">
      <c r="A40" s="297" t="s">
        <v>73</v>
      </c>
      <c r="B40" s="296"/>
      <c r="C40" s="296">
        <f>('K. Summary by OC - S&amp;L'!$C$24/'K. Summary by OC - S&amp;L'!$C$37)*'C. Program Changes by DU - S&amp;L'!$J$22</f>
        <v>872.2567276078579</v>
      </c>
      <c r="D40" s="296"/>
      <c r="E40" s="296">
        <f>('K. Summary by OC - S&amp;L'!$C$24/'K. Summary by OC - S&amp;L'!$C$37)*'C. Program Changes by DU - S&amp;L'!$J$27</f>
        <v>-415.36034647993233</v>
      </c>
      <c r="F40" s="296"/>
      <c r="G40" s="296">
        <f>('K. Summary by OC - S&amp;L'!$C$24/'K. Summary by OC - S&amp;L'!$C$37)*'C. Program Changes by DU - S&amp;L'!$J$28</f>
        <v>-36.920919687105098</v>
      </c>
      <c r="H40" s="296"/>
      <c r="I40" s="296">
        <f>('K. Summary by OC - S&amp;L'!$C$24/'K. Summary by OC - S&amp;L'!$C$37)*'C. Program Changes by DU - S&amp;L'!$J$29</f>
        <v>-461.51149608881371</v>
      </c>
      <c r="J40" s="296"/>
      <c r="K40" s="296">
        <f>('K. Summary by OC - S&amp;L'!$C$24/'K. Summary by OC - S&amp;L'!$C$37)*'C. Program Changes by DU - S&amp;L'!$J$30</f>
        <v>-747.6486236638782</v>
      </c>
      <c r="L40" s="296"/>
      <c r="M40" s="296">
        <f>('K. Summary by OC - S&amp;L'!$C$24/'K. Summary by OC - S&amp;L'!$C$37)*'C. Program Changes by DU - S&amp;L'!$J$31</f>
        <v>-553.81379530657648</v>
      </c>
      <c r="N40" s="296"/>
      <c r="O40" s="296">
        <f>('K. Summary by OC - S&amp;L'!$C$24/'K. Summary by OC - S&amp;L'!$C$37)*'C. Program Changes by DU - S&amp;L'!$J$32</f>
        <v>-36.920919687105098</v>
      </c>
      <c r="P40" s="51" t="s">
        <v>10</v>
      </c>
      <c r="R40" s="247"/>
    </row>
    <row r="41" spans="1:18" x14ac:dyDescent="0.2">
      <c r="A41" s="297" t="s">
        <v>74</v>
      </c>
      <c r="B41" s="296"/>
      <c r="C41" s="296">
        <f>('K. Summary by OC - S&amp;L'!$C$25/'K. Summary by OC - S&amp;L'!$C$37)*'C. Program Changes by DU - S&amp;L'!$J$22</f>
        <v>32.503696332503132</v>
      </c>
      <c r="D41" s="296"/>
      <c r="E41" s="296">
        <f>('K. Summary by OC - S&amp;L'!$C$25/'K. Summary by OC - S&amp;L'!$C$37)*'C. Program Changes by DU - S&amp;L'!$J$27</f>
        <v>-15.477950634525302</v>
      </c>
      <c r="F41" s="296"/>
      <c r="G41" s="296">
        <f>('K. Summary by OC - S&amp;L'!$C$25/'K. Summary by OC - S&amp;L'!$C$37)*'C. Program Changes by DU - S&amp;L'!$J$28</f>
        <v>-1.3758178341800269</v>
      </c>
      <c r="H41" s="296"/>
      <c r="I41" s="296">
        <f>('K. Summary by OC - S&amp;L'!$C$25/'K. Summary by OC - S&amp;L'!$C$37)*'C. Program Changes by DU - S&amp;L'!$J$29</f>
        <v>-17.197722927250336</v>
      </c>
      <c r="J41" s="296"/>
      <c r="K41" s="296">
        <f>('K. Summary by OC - S&amp;L'!$C$25/'K. Summary by OC - S&amp;L'!$C$37)*'C. Program Changes by DU - S&amp;L'!$J$30</f>
        <v>-27.860311142145544</v>
      </c>
      <c r="L41" s="296"/>
      <c r="M41" s="296">
        <f>('K. Summary by OC - S&amp;L'!$C$25/'K. Summary by OC - S&amp;L'!$C$37)*'C. Program Changes by DU - S&amp;L'!$J$31</f>
        <v>-20.637267512700401</v>
      </c>
      <c r="N41" s="296"/>
      <c r="O41" s="296">
        <f>('K. Summary by OC - S&amp;L'!$C$25/'K. Summary by OC - S&amp;L'!$C$37)*'C. Program Changes by DU - S&amp;L'!$J$32</f>
        <v>-1.3758178341800269</v>
      </c>
      <c r="P41" s="51" t="s">
        <v>10</v>
      </c>
      <c r="R41" s="247"/>
    </row>
    <row r="42" spans="1:18" x14ac:dyDescent="0.2">
      <c r="A42" s="297" t="s">
        <v>75</v>
      </c>
      <c r="B42" s="296"/>
      <c r="C42" s="296">
        <f>('K. Summary by OC - S&amp;L'!$C$26/'K. Summary by OC - S&amp;L'!$C$37)*'C. Program Changes by DU - S&amp;L'!$J$22</f>
        <v>4040.3430309643823</v>
      </c>
      <c r="D42" s="296"/>
      <c r="E42" s="296">
        <f>('K. Summary by OC - S&amp;L'!$C$26/'K. Summary by OC - S&amp;L'!$C$37)*'C. Program Changes by DU - S&amp;L'!$J$27</f>
        <v>-1923.9728718878011</v>
      </c>
      <c r="F42" s="296"/>
      <c r="G42" s="296">
        <f>('K. Summary by OC - S&amp;L'!$C$26/'K. Summary by OC - S&amp;L'!$C$37)*'C. Program Changes by DU - S&amp;L'!$J$28</f>
        <v>-171.0198108344712</v>
      </c>
      <c r="H42" s="296"/>
      <c r="I42" s="296">
        <f>('K. Summary by OC - S&amp;L'!$C$26/'K. Summary by OC - S&amp;L'!$C$37)*'C. Program Changes by DU - S&amp;L'!$J$29</f>
        <v>-2137.7476354308901</v>
      </c>
      <c r="J42" s="296"/>
      <c r="K42" s="296">
        <f>('K. Summary by OC - S&amp;L'!$C$26/'K. Summary by OC - S&amp;L'!$C$37)*'C. Program Changes by DU - S&amp;L'!$J$30</f>
        <v>-3463.1511693980419</v>
      </c>
      <c r="L42" s="296"/>
      <c r="M42" s="296">
        <f>('K. Summary by OC - S&amp;L'!$C$26/'K. Summary by OC - S&amp;L'!$C$37)*'C. Program Changes by DU - S&amp;L'!$J$31</f>
        <v>-2565.297162517068</v>
      </c>
      <c r="N42" s="296"/>
      <c r="O42" s="296">
        <f>('K. Summary by OC - S&amp;L'!$C$26/'K. Summary by OC - S&amp;L'!$C$37)*'C. Program Changes by DU - S&amp;L'!$J$32</f>
        <v>-171.0198108344712</v>
      </c>
      <c r="P42" s="51" t="s">
        <v>10</v>
      </c>
      <c r="R42" s="247"/>
    </row>
    <row r="43" spans="1:18" x14ac:dyDescent="0.2">
      <c r="A43" s="297" t="s">
        <v>80</v>
      </c>
      <c r="B43" s="296"/>
      <c r="C43" s="296">
        <f>('K. Summary by OC - S&amp;L'!$C$32/'K. Summary by OC - S&amp;L'!$C$37)*'C. Program Changes by DU - S&amp;L'!$J$22</f>
        <v>0.13357683424316355</v>
      </c>
      <c r="D43" s="296"/>
      <c r="E43" s="296">
        <f>('K. Summary by OC - S&amp;L'!$C$32/'K. Summary by OC - S&amp;L'!$C$37)*'C. Program Changes by DU - S&amp;L'!$J$27</f>
        <v>-6.3608016306268361E-2</v>
      </c>
      <c r="F43" s="296"/>
      <c r="G43" s="296">
        <f>('K. Summary by OC - S&amp;L'!$C$32/'K. Summary by OC - S&amp;L'!$C$37)*'C. Program Changes by DU - S&amp;L'!$J$28</f>
        <v>-5.6540458938905205E-3</v>
      </c>
      <c r="H43" s="296"/>
      <c r="I43" s="296">
        <f>('K. Summary by OC - S&amp;L'!$C$32/'K. Summary by OC - S&amp;L'!$C$37)*'C. Program Changes by DU - S&amp;L'!$J$29</f>
        <v>-7.0675573673631503E-2</v>
      </c>
      <c r="J43" s="296"/>
      <c r="K43" s="296">
        <f>('K. Summary by OC - S&amp;L'!$C$32/'K. Summary by OC - S&amp;L'!$C$37)*'C. Program Changes by DU - S&amp;L'!$J$30</f>
        <v>-0.11449442935128304</v>
      </c>
      <c r="L43" s="296"/>
      <c r="M43" s="296">
        <f>('K. Summary by OC - S&amp;L'!$C$32/'K. Summary by OC - S&amp;L'!$C$37)*'C. Program Changes by DU - S&amp;L'!$J$31</f>
        <v>-8.4810688408357801E-2</v>
      </c>
      <c r="N43" s="296"/>
      <c r="O43" s="296">
        <f>('K. Summary by OC - S&amp;L'!$C$32/'K. Summary by OC - S&amp;L'!$C$37)*'C. Program Changes by DU - S&amp;L'!$J$32</f>
        <v>-5.6540458938905205E-3</v>
      </c>
      <c r="P43" s="51" t="s">
        <v>10</v>
      </c>
      <c r="R43" s="247"/>
    </row>
    <row r="44" spans="1:18" x14ac:dyDescent="0.2">
      <c r="A44" s="357" t="s">
        <v>83</v>
      </c>
      <c r="B44" s="291"/>
      <c r="C44" s="291">
        <f>('K. Summary by OC - S&amp;L'!$C$35/'K. Summary by OC - S&amp;L'!$C$37)*'C. Program Changes by DU - S&amp;L'!$J$22</f>
        <v>42334.995858411385</v>
      </c>
      <c r="D44" s="291"/>
      <c r="E44" s="291">
        <f>('K. Summary by OC - S&amp;L'!$C$35/'K. Summary by OC - S&amp;L'!$C$37)*'C. Program Changes by DU - S&amp;L'!$J$27</f>
        <v>-20159.521837338754</v>
      </c>
      <c r="F44" s="291"/>
      <c r="G44" s="291">
        <f>('K. Summary by OC - S&amp;L'!$C$35/'K. Summary by OC - S&amp;L'!$C$37)*'C. Program Changes by DU - S&amp;L'!$J$28</f>
        <v>-1791.9574966523337</v>
      </c>
      <c r="H44" s="291"/>
      <c r="I44" s="291">
        <f>('K. Summary by OC - S&amp;L'!$C$35/'K. Summary by OC - S&amp;L'!$C$37)*'C. Program Changes by DU - S&amp;L'!$J$29</f>
        <v>-22399.468708154171</v>
      </c>
      <c r="J44" s="291"/>
      <c r="K44" s="291">
        <f>('K. Summary by OC - S&amp;L'!$C$35/'K. Summary by OC - S&amp;L'!$C$37)*'C. Program Changes by DU - S&amp;L'!$J$30</f>
        <v>-36287.139307209756</v>
      </c>
      <c r="L44" s="291"/>
      <c r="M44" s="291">
        <f>('K. Summary by OC - S&amp;L'!$C$35/'K. Summary by OC - S&amp;L'!$C$37)*'C. Program Changes by DU - S&amp;L'!$J$31</f>
        <v>-26879.362449785007</v>
      </c>
      <c r="N44" s="291"/>
      <c r="O44" s="291">
        <f>('K. Summary by OC - S&amp;L'!$C$35/'K. Summary by OC - S&amp;L'!$C$37)*'C. Program Changes by DU - S&amp;L'!$J$32</f>
        <v>-1791.9574966523337</v>
      </c>
      <c r="P44" s="51" t="s">
        <v>10</v>
      </c>
      <c r="R44" s="247"/>
    </row>
    <row r="45" spans="1:18" ht="15" x14ac:dyDescent="0.25">
      <c r="A45" s="295" t="s">
        <v>250</v>
      </c>
      <c r="B45" s="219">
        <f t="shared" ref="B45:O45" si="2">SUM(B38:B44)</f>
        <v>0</v>
      </c>
      <c r="C45" s="219">
        <f t="shared" si="2"/>
        <v>47250</v>
      </c>
      <c r="D45" s="219">
        <f t="shared" si="2"/>
        <v>0</v>
      </c>
      <c r="E45" s="219">
        <f t="shared" si="2"/>
        <v>-22500</v>
      </c>
      <c r="F45" s="219">
        <f t="shared" si="2"/>
        <v>0</v>
      </c>
      <c r="G45" s="219">
        <f t="shared" si="2"/>
        <v>-2000</v>
      </c>
      <c r="H45" s="219">
        <f t="shared" si="2"/>
        <v>0</v>
      </c>
      <c r="I45" s="219">
        <f t="shared" si="2"/>
        <v>-25000</v>
      </c>
      <c r="J45" s="219">
        <f t="shared" si="2"/>
        <v>0</v>
      </c>
      <c r="K45" s="219">
        <f t="shared" si="2"/>
        <v>-40500</v>
      </c>
      <c r="L45" s="219">
        <f t="shared" si="2"/>
        <v>0</v>
      </c>
      <c r="M45" s="219">
        <f t="shared" si="2"/>
        <v>-30000</v>
      </c>
      <c r="N45" s="219">
        <f t="shared" si="2"/>
        <v>0</v>
      </c>
      <c r="O45" s="219">
        <f t="shared" si="2"/>
        <v>-2000</v>
      </c>
      <c r="P45" s="51" t="s">
        <v>10</v>
      </c>
      <c r="R45" s="247"/>
    </row>
    <row r="46" spans="1:18" ht="15" x14ac:dyDescent="0.25">
      <c r="A46" s="294"/>
      <c r="B46" s="244"/>
      <c r="C46" s="244"/>
      <c r="D46" s="244"/>
      <c r="E46" s="244"/>
      <c r="F46" s="244"/>
      <c r="G46" s="244"/>
      <c r="H46" s="244"/>
      <c r="I46" s="244"/>
      <c r="J46" s="244"/>
      <c r="K46" s="244"/>
      <c r="L46" s="244"/>
      <c r="M46" s="244"/>
      <c r="N46" s="244"/>
      <c r="O46" s="244"/>
      <c r="P46" s="51" t="s">
        <v>10</v>
      </c>
      <c r="R46" s="247"/>
    </row>
    <row r="47" spans="1:18" x14ac:dyDescent="0.2">
      <c r="A47" s="247"/>
      <c r="B47" s="247"/>
      <c r="C47" s="247"/>
      <c r="D47" s="247"/>
      <c r="E47" s="247"/>
      <c r="F47" s="247"/>
      <c r="G47" s="247"/>
      <c r="H47" s="247"/>
      <c r="I47" s="247"/>
      <c r="J47" s="247"/>
      <c r="K47" s="247"/>
      <c r="L47" s="247"/>
      <c r="M47" s="247"/>
      <c r="P47" s="51" t="s">
        <v>10</v>
      </c>
      <c r="R47" s="247"/>
    </row>
    <row r="48" spans="1:18" x14ac:dyDescent="0.2">
      <c r="A48" s="247"/>
      <c r="B48" s="247"/>
      <c r="C48" s="247"/>
      <c r="D48" s="247"/>
      <c r="E48" s="247"/>
      <c r="F48" s="247"/>
      <c r="G48" s="247"/>
      <c r="H48" s="247"/>
      <c r="I48" s="247"/>
      <c r="J48" s="247"/>
      <c r="K48" s="247"/>
      <c r="L48" s="247"/>
      <c r="M48" s="247"/>
      <c r="P48" s="51" t="s">
        <v>10</v>
      </c>
      <c r="R48" s="247"/>
    </row>
    <row r="49" spans="1:18" ht="15" x14ac:dyDescent="0.2">
      <c r="A49" s="649" t="s">
        <v>252</v>
      </c>
      <c r="B49" s="636" t="s">
        <v>282</v>
      </c>
      <c r="C49" s="652"/>
      <c r="D49" s="652"/>
      <c r="E49" s="652"/>
      <c r="F49" s="652"/>
      <c r="G49" s="652"/>
      <c r="H49" s="653"/>
      <c r="I49" s="653"/>
      <c r="J49" s="653"/>
      <c r="K49" s="653"/>
      <c r="L49" s="653"/>
      <c r="M49" s="653"/>
      <c r="N49" s="653"/>
      <c r="O49" s="639"/>
      <c r="P49" s="51" t="s">
        <v>10</v>
      </c>
      <c r="R49" s="247"/>
    </row>
    <row r="50" spans="1:18" ht="15" customHeight="1" x14ac:dyDescent="0.2">
      <c r="A50" s="650"/>
      <c r="B50" s="636" t="s">
        <v>376</v>
      </c>
      <c r="C50" s="639"/>
      <c r="D50" s="636" t="s">
        <v>376</v>
      </c>
      <c r="E50" s="639"/>
      <c r="F50" s="636" t="s">
        <v>376</v>
      </c>
      <c r="G50" s="639"/>
      <c r="H50" s="636" t="s">
        <v>376</v>
      </c>
      <c r="I50" s="639"/>
      <c r="J50" s="636" t="s">
        <v>376</v>
      </c>
      <c r="K50" s="639"/>
      <c r="L50" s="636" t="s">
        <v>376</v>
      </c>
      <c r="M50" s="639"/>
      <c r="N50" s="636" t="s">
        <v>376</v>
      </c>
      <c r="O50" s="639"/>
      <c r="P50" s="51" t="s">
        <v>10</v>
      </c>
      <c r="R50" s="247"/>
    </row>
    <row r="51" spans="1:18" ht="77.25" customHeight="1" x14ac:dyDescent="0.2">
      <c r="A51" s="650"/>
      <c r="B51" s="636" t="s">
        <v>263</v>
      </c>
      <c r="C51" s="637"/>
      <c r="D51" s="636" t="s">
        <v>262</v>
      </c>
      <c r="E51" s="637"/>
      <c r="F51" s="636" t="s">
        <v>377</v>
      </c>
      <c r="G51" s="637"/>
      <c r="H51" s="636" t="s">
        <v>254</v>
      </c>
      <c r="I51" s="637"/>
      <c r="J51" s="636" t="s">
        <v>260</v>
      </c>
      <c r="K51" s="637"/>
      <c r="L51" s="636" t="s">
        <v>259</v>
      </c>
      <c r="M51" s="637"/>
      <c r="N51" s="636" t="s">
        <v>258</v>
      </c>
      <c r="O51" s="637"/>
      <c r="P51" s="51" t="s">
        <v>10</v>
      </c>
      <c r="R51" s="247"/>
    </row>
    <row r="52" spans="1:18" ht="28.5" x14ac:dyDescent="0.2">
      <c r="A52" s="651"/>
      <c r="B52" s="235" t="s">
        <v>2</v>
      </c>
      <c r="C52" s="235" t="s">
        <v>3</v>
      </c>
      <c r="D52" s="235" t="s">
        <v>2</v>
      </c>
      <c r="E52" s="235" t="s">
        <v>3</v>
      </c>
      <c r="F52" s="235" t="s">
        <v>2</v>
      </c>
      <c r="G52" s="235" t="s">
        <v>3</v>
      </c>
      <c r="H52" s="235" t="s">
        <v>2</v>
      </c>
      <c r="I52" s="235" t="s">
        <v>3</v>
      </c>
      <c r="J52" s="235" t="s">
        <v>2</v>
      </c>
      <c r="K52" s="235" t="s">
        <v>3</v>
      </c>
      <c r="L52" s="235" t="s">
        <v>2</v>
      </c>
      <c r="M52" s="235" t="s">
        <v>3</v>
      </c>
      <c r="N52" s="235" t="s">
        <v>2</v>
      </c>
      <c r="O52" s="235" t="s">
        <v>3</v>
      </c>
      <c r="P52" s="51" t="s">
        <v>10</v>
      </c>
      <c r="R52" s="247"/>
    </row>
    <row r="53" spans="1:18" x14ac:dyDescent="0.2">
      <c r="A53" s="297" t="s">
        <v>68</v>
      </c>
      <c r="B53" s="296"/>
      <c r="C53" s="296">
        <f>('K. Summary by OC - S&amp;L'!$C$18/'K. Summary by OC - S&amp;L'!$C$37)*'C. Program Changes by DU - S&amp;L'!$J$33</f>
        <v>-0.116614696561492</v>
      </c>
      <c r="D53" s="296"/>
      <c r="E53" s="296">
        <f>('K. Summary by OC - S&amp;L'!$C$18/'K. Summary by OC - S&amp;L'!$C$37)*'C. Program Changes by DU - S&amp;L'!$J$34</f>
        <v>-1.0601336051044727E-2</v>
      </c>
      <c r="F53" s="296"/>
      <c r="G53" s="296">
        <v>0</v>
      </c>
      <c r="H53" s="296"/>
      <c r="I53" s="296">
        <f>('K. Summary by OC - S&amp;L'!$C$18/'K. Summary by OC - S&amp;L'!$C$37)*'C. Program Changes by DU - S&amp;L'!$J$42</f>
        <v>-0.17668893418407877</v>
      </c>
      <c r="J53" s="296"/>
      <c r="K53" s="296">
        <f>('K. Summary by OC - S&amp;L'!$C$18/'K. Summary by OC - S&amp;L'!$C$37)*'C. Program Changes by DU - S&amp;L'!$J$36</f>
        <v>-0.16962137681671563</v>
      </c>
      <c r="L53" s="296"/>
      <c r="M53" s="296">
        <f>('K. Summary by OC - S&amp;L'!$C$18/'K. Summary by OC - S&amp;L'!$C$37)*'C. Program Changes by DU - S&amp;L'!$J$37</f>
        <v>-2.8270229469452603E-2</v>
      </c>
      <c r="N53" s="296"/>
      <c r="O53" s="296">
        <f>('K. Summary by OC - S&amp;L'!$C$18/'K. Summary by OC - S&amp;L'!$C$37)*'C. Program Changes by DU - S&amp;L'!$J$38</f>
        <v>-2.5443206522507342</v>
      </c>
      <c r="P53" s="51" t="s">
        <v>10</v>
      </c>
      <c r="R53" s="247"/>
    </row>
    <row r="54" spans="1:18" x14ac:dyDescent="0.2">
      <c r="A54" s="297" t="s">
        <v>72</v>
      </c>
      <c r="B54" s="296"/>
      <c r="C54" s="296">
        <f>('K. Summary by OC - S&amp;L'!$C$23/'K. Summary by OC - S&amp;L'!$C$37)*'C. Program Changes by DU - S&amp;L'!$J$33</f>
        <v>5.3953732942450294</v>
      </c>
      <c r="D54" s="296"/>
      <c r="E54" s="296">
        <f>('K. Summary by OC - S&amp;L'!$C$23/'K. Summary by OC - S&amp;L'!$C$37)*'C. Program Changes by DU - S&amp;L'!$J$34</f>
        <v>0.49048848129500267</v>
      </c>
      <c r="F54" s="296"/>
      <c r="G54" s="296">
        <v>-5</v>
      </c>
      <c r="H54" s="296"/>
      <c r="I54" s="296">
        <f>('K. Summary by OC - S&amp;L'!$C$23/'K. Summary by OC - S&amp;L'!$C$37)*'C. Program Changes by DU - S&amp;L'!$J$42</f>
        <v>8.1748080215833774</v>
      </c>
      <c r="J54" s="296"/>
      <c r="K54" s="296">
        <f>('K. Summary by OC - S&amp;L'!$C$23/'K. Summary by OC - S&amp;L'!$C$37)*'C. Program Changes by DU - S&amp;L'!$J$36</f>
        <v>7.8478157007200426</v>
      </c>
      <c r="L54" s="296"/>
      <c r="M54" s="296">
        <f>('K. Summary by OC - S&amp;L'!$C$23/'K. Summary by OC - S&amp;L'!$C$37)*'C. Program Changes by DU - S&amp;L'!$J$37</f>
        <v>1.3079692834533405</v>
      </c>
      <c r="N54" s="296"/>
      <c r="O54" s="296">
        <f>('K. Summary by OC - S&amp;L'!$C$23/'K. Summary by OC - S&amp;L'!$C$37)*'C. Program Changes by DU - S&amp;L'!$J$38</f>
        <v>117.71723551080063</v>
      </c>
      <c r="P54" s="51" t="s">
        <v>10</v>
      </c>
      <c r="R54" s="247"/>
    </row>
    <row r="55" spans="1:18" x14ac:dyDescent="0.2">
      <c r="A55" s="297" t="s">
        <v>73</v>
      </c>
      <c r="B55" s="296"/>
      <c r="C55" s="296">
        <f>('K. Summary by OC - S&amp;L'!$C$24/'K. Summary by OC - S&amp;L'!$C$37)*'C. Program Changes by DU - S&amp;L'!$J$33</f>
        <v>-152.29879370930854</v>
      </c>
      <c r="D55" s="296"/>
      <c r="E55" s="296">
        <f>('K. Summary by OC - S&amp;L'!$C$24/'K. Summary by OC - S&amp;L'!$C$37)*'C. Program Changes by DU - S&amp;L'!$J$34</f>
        <v>-13.845344882664412</v>
      </c>
      <c r="F55" s="296"/>
      <c r="G55" s="296">
        <v>-129</v>
      </c>
      <c r="H55" s="296"/>
      <c r="I55" s="296">
        <f>('K. Summary by OC - S&amp;L'!$C$24/'K. Summary by OC - S&amp;L'!$C$37)*'C. Program Changes by DU - S&amp;L'!$J$42</f>
        <v>-230.75574804440686</v>
      </c>
      <c r="J55" s="296"/>
      <c r="K55" s="296">
        <f>('K. Summary by OC - S&amp;L'!$C$24/'K. Summary by OC - S&amp;L'!$C$37)*'C. Program Changes by DU - S&amp;L'!$J$36</f>
        <v>-221.52551812263059</v>
      </c>
      <c r="L55" s="296"/>
      <c r="M55" s="296">
        <f>('K. Summary by OC - S&amp;L'!$C$24/'K. Summary by OC - S&amp;L'!$C$37)*'C. Program Changes by DU - S&amp;L'!$J37</f>
        <v>-36.920919687105098</v>
      </c>
      <c r="N55" s="296"/>
      <c r="O55" s="296">
        <f>('K. Summary by OC - S&amp;L'!$C$24/'K. Summary by OC - S&amp;L'!$C$37)*'C. Program Changes by DU - S&amp;L'!$J$38</f>
        <v>-3322.8827718394587</v>
      </c>
      <c r="P55" s="51" t="s">
        <v>10</v>
      </c>
      <c r="R55" s="247"/>
    </row>
    <row r="56" spans="1:18" x14ac:dyDescent="0.2">
      <c r="A56" s="297" t="s">
        <v>74</v>
      </c>
      <c r="B56" s="296"/>
      <c r="C56" s="296">
        <f>('K. Summary by OC - S&amp;L'!$C$25/'K. Summary by OC - S&amp;L'!$C$37)*'C. Program Changes by DU - S&amp;L'!$J$33</f>
        <v>-5.6752485659926108</v>
      </c>
      <c r="D56" s="296"/>
      <c r="E56" s="296">
        <f>('K. Summary by OC - S&amp;L'!$C$25/'K. Summary by OC - S&amp;L'!$C$37)*'C. Program Changes by DU - S&amp;L'!$J$34</f>
        <v>-0.51593168781751009</v>
      </c>
      <c r="F56" s="296"/>
      <c r="G56" s="296">
        <v>-5</v>
      </c>
      <c r="H56" s="296"/>
      <c r="I56" s="296">
        <f>('K. Summary by OC - S&amp;L'!$C$25/'K. Summary by OC - S&amp;L'!$C$37)*'C. Program Changes by DU - S&amp;L'!$J$42</f>
        <v>-8.5988614636251679</v>
      </c>
      <c r="J56" s="296"/>
      <c r="K56" s="296">
        <f>('K. Summary by OC - S&amp;L'!$C$25/'K. Summary by OC - S&amp;L'!$C$37)*'C. Program Changes by DU - S&amp;L'!$J$36</f>
        <v>-8.2549070050801614</v>
      </c>
      <c r="L56" s="296"/>
      <c r="M56" s="296">
        <f>('K. Summary by OC - S&amp;L'!$C$25/'K. Summary by OC - S&amp;L'!$C$37)*'C. Program Changes by DU - S&amp;L'!$J$37</f>
        <v>-1.3758178341800269</v>
      </c>
      <c r="N56" s="296"/>
      <c r="O56" s="296">
        <f>('K. Summary by OC - S&amp;L'!$C$25/'K. Summary by OC - S&amp;L'!$C$37)*'C. Program Changes by DU - S&amp;L'!$J$38</f>
        <v>-123.82360507620241</v>
      </c>
      <c r="P56" s="51" t="s">
        <v>10</v>
      </c>
      <c r="R56" s="247"/>
    </row>
    <row r="57" spans="1:18" x14ac:dyDescent="0.2">
      <c r="A57" s="297" t="s">
        <v>75</v>
      </c>
      <c r="B57" s="296"/>
      <c r="C57" s="296">
        <f>('K. Summary by OC - S&amp;L'!$C$26/'K. Summary by OC - S&amp;L'!$C$37)*'C. Program Changes by DU - S&amp;L'!$J$33</f>
        <v>-705.4567196921937</v>
      </c>
      <c r="D57" s="296"/>
      <c r="E57" s="296">
        <f>('K. Summary by OC - S&amp;L'!$C$26/'K. Summary by OC - S&amp;L'!$C$37)*'C. Program Changes by DU - S&amp;L'!$J$34</f>
        <v>-64.132429062926704</v>
      </c>
      <c r="F57" s="296"/>
      <c r="G57" s="296">
        <v>-599</v>
      </c>
      <c r="H57" s="296"/>
      <c r="I57" s="296">
        <f>('K. Summary by OC - S&amp;L'!$C$26/'K. Summary by OC - S&amp;L'!$C$37)*'C. Program Changes by DU - S&amp;L'!$J$42</f>
        <v>-1068.8738177154451</v>
      </c>
      <c r="J57" s="296"/>
      <c r="K57" s="296">
        <f>('K. Summary by OC - S&amp;L'!$C$26/'K. Summary by OC - S&amp;L'!$C$37)*'C. Program Changes by DU - S&amp;L'!$J$36</f>
        <v>-1026.1188650068273</v>
      </c>
      <c r="L57" s="296"/>
      <c r="M57" s="296">
        <f>('K. Summary by OC - S&amp;L'!$C$26/'K. Summary by OC - S&amp;L'!$C$37)*'C. Program Changes by DU - S&amp;L'!$J$37</f>
        <v>-171.0198108344712</v>
      </c>
      <c r="N57" s="296"/>
      <c r="O57" s="296">
        <f>('K. Summary by OC - S&amp;L'!$C$26/'K. Summary by OC - S&amp;L'!$C$37)*'C. Program Changes by DU - S&amp;L'!$J$38</f>
        <v>-15391.782975102409</v>
      </c>
      <c r="P57" s="51" t="s">
        <v>10</v>
      </c>
      <c r="R57" s="247"/>
    </row>
    <row r="58" spans="1:18" x14ac:dyDescent="0.2">
      <c r="A58" s="297" t="s">
        <v>80</v>
      </c>
      <c r="B58" s="296"/>
      <c r="C58" s="296">
        <f>('K. Summary by OC - S&amp;L'!$C$32/'K. Summary by OC - S&amp;L'!$C$37)*'C. Program Changes by DU - S&amp;L'!$J$33</f>
        <v>-2.3322939312298396E-2</v>
      </c>
      <c r="D58" s="296"/>
      <c r="E58" s="296">
        <f>('K. Summary by OC - S&amp;L'!$C$32/'K. Summary by OC - S&amp;L'!$C$37)*'C. Program Changes by DU - S&amp;L'!$J$34</f>
        <v>-2.1202672102089452E-3</v>
      </c>
      <c r="F58" s="296"/>
      <c r="G58" s="296">
        <v>0</v>
      </c>
      <c r="H58" s="296"/>
      <c r="I58" s="296">
        <f>('K. Summary by OC - S&amp;L'!$C$32/'K. Summary by OC - S&amp;L'!$C$37)*'C. Program Changes by DU - S&amp;L'!$J$42</f>
        <v>-3.5337786836815752E-2</v>
      </c>
      <c r="J58" s="296"/>
      <c r="K58" s="296">
        <f>('K. Summary by OC - S&amp;L'!$C$32/'K. Summary by OC - S&amp;L'!$C$37)*'C. Program Changes by DU - S&amp;L'!$J$36</f>
        <v>-3.3924275363343123E-2</v>
      </c>
      <c r="L58" s="296"/>
      <c r="M58" s="296">
        <f>('K. Summary by OC - S&amp;L'!$C$32/'K. Summary by OC - S&amp;L'!$C$37)*'C. Program Changes by DU - S&amp;L'!$J$37</f>
        <v>-5.6540458938905205E-3</v>
      </c>
      <c r="N58" s="296"/>
      <c r="O58" s="296">
        <f>('K. Summary by OC - S&amp;L'!$C$32/'K. Summary by OC - S&amp;L'!$C$37)*'C. Program Changes by DU - S&amp;L'!$J$38</f>
        <v>-0.50886413045014689</v>
      </c>
      <c r="P58" s="51" t="s">
        <v>10</v>
      </c>
      <c r="R58" s="247"/>
    </row>
    <row r="59" spans="1:18" x14ac:dyDescent="0.2">
      <c r="A59" s="357" t="s">
        <v>83</v>
      </c>
      <c r="B59" s="291"/>
      <c r="C59" s="291">
        <f>('K. Summary by OC - S&amp;L'!$C$35/'K. Summary by OC - S&amp;L'!$C$37)*'C. Program Changes by DU - S&amp;L'!$J$33</f>
        <v>-7391.8246736908768</v>
      </c>
      <c r="D59" s="291"/>
      <c r="E59" s="291">
        <f>('K. Summary by OC - S&amp;L'!$C$35/'K. Summary by OC - S&amp;L'!$C$37)*'C. Program Changes by DU - S&amp;L'!$J$34</f>
        <v>-671.9840612446252</v>
      </c>
      <c r="F59" s="291"/>
      <c r="G59" s="291">
        <v>-6262</v>
      </c>
      <c r="H59" s="291"/>
      <c r="I59" s="291">
        <f>('K. Summary by OC - S&amp;L'!$C$35/'K. Summary by OC - S&amp;L'!$C$37)*'C. Program Changes by DU - S&amp;L'!$J$42</f>
        <v>-11199.734354077085</v>
      </c>
      <c r="J59" s="291"/>
      <c r="K59" s="291">
        <f>('K. Summary by OC - S&amp;L'!$C$35/'K. Summary by OC - S&amp;L'!$C$37)*'C. Program Changes by DU - S&amp;L'!$J$36</f>
        <v>-10751.744979914003</v>
      </c>
      <c r="L59" s="291"/>
      <c r="M59" s="291">
        <f>('K. Summary by OC - S&amp;L'!$C$35/'K. Summary by OC - S&amp;L'!$C$37)*'C. Program Changes by DU - S&amp;L'!$J$37</f>
        <v>-1791.9574966523337</v>
      </c>
      <c r="N59" s="291"/>
      <c r="O59" s="291">
        <f>('K. Summary by OC - S&amp;L'!$C$35/'K. Summary by OC - S&amp;L'!$C$37)*'C. Program Changes by DU - S&amp;L'!$J$38</f>
        <v>-161276.17469871003</v>
      </c>
      <c r="P59" s="51" t="s">
        <v>10</v>
      </c>
      <c r="R59" s="247"/>
    </row>
    <row r="60" spans="1:18" ht="15" x14ac:dyDescent="0.25">
      <c r="A60" s="295" t="s">
        <v>250</v>
      </c>
      <c r="B60" s="219">
        <f t="shared" ref="B60:O60" si="3">SUM(B53:B59)</f>
        <v>0</v>
      </c>
      <c r="C60" s="219">
        <f t="shared" si="3"/>
        <v>-8250</v>
      </c>
      <c r="D60" s="219">
        <f t="shared" si="3"/>
        <v>0</v>
      </c>
      <c r="E60" s="219">
        <f t="shared" si="3"/>
        <v>-750.00000000000011</v>
      </c>
      <c r="F60" s="219">
        <f t="shared" si="3"/>
        <v>0</v>
      </c>
      <c r="G60" s="219">
        <f t="shared" si="3"/>
        <v>-7000</v>
      </c>
      <c r="H60" s="219">
        <f t="shared" si="3"/>
        <v>0</v>
      </c>
      <c r="I60" s="219">
        <f t="shared" si="3"/>
        <v>-12500</v>
      </c>
      <c r="J60" s="219">
        <f t="shared" si="3"/>
        <v>0</v>
      </c>
      <c r="K60" s="219">
        <f t="shared" si="3"/>
        <v>-12000.000000000002</v>
      </c>
      <c r="L60" s="219">
        <f t="shared" si="3"/>
        <v>0</v>
      </c>
      <c r="M60" s="219">
        <f t="shared" si="3"/>
        <v>-2000</v>
      </c>
      <c r="N60" s="219">
        <f t="shared" si="3"/>
        <v>0</v>
      </c>
      <c r="O60" s="219">
        <f t="shared" si="3"/>
        <v>-180000</v>
      </c>
      <c r="P60" s="51" t="s">
        <v>10</v>
      </c>
      <c r="R60" s="247"/>
    </row>
    <row r="61" spans="1:18" ht="15" x14ac:dyDescent="0.25">
      <c r="A61" s="294"/>
      <c r="B61" s="358"/>
      <c r="C61" s="358"/>
      <c r="D61" s="358"/>
      <c r="E61" s="358"/>
      <c r="F61" s="358"/>
      <c r="G61" s="359"/>
      <c r="H61" s="358"/>
      <c r="I61" s="358"/>
      <c r="J61" s="358"/>
      <c r="K61" s="358"/>
      <c r="L61" s="358"/>
      <c r="M61" s="358"/>
      <c r="N61" s="358"/>
      <c r="O61" s="358"/>
      <c r="P61" s="51" t="s">
        <v>10</v>
      </c>
      <c r="R61" s="247"/>
    </row>
    <row r="62" spans="1:18" ht="15" x14ac:dyDescent="0.2">
      <c r="A62" s="247"/>
      <c r="B62" s="247"/>
      <c r="C62" s="247"/>
      <c r="D62" s="247"/>
      <c r="E62" s="247"/>
      <c r="F62" s="247"/>
      <c r="G62" s="247"/>
      <c r="H62" s="247"/>
      <c r="I62" s="247"/>
      <c r="J62" s="247"/>
      <c r="K62" s="443"/>
      <c r="L62" s="247"/>
      <c r="M62" s="247"/>
      <c r="P62" s="51" t="s">
        <v>10</v>
      </c>
      <c r="R62" s="247"/>
    </row>
    <row r="63" spans="1:18" ht="15" customHeight="1" x14ac:dyDescent="0.2">
      <c r="A63" s="649" t="s">
        <v>252</v>
      </c>
      <c r="B63" s="636" t="s">
        <v>282</v>
      </c>
      <c r="C63" s="653"/>
      <c r="D63" s="653"/>
      <c r="E63" s="653"/>
      <c r="F63" s="653"/>
      <c r="G63" s="653"/>
      <c r="H63" s="653"/>
      <c r="I63" s="639"/>
      <c r="K63" s="443"/>
      <c r="L63" s="254"/>
      <c r="P63" s="51" t="s">
        <v>10</v>
      </c>
      <c r="R63" s="247"/>
    </row>
    <row r="64" spans="1:18" ht="15" customHeight="1" x14ac:dyDescent="0.2">
      <c r="A64" s="650"/>
      <c r="B64" s="636" t="s">
        <v>376</v>
      </c>
      <c r="C64" s="639"/>
      <c r="D64" s="636" t="s">
        <v>376</v>
      </c>
      <c r="E64" s="639"/>
      <c r="F64" s="636" t="s">
        <v>376</v>
      </c>
      <c r="G64" s="639"/>
      <c r="H64" s="423"/>
      <c r="I64" s="424"/>
      <c r="J64" s="51"/>
      <c r="K64" s="247"/>
      <c r="N64" s="51" t="s">
        <v>10</v>
      </c>
      <c r="P64" s="51" t="s">
        <v>10</v>
      </c>
    </row>
    <row r="65" spans="1:18" ht="81.75" customHeight="1" x14ac:dyDescent="0.2">
      <c r="A65" s="650"/>
      <c r="B65" s="636" t="s">
        <v>257</v>
      </c>
      <c r="C65" s="637"/>
      <c r="D65" s="636" t="s">
        <v>256</v>
      </c>
      <c r="E65" s="637"/>
      <c r="F65" s="636" t="s">
        <v>255</v>
      </c>
      <c r="G65" s="637"/>
      <c r="H65" s="654" t="s">
        <v>9</v>
      </c>
      <c r="I65" s="591"/>
      <c r="J65" s="51"/>
      <c r="K65" s="247"/>
      <c r="N65" s="51" t="s">
        <v>10</v>
      </c>
      <c r="P65" s="51" t="s">
        <v>10</v>
      </c>
    </row>
    <row r="66" spans="1:18" ht="28.5" x14ac:dyDescent="0.2">
      <c r="A66" s="651"/>
      <c r="B66" s="235" t="s">
        <v>2</v>
      </c>
      <c r="C66" s="235" t="s">
        <v>3</v>
      </c>
      <c r="D66" s="235" t="s">
        <v>2</v>
      </c>
      <c r="E66" s="235" t="s">
        <v>3</v>
      </c>
      <c r="F66" s="235" t="s">
        <v>2</v>
      </c>
      <c r="G66" s="235" t="s">
        <v>3</v>
      </c>
      <c r="H66" s="235" t="s">
        <v>2</v>
      </c>
      <c r="I66" s="235" t="s">
        <v>3</v>
      </c>
      <c r="J66" s="51"/>
      <c r="N66" s="51" t="s">
        <v>10</v>
      </c>
      <c r="P66" s="51" t="s">
        <v>10</v>
      </c>
    </row>
    <row r="67" spans="1:18" x14ac:dyDescent="0.2">
      <c r="A67" s="297" t="s">
        <v>68</v>
      </c>
      <c r="B67" s="296"/>
      <c r="C67" s="296">
        <f>('K. Summary by OC - S&amp;L'!$C$18/'K. Summary by OC - S&amp;L'!$C$37)*'C. Program Changes by DU - S&amp;L'!$J$39</f>
        <v>-5.6540458938905205E-2</v>
      </c>
      <c r="D67" s="296"/>
      <c r="E67" s="296">
        <f>('K. Summary by OC - S&amp;L'!$C$18/'K. Summary by OC - S&amp;L'!$C$37)*'C. Program Changes by DU - S&amp;L'!$J$40</f>
        <v>-5.3006680255223634E-2</v>
      </c>
      <c r="F67" s="296"/>
      <c r="G67" s="296">
        <f>('K. Summary by OC - S&amp;L'!$C$18/'K. Summary by OC - S&amp;L'!$C$37)*'C. Program Changes by DU - S&amp;L'!$J$41</f>
        <v>-4.9472901571542056E-2</v>
      </c>
      <c r="H67" s="296"/>
      <c r="I67" s="296">
        <f>SUM(G67,E67,C67,O53,M53,K53,I53,G53,E53,C53,O38,M38,K38,I38,G38,E38,C38,O24,M24,K24,I24,G24,E24,C24,C10,E10,G10,I10,K10,M10,O10)</f>
        <v>-1.860181099089981</v>
      </c>
      <c r="J67" s="51"/>
      <c r="N67" s="51" t="s">
        <v>10</v>
      </c>
      <c r="P67" s="51" t="s">
        <v>10</v>
      </c>
    </row>
    <row r="68" spans="1:18" x14ac:dyDescent="0.2">
      <c r="A68" s="297" t="s">
        <v>72</v>
      </c>
      <c r="B68" s="296"/>
      <c r="C68" s="296">
        <f>('K. Summary by OC - S&amp;L'!$C$23/'K. Summary by OC - S&amp;L'!$C$37)*'C. Program Changes by DU - S&amp;L'!$J$39</f>
        <v>2.615938566906681</v>
      </c>
      <c r="D68" s="296"/>
      <c r="E68" s="296">
        <f>('K. Summary by OC - S&amp;L'!$C$23/'K. Summary by OC - S&amp;L'!$C$37)*'C. Program Changes by DU - S&amp;L'!$J$40</f>
        <v>2.4524424064750132</v>
      </c>
      <c r="F68" s="296"/>
      <c r="G68" s="296">
        <f>('K. Summary by OC - S&amp;L'!$C$23/'K. Summary by OC - S&amp;L'!$C$37)*'C. Program Changes by DU - S&amp;L'!$J$41</f>
        <v>2.2889462460433458</v>
      </c>
      <c r="H68" s="296"/>
      <c r="I68" s="296">
        <f t="shared" ref="I68:I73" si="4">SUM(G68,E68,C68,O54,M54,K54,I54,G54,E54,C54,O39,M39,K39,I39,G39,E39,C39,O25,M25,K25,I25,G25,E25,C25,C11,E11,G11,I11,K11,M11,O11)</f>
        <v>81.064378851229719</v>
      </c>
      <c r="J68" s="51"/>
      <c r="N68" s="51" t="s">
        <v>10</v>
      </c>
      <c r="P68" s="51" t="s">
        <v>10</v>
      </c>
    </row>
    <row r="69" spans="1:18" x14ac:dyDescent="0.2">
      <c r="A69" s="297" t="s">
        <v>73</v>
      </c>
      <c r="B69" s="296"/>
      <c r="C69" s="296">
        <f>('K. Summary by OC - S&amp;L'!$C$24/'K. Summary by OC - S&amp;L'!$C$37)*'C. Program Changes by DU - S&amp;L'!$J$39</f>
        <v>-73.841839374210196</v>
      </c>
      <c r="D69" s="296"/>
      <c r="E69" s="296">
        <f>('K. Summary by OC - S&amp;L'!$C$24/'K. Summary by OC - S&amp;L'!$C$37)*'C. Program Changes by DU - S&amp;L'!$J$40</f>
        <v>-69.22672441332206</v>
      </c>
      <c r="F69" s="296"/>
      <c r="G69" s="296">
        <f>('K. Summary by OC - S&amp;L'!$C$24/'K. Summary by OC - S&amp;L'!$C$37)*'C. Program Changes by DU - S&amp;L'!$J$41</f>
        <v>-64.611609452433925</v>
      </c>
      <c r="H69" s="296"/>
      <c r="I69" s="296">
        <f t="shared" si="4"/>
        <v>-2558.3965154115158</v>
      </c>
      <c r="J69" s="51"/>
      <c r="N69" s="51" t="s">
        <v>10</v>
      </c>
      <c r="P69" s="51" t="s">
        <v>10</v>
      </c>
    </row>
    <row r="70" spans="1:18" x14ac:dyDescent="0.2">
      <c r="A70" s="297" t="s">
        <v>74</v>
      </c>
      <c r="B70" s="296"/>
      <c r="C70" s="296">
        <f>('K. Summary by OC - S&amp;L'!$C$25/'K. Summary by OC - S&amp;L'!$C$37)*'C. Program Changes by DU - S&amp;L'!$J$39</f>
        <v>-2.7516356683600538</v>
      </c>
      <c r="D70" s="296"/>
      <c r="E70" s="296">
        <f>('K. Summary by OC - S&amp;L'!$C$25/'K. Summary by OC - S&amp;L'!$C$37)*'C. Program Changes by DU - S&amp;L'!$J$40</f>
        <v>-2.5796584390875501</v>
      </c>
      <c r="F70" s="296"/>
      <c r="G70" s="296">
        <f>('K. Summary by OC - S&amp;L'!$C$25/'K. Summary by OC - S&amp;L'!$C$37)*'C. Program Changes by DU - S&amp;L'!$J$41</f>
        <v>-2.4076812098150469</v>
      </c>
      <c r="H70" s="296"/>
      <c r="I70" s="296">
        <f t="shared" si="4"/>
        <v>-95.528813489045689</v>
      </c>
      <c r="J70" s="51"/>
      <c r="N70" s="51" t="s">
        <v>10</v>
      </c>
      <c r="P70" s="51" t="s">
        <v>10</v>
      </c>
    </row>
    <row r="71" spans="1:18" x14ac:dyDescent="0.2">
      <c r="A71" s="297" t="s">
        <v>75</v>
      </c>
      <c r="B71" s="296"/>
      <c r="C71" s="296">
        <f>('K. Summary by OC - S&amp;L'!$C$26/'K. Summary by OC - S&amp;L'!$C$37)*'C. Program Changes by DU - S&amp;L'!$J$39</f>
        <v>-342.0396216689424</v>
      </c>
      <c r="D71" s="296"/>
      <c r="E71" s="296">
        <f>('K. Summary by OC - S&amp;L'!$C$26/'K. Summary by OC - S&amp;L'!$C$37)*'C. Program Changes by DU - S&amp;L'!$J$40</f>
        <v>-320.66214531463351</v>
      </c>
      <c r="F71" s="296"/>
      <c r="G71" s="296">
        <f>('K. Summary by OC - S&amp;L'!$C$26/'K. Summary by OC - S&amp;L'!$C$37)*'C. Program Changes by DU - S&amp;L'!$J$41</f>
        <v>-299.28466896032461</v>
      </c>
      <c r="H71" s="296"/>
      <c r="I71" s="296">
        <f t="shared" si="4"/>
        <v>-11852.103552908196</v>
      </c>
      <c r="J71" s="51"/>
      <c r="N71" s="51" t="s">
        <v>10</v>
      </c>
      <c r="P71" s="51" t="s">
        <v>10</v>
      </c>
    </row>
    <row r="72" spans="1:18" x14ac:dyDescent="0.2">
      <c r="A72" s="297" t="s">
        <v>80</v>
      </c>
      <c r="B72" s="296"/>
      <c r="C72" s="296">
        <f>('K. Summary by OC - S&amp;L'!$C$32/'K. Summary by OC - S&amp;L'!$C$37)*'C. Program Changes by DU - S&amp;L'!$J$39</f>
        <v>-1.1308091787781041E-2</v>
      </c>
      <c r="D72" s="296"/>
      <c r="E72" s="296">
        <f>('K. Summary by OC - S&amp;L'!$C$32/'K. Summary by OC - S&amp;L'!$C$37)*'C. Program Changes by DU - S&amp;L'!$J$40</f>
        <v>-1.0601336051044725E-2</v>
      </c>
      <c r="F72" s="296"/>
      <c r="G72" s="296">
        <f>('K. Summary by OC - S&amp;L'!$C$32/'K. Summary by OC - S&amp;L'!$C$37)*'C. Program Changes by DU - S&amp;L'!$J$41</f>
        <v>-9.8945803143084109E-3</v>
      </c>
      <c r="H72" s="296"/>
      <c r="I72" s="296">
        <f t="shared" si="4"/>
        <v>-0.37203621981799634</v>
      </c>
      <c r="J72" s="51"/>
      <c r="N72" s="51" t="s">
        <v>10</v>
      </c>
      <c r="P72" s="51" t="s">
        <v>10</v>
      </c>
    </row>
    <row r="73" spans="1:18" x14ac:dyDescent="0.2">
      <c r="A73" s="357" t="s">
        <v>83</v>
      </c>
      <c r="B73" s="291"/>
      <c r="C73" s="291">
        <f>('K. Summary by OC - S&amp;L'!$C$35/'K. Summary by OC - S&amp;L'!$C$37)*'C. Program Changes by DU - S&amp;L'!$J$39</f>
        <v>-3583.9149933046674</v>
      </c>
      <c r="D73" s="291"/>
      <c r="E73" s="291">
        <f>('K. Summary by OC - S&amp;L'!$C$35/'K. Summary by OC - S&amp;L'!$C$37)*'C. Program Changes by DU - S&amp;L'!$J$40</f>
        <v>-3359.9203062231259</v>
      </c>
      <c r="F73" s="291"/>
      <c r="G73" s="291">
        <f>('K. Summary by OC - S&amp;L'!$C$35/'K. Summary by OC - S&amp;L'!$C$37)*'C. Program Changes by DU - S&amp;L'!$J$41</f>
        <v>-3135.9256191415839</v>
      </c>
      <c r="H73" s="291"/>
      <c r="I73" s="296">
        <f t="shared" si="4"/>
        <v>-124172.80327972354</v>
      </c>
      <c r="J73" s="51"/>
      <c r="N73" s="51" t="s">
        <v>10</v>
      </c>
      <c r="P73" s="51" t="s">
        <v>10</v>
      </c>
    </row>
    <row r="74" spans="1:18" ht="15" x14ac:dyDescent="0.25">
      <c r="A74" s="295" t="s">
        <v>250</v>
      </c>
      <c r="B74" s="219">
        <f t="shared" ref="B74:H74" si="5">SUM(B67:B73)</f>
        <v>0</v>
      </c>
      <c r="C74" s="219">
        <f t="shared" si="5"/>
        <v>-4000</v>
      </c>
      <c r="D74" s="219">
        <f t="shared" si="5"/>
        <v>0</v>
      </c>
      <c r="E74" s="219">
        <f t="shared" si="5"/>
        <v>-3750</v>
      </c>
      <c r="F74" s="219">
        <f t="shared" si="5"/>
        <v>0</v>
      </c>
      <c r="G74" s="219">
        <f t="shared" si="5"/>
        <v>-3500</v>
      </c>
      <c r="H74" s="219">
        <f t="shared" si="5"/>
        <v>0</v>
      </c>
      <c r="I74" s="219">
        <f>SUM(I67:I73)</f>
        <v>-138599.99999999997</v>
      </c>
      <c r="J74" s="51"/>
      <c r="N74" s="51" t="s">
        <v>10</v>
      </c>
      <c r="P74" s="51" t="s">
        <v>11</v>
      </c>
    </row>
    <row r="75" spans="1:18" x14ac:dyDescent="0.2">
      <c r="P75" s="51"/>
      <c r="R75" s="247"/>
    </row>
    <row r="76" spans="1:18" x14ac:dyDescent="0.2">
      <c r="R76" s="247"/>
    </row>
  </sheetData>
  <customSheetViews>
    <customSheetView guid="{EE916FE7-61FB-4021-ADDD-E082241FC03C}" scale="80" showPageBreaks="1" printArea="1" view="pageBreakPreview" topLeftCell="A25">
      <selection activeCell="D14" sqref="D14"/>
      <rowBreaks count="1" manualBreakCount="1">
        <brk id="47" max="14" man="1"/>
      </rowBreaks>
      <pageMargins left="0.7" right="0.7" top="0.52" bottom="0.39" header="0.3" footer="0.23"/>
      <printOptions horizontalCentered="1"/>
      <pageSetup scale="56" fitToHeight="2" orientation="landscape" r:id="rId1"/>
      <headerFooter>
        <oddHeader xml:space="preserve">&amp;L&amp;"Arial,Bold"&amp;12J. Financial Analysis of Program Changes
</oddHeader>
        <oddFooter>&amp;C&amp;"Arial,Regular"Exhibit J - Financial Analysis of Program Changes&amp;RState and Local Law Enforcement Assistance</oddFooter>
      </headerFooter>
    </customSheetView>
    <customSheetView guid="{0BB5DC4B-BC2A-4489-BE17-5E267FA1EF63}" scale="80" showPageBreaks="1" printArea="1" view="pageBreakPreview" topLeftCell="A25">
      <selection activeCell="D14" sqref="D14"/>
      <rowBreaks count="1" manualBreakCount="1">
        <brk id="47" max="14" man="1"/>
      </rowBreaks>
      <pageMargins left="0.7" right="0.7" top="0.52" bottom="0.39" header="0.3" footer="0.23"/>
      <printOptions horizontalCentered="1"/>
      <pageSetup scale="56" fitToHeight="2" orientation="landscape" r:id="rId2"/>
      <headerFooter>
        <oddHeader xml:space="preserve">&amp;L&amp;"Arial,Bold"&amp;12J. Financial Analysis of Program Changes
</oddHeader>
        <oddFooter>&amp;C&amp;"Arial,Regular"Exhibit J - Financial Analysis of Program Changes&amp;RState and Local Law Enforcement Assistance</oddFooter>
      </headerFooter>
    </customSheetView>
    <customSheetView guid="{6C58FFE1-D756-42C4-A1BC-AA7F1DC1E56F}" scale="80" showPageBreaks="1" printArea="1" view="pageBreakPreview" topLeftCell="B47">
      <selection activeCell="F57" sqref="F57"/>
      <rowBreaks count="1" manualBreakCount="1">
        <brk id="47" max="14" man="1"/>
      </rowBreaks>
      <pageMargins left="0.7" right="0.7" top="0.52" bottom="0.39" header="0.3" footer="0.23"/>
      <printOptions horizontalCentered="1"/>
      <pageSetup scale="56" fitToHeight="2" orientation="landscape" r:id="rId3"/>
      <headerFooter>
        <oddHeader xml:space="preserve">&amp;L&amp;"Arial,Bold"&amp;12J. Financial Analysis of Program Changes
</oddHeader>
        <oddFooter>&amp;C&amp;"Arial,Regular"Exhibit J - Financial Analysis of Program Changes&amp;RState and Local Law Enforcement Assistance</oddFooter>
      </headerFooter>
    </customSheetView>
    <customSheetView guid="{CFA5D1C9-F4C9-4B8D-923D-4C71CB6E7D3B}" scale="80" showPageBreaks="1" printArea="1" view="pageBreakPreview" topLeftCell="A25">
      <selection activeCell="D14" sqref="D14"/>
      <rowBreaks count="1" manualBreakCount="1">
        <brk id="47" max="14" man="1"/>
      </rowBreaks>
      <pageMargins left="0.7" right="0.7" top="0.52" bottom="0.39" header="0.3" footer="0.23"/>
      <printOptions horizontalCentered="1"/>
      <pageSetup scale="56" fitToHeight="2" orientation="landscape" r:id="rId4"/>
      <headerFooter>
        <oddHeader xml:space="preserve">&amp;L&amp;"Arial,Bold"&amp;12J. Financial Analysis of Program Changes
</oddHeader>
        <oddFooter>&amp;C&amp;"Arial,Regular"Exhibit J - Financial Analysis of Program Changes&amp;RState and Local Law Enforcement Assistance</oddFooter>
      </headerFooter>
    </customSheetView>
    <customSheetView guid="{A788DF77-74F1-49E4-8B34-BFBDB7664F30}" scale="80" showPageBreaks="1" printArea="1" view="pageBreakPreview" topLeftCell="B34">
      <selection activeCell="F57" sqref="F57"/>
      <rowBreaks count="1" manualBreakCount="1">
        <brk id="47" max="14" man="1"/>
      </rowBreaks>
      <pageMargins left="0.7" right="0.7" top="0.52" bottom="0.39" header="0.3" footer="0.23"/>
      <printOptions horizontalCentered="1"/>
      <pageSetup scale="56" fitToHeight="2" orientation="landscape" r:id="rId5"/>
      <headerFooter>
        <oddHeader xml:space="preserve">&amp;L&amp;"Arial,Bold"&amp;12J. Financial Analysis of Program Changes
</oddHeader>
        <oddFooter>&amp;C&amp;"Arial,Regular"Exhibit J - Financial Analysis of Program Changes&amp;RState and Local Law Enforcement Assistance</oddFooter>
      </headerFooter>
    </customSheetView>
  </customSheetViews>
  <mergeCells count="78">
    <mergeCell ref="A49:A52"/>
    <mergeCell ref="B49:O49"/>
    <mergeCell ref="B50:C50"/>
    <mergeCell ref="D50:E50"/>
    <mergeCell ref="F50:G50"/>
    <mergeCell ref="H50:I50"/>
    <mergeCell ref="J50:K50"/>
    <mergeCell ref="L50:M50"/>
    <mergeCell ref="L51:M51"/>
    <mergeCell ref="N50:O50"/>
    <mergeCell ref="B51:C51"/>
    <mergeCell ref="D51:E51"/>
    <mergeCell ref="F51:G51"/>
    <mergeCell ref="H51:I51"/>
    <mergeCell ref="J51:K51"/>
    <mergeCell ref="N51:O51"/>
    <mergeCell ref="A34:A37"/>
    <mergeCell ref="B34:O34"/>
    <mergeCell ref="B35:C35"/>
    <mergeCell ref="D35:E35"/>
    <mergeCell ref="F35:G35"/>
    <mergeCell ref="H35:I35"/>
    <mergeCell ref="J35:K35"/>
    <mergeCell ref="L35:M35"/>
    <mergeCell ref="L36:M36"/>
    <mergeCell ref="N35:O35"/>
    <mergeCell ref="B36:C36"/>
    <mergeCell ref="D36:E36"/>
    <mergeCell ref="N36:O36"/>
    <mergeCell ref="J36:K36"/>
    <mergeCell ref="N8:O8"/>
    <mergeCell ref="B6:O6"/>
    <mergeCell ref="F8:G8"/>
    <mergeCell ref="H8:I8"/>
    <mergeCell ref="J8:K8"/>
    <mergeCell ref="L8:M8"/>
    <mergeCell ref="F7:G7"/>
    <mergeCell ref="J7:K7"/>
    <mergeCell ref="H7:I7"/>
    <mergeCell ref="L7:M7"/>
    <mergeCell ref="N7:O7"/>
    <mergeCell ref="A1:O1"/>
    <mergeCell ref="A2:O2"/>
    <mergeCell ref="A3:O3"/>
    <mergeCell ref="A4:O4"/>
    <mergeCell ref="A5:M5"/>
    <mergeCell ref="D64:E64"/>
    <mergeCell ref="F64:G64"/>
    <mergeCell ref="B63:I63"/>
    <mergeCell ref="L21:M21"/>
    <mergeCell ref="N21:O21"/>
    <mergeCell ref="N22:O22"/>
    <mergeCell ref="B22:C22"/>
    <mergeCell ref="D22:E22"/>
    <mergeCell ref="F22:G22"/>
    <mergeCell ref="H22:I22"/>
    <mergeCell ref="J22:K22"/>
    <mergeCell ref="L22:M22"/>
    <mergeCell ref="H21:I21"/>
    <mergeCell ref="J21:K21"/>
    <mergeCell ref="F36:G36"/>
    <mergeCell ref="H36:I36"/>
    <mergeCell ref="A63:A66"/>
    <mergeCell ref="A6:A9"/>
    <mergeCell ref="B8:C8"/>
    <mergeCell ref="D8:E8"/>
    <mergeCell ref="B7:C7"/>
    <mergeCell ref="D7:E7"/>
    <mergeCell ref="A20:A23"/>
    <mergeCell ref="B20:O20"/>
    <mergeCell ref="B21:C21"/>
    <mergeCell ref="D21:E21"/>
    <mergeCell ref="B65:C65"/>
    <mergeCell ref="D65:E65"/>
    <mergeCell ref="F65:G65"/>
    <mergeCell ref="H65:I65"/>
    <mergeCell ref="B64:C64"/>
    <mergeCell ref="F21:G21"/>
  </mergeCells>
  <printOptions horizontalCentered="1"/>
  <pageMargins left="0.7" right="0.7" top="0.52" bottom="0.39" header="0.3" footer="0.23"/>
  <pageSetup scale="56" fitToHeight="2" orientation="landscape" r:id="rId6"/>
  <headerFooter>
    <oddHeader xml:space="preserve">&amp;L&amp;"Arial,Bold"&amp;12J. Financial Analysis of Program Changes
</oddHeader>
    <oddFooter>&amp;C&amp;"Arial,Regular"Exhibit J - Financial Analysis of Program Changes&amp;RState and Local Law Enforcement Assistance</oddFooter>
  </headerFooter>
  <rowBreaks count="1" manualBreakCount="1">
    <brk id="47" max="14"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view="pageBreakPreview" topLeftCell="A19" zoomScale="90" zoomScaleNormal="100" zoomScaleSheetLayoutView="90" workbookViewId="0">
      <selection activeCell="L36" sqref="L36"/>
    </sheetView>
  </sheetViews>
  <sheetFormatPr defaultRowHeight="14.25" x14ac:dyDescent="0.2"/>
  <cols>
    <col min="1" max="1" width="86.5703125" style="143" customWidth="1"/>
    <col min="2" max="2" width="8.28515625" style="143" customWidth="1"/>
    <col min="3" max="3" width="12.7109375" style="143" customWidth="1"/>
    <col min="4" max="4" width="8.28515625" style="143" customWidth="1"/>
    <col min="5" max="5" width="12.7109375" style="143" customWidth="1"/>
    <col min="6" max="6" width="8.28515625" style="143" customWidth="1"/>
    <col min="7" max="7" width="12.7109375" style="143" customWidth="1"/>
    <col min="8" max="8" width="8.28515625" style="143" customWidth="1"/>
    <col min="9" max="9" width="12.7109375" style="143" customWidth="1"/>
    <col min="10" max="10" width="14" style="4" bestFit="1" customWidth="1"/>
    <col min="11" max="11" width="4.5703125" style="143" customWidth="1"/>
    <col min="12" max="12" width="116.7109375" style="257" customWidth="1"/>
    <col min="13" max="14" width="8.28515625" style="143" customWidth="1"/>
    <col min="15" max="15" width="12.7109375" style="143" customWidth="1"/>
    <col min="16" max="17" width="8.28515625" style="143" customWidth="1"/>
    <col min="18" max="18" width="12.7109375" style="143" customWidth="1"/>
    <col min="19" max="16384" width="9.140625" style="143"/>
  </cols>
  <sheetData>
    <row r="1" spans="1:18" ht="18" x14ac:dyDescent="0.25">
      <c r="A1" s="577" t="s">
        <v>59</v>
      </c>
      <c r="B1" s="577"/>
      <c r="C1" s="577"/>
      <c r="D1" s="577"/>
      <c r="E1" s="577"/>
      <c r="F1" s="577"/>
      <c r="G1" s="577"/>
      <c r="H1" s="577"/>
      <c r="I1" s="577"/>
      <c r="J1" s="51" t="s">
        <v>10</v>
      </c>
      <c r="K1" s="6"/>
      <c r="L1" s="199"/>
      <c r="M1" s="6"/>
      <c r="N1" s="6"/>
      <c r="O1" s="6"/>
      <c r="P1" s="6"/>
      <c r="Q1" s="6"/>
      <c r="R1" s="6"/>
    </row>
    <row r="2" spans="1:18" ht="15" x14ac:dyDescent="0.2">
      <c r="A2" s="578" t="s">
        <v>152</v>
      </c>
      <c r="B2" s="578"/>
      <c r="C2" s="578"/>
      <c r="D2" s="578"/>
      <c r="E2" s="578"/>
      <c r="F2" s="578"/>
      <c r="G2" s="578"/>
      <c r="H2" s="578"/>
      <c r="I2" s="578"/>
      <c r="J2" s="51" t="s">
        <v>10</v>
      </c>
      <c r="K2" s="7"/>
      <c r="L2" s="198"/>
      <c r="M2" s="7"/>
      <c r="N2" s="7"/>
      <c r="O2" s="7"/>
      <c r="P2" s="7"/>
      <c r="Q2" s="7"/>
      <c r="R2" s="7"/>
    </row>
    <row r="3" spans="1:18" x14ac:dyDescent="0.2">
      <c r="A3" s="579" t="s">
        <v>282</v>
      </c>
      <c r="B3" s="579"/>
      <c r="C3" s="579"/>
      <c r="D3" s="579"/>
      <c r="E3" s="579"/>
      <c r="F3" s="579"/>
      <c r="G3" s="579"/>
      <c r="H3" s="579"/>
      <c r="I3" s="579"/>
      <c r="J3" s="51" t="s">
        <v>10</v>
      </c>
      <c r="K3" s="163"/>
      <c r="L3" s="198"/>
      <c r="M3" s="163"/>
      <c r="N3" s="163"/>
      <c r="O3" s="163"/>
      <c r="P3" s="163"/>
      <c r="Q3" s="163"/>
      <c r="R3" s="163"/>
    </row>
    <row r="4" spans="1:18" x14ac:dyDescent="0.2">
      <c r="A4" s="608" t="s">
        <v>1</v>
      </c>
      <c r="B4" s="608"/>
      <c r="C4" s="608"/>
      <c r="D4" s="608"/>
      <c r="E4" s="608"/>
      <c r="F4" s="608"/>
      <c r="G4" s="608"/>
      <c r="H4" s="608"/>
      <c r="I4" s="608"/>
      <c r="J4" s="51" t="s">
        <v>10</v>
      </c>
      <c r="K4" s="162"/>
      <c r="L4" s="198"/>
      <c r="M4" s="162"/>
      <c r="N4" s="162"/>
      <c r="O4" s="162"/>
      <c r="P4" s="162"/>
      <c r="Q4" s="162"/>
      <c r="R4" s="162"/>
    </row>
    <row r="5" spans="1:18" ht="15.75" thickBot="1" x14ac:dyDescent="0.3">
      <c r="A5" s="608"/>
      <c r="B5" s="608"/>
      <c r="C5" s="608"/>
      <c r="D5" s="608"/>
      <c r="E5" s="608"/>
      <c r="F5" s="608"/>
      <c r="G5" s="608"/>
      <c r="H5" s="608"/>
      <c r="I5" s="608"/>
      <c r="J5" s="51" t="s">
        <v>10</v>
      </c>
      <c r="K5" s="162"/>
      <c r="L5" s="241"/>
      <c r="M5" s="162"/>
      <c r="N5" s="162"/>
      <c r="O5" s="162"/>
      <c r="P5" s="162"/>
      <c r="Q5" s="162"/>
      <c r="R5" s="162"/>
    </row>
    <row r="6" spans="1:18" ht="15" x14ac:dyDescent="0.2">
      <c r="A6" s="585" t="s">
        <v>60</v>
      </c>
      <c r="B6" s="588" t="s">
        <v>133</v>
      </c>
      <c r="C6" s="588"/>
      <c r="D6" s="588" t="s">
        <v>135</v>
      </c>
      <c r="E6" s="588"/>
      <c r="F6" s="588" t="s">
        <v>130</v>
      </c>
      <c r="G6" s="588"/>
      <c r="H6" s="588" t="s">
        <v>31</v>
      </c>
      <c r="I6" s="589"/>
      <c r="J6" s="51" t="s">
        <v>10</v>
      </c>
      <c r="L6" s="362"/>
    </row>
    <row r="7" spans="1:18" ht="28.5" x14ac:dyDescent="0.2">
      <c r="A7" s="586"/>
      <c r="B7" s="235" t="s">
        <v>17</v>
      </c>
      <c r="C7" s="235" t="s">
        <v>3</v>
      </c>
      <c r="D7" s="235" t="s">
        <v>17</v>
      </c>
      <c r="E7" s="235" t="s">
        <v>3</v>
      </c>
      <c r="F7" s="235" t="s">
        <v>17</v>
      </c>
      <c r="G7" s="235" t="s">
        <v>3</v>
      </c>
      <c r="H7" s="235" t="s">
        <v>17</v>
      </c>
      <c r="I7" s="234" t="s">
        <v>3</v>
      </c>
      <c r="J7" s="51" t="s">
        <v>10</v>
      </c>
      <c r="L7" s="366"/>
    </row>
    <row r="8" spans="1:18" x14ac:dyDescent="0.2">
      <c r="A8" s="218" t="s">
        <v>61</v>
      </c>
      <c r="B8" s="217">
        <v>0</v>
      </c>
      <c r="C8" s="217">
        <v>0</v>
      </c>
      <c r="D8" s="217">
        <v>0</v>
      </c>
      <c r="E8" s="217">
        <v>0</v>
      </c>
      <c r="F8" s="217">
        <v>0</v>
      </c>
      <c r="G8" s="217">
        <v>0</v>
      </c>
      <c r="H8" s="217">
        <f t="shared" ref="H8:I13" si="0">F8-D8</f>
        <v>0</v>
      </c>
      <c r="I8" s="286">
        <f t="shared" si="0"/>
        <v>0</v>
      </c>
      <c r="J8" s="51" t="s">
        <v>10</v>
      </c>
      <c r="L8" s="362"/>
    </row>
    <row r="9" spans="1:18" x14ac:dyDescent="0.2">
      <c r="A9" s="142" t="s">
        <v>62</v>
      </c>
      <c r="B9" s="154">
        <v>0</v>
      </c>
      <c r="C9" s="154">
        <v>0</v>
      </c>
      <c r="D9" s="154">
        <v>0</v>
      </c>
      <c r="E9" s="154">
        <v>0</v>
      </c>
      <c r="F9" s="154">
        <v>0</v>
      </c>
      <c r="G9" s="154">
        <v>0</v>
      </c>
      <c r="H9" s="154">
        <f t="shared" si="0"/>
        <v>0</v>
      </c>
      <c r="I9" s="151">
        <f t="shared" si="0"/>
        <v>0</v>
      </c>
      <c r="J9" s="51" t="s">
        <v>10</v>
      </c>
      <c r="L9" s="361"/>
    </row>
    <row r="10" spans="1:18" x14ac:dyDescent="0.2">
      <c r="A10" s="142" t="s">
        <v>106</v>
      </c>
      <c r="B10" s="154">
        <f t="shared" ref="B10:G10" si="1">SUM(B11:B12)</f>
        <v>0</v>
      </c>
      <c r="C10" s="154">
        <f t="shared" si="1"/>
        <v>0</v>
      </c>
      <c r="D10" s="154">
        <f t="shared" si="1"/>
        <v>0</v>
      </c>
      <c r="E10" s="154">
        <f t="shared" si="1"/>
        <v>0</v>
      </c>
      <c r="F10" s="154">
        <f t="shared" si="1"/>
        <v>0</v>
      </c>
      <c r="G10" s="154">
        <f t="shared" si="1"/>
        <v>0</v>
      </c>
      <c r="H10" s="154">
        <f t="shared" si="0"/>
        <v>0</v>
      </c>
      <c r="I10" s="151">
        <f t="shared" si="0"/>
        <v>0</v>
      </c>
      <c r="J10" s="51" t="s">
        <v>10</v>
      </c>
      <c r="L10" s="361"/>
    </row>
    <row r="11" spans="1:18" x14ac:dyDescent="0.2">
      <c r="A11" s="62" t="s">
        <v>16</v>
      </c>
      <c r="B11" s="134">
        <v>0</v>
      </c>
      <c r="C11" s="134">
        <v>0</v>
      </c>
      <c r="D11" s="134">
        <v>0</v>
      </c>
      <c r="E11" s="134">
        <v>0</v>
      </c>
      <c r="F11" s="134">
        <v>0</v>
      </c>
      <c r="G11" s="134">
        <v>0</v>
      </c>
      <c r="H11" s="134">
        <f t="shared" si="0"/>
        <v>0</v>
      </c>
      <c r="I11" s="135">
        <f t="shared" si="0"/>
        <v>0</v>
      </c>
      <c r="J11" s="51" t="s">
        <v>10</v>
      </c>
      <c r="L11" s="361"/>
    </row>
    <row r="12" spans="1:18" x14ac:dyDescent="0.2">
      <c r="A12" s="62" t="s">
        <v>63</v>
      </c>
      <c r="B12" s="134">
        <v>0</v>
      </c>
      <c r="C12" s="134">
        <v>0</v>
      </c>
      <c r="D12" s="134">
        <v>0</v>
      </c>
      <c r="E12" s="134">
        <v>0</v>
      </c>
      <c r="F12" s="134">
        <v>0</v>
      </c>
      <c r="G12" s="134">
        <v>0</v>
      </c>
      <c r="H12" s="134">
        <f t="shared" si="0"/>
        <v>0</v>
      </c>
      <c r="I12" s="135">
        <f t="shared" si="0"/>
        <v>0</v>
      </c>
      <c r="J12" s="51" t="s">
        <v>10</v>
      </c>
      <c r="L12" s="361"/>
    </row>
    <row r="13" spans="1:18" x14ac:dyDescent="0.2">
      <c r="A13" s="142" t="s">
        <v>64</v>
      </c>
      <c r="B13" s="213">
        <v>0</v>
      </c>
      <c r="C13" s="213">
        <v>0</v>
      </c>
      <c r="D13" s="213">
        <v>0</v>
      </c>
      <c r="E13" s="213">
        <v>0</v>
      </c>
      <c r="F13" s="213">
        <v>0</v>
      </c>
      <c r="G13" s="213">
        <v>0</v>
      </c>
      <c r="H13" s="213">
        <f t="shared" si="0"/>
        <v>0</v>
      </c>
      <c r="I13" s="211">
        <f t="shared" si="0"/>
        <v>0</v>
      </c>
      <c r="J13" s="51" t="s">
        <v>10</v>
      </c>
      <c r="L13" s="361"/>
    </row>
    <row r="14" spans="1:18" ht="15" x14ac:dyDescent="0.25">
      <c r="A14" s="64" t="s">
        <v>12</v>
      </c>
      <c r="B14" s="105">
        <f t="shared" ref="B14:I14" si="2">SUM(B8:B10,B13)</f>
        <v>0</v>
      </c>
      <c r="C14" s="105">
        <f t="shared" si="2"/>
        <v>0</v>
      </c>
      <c r="D14" s="105">
        <f t="shared" si="2"/>
        <v>0</v>
      </c>
      <c r="E14" s="105">
        <f t="shared" si="2"/>
        <v>0</v>
      </c>
      <c r="F14" s="105">
        <f t="shared" si="2"/>
        <v>0</v>
      </c>
      <c r="G14" s="105">
        <f t="shared" si="2"/>
        <v>0</v>
      </c>
      <c r="H14" s="105">
        <f t="shared" si="2"/>
        <v>0</v>
      </c>
      <c r="I14" s="109">
        <f t="shared" si="2"/>
        <v>0</v>
      </c>
      <c r="J14" s="51" t="s">
        <v>10</v>
      </c>
      <c r="L14" s="361"/>
    </row>
    <row r="15" spans="1:18" ht="15" x14ac:dyDescent="0.25">
      <c r="A15" s="63" t="s">
        <v>65</v>
      </c>
      <c r="B15" s="154"/>
      <c r="C15" s="154"/>
      <c r="D15" s="154"/>
      <c r="E15" s="154"/>
      <c r="F15" s="154"/>
      <c r="G15" s="154"/>
      <c r="H15" s="154"/>
      <c r="I15" s="151"/>
      <c r="J15" s="51" t="s">
        <v>10</v>
      </c>
      <c r="L15" s="361"/>
    </row>
    <row r="16" spans="1:18" x14ac:dyDescent="0.2">
      <c r="A16" s="142" t="s">
        <v>66</v>
      </c>
      <c r="B16" s="154"/>
      <c r="C16" s="154">
        <v>0</v>
      </c>
      <c r="D16" s="154"/>
      <c r="E16" s="154">
        <f>($C16/$C$37)*'B. Summ of Req. by DU - S&amp;L'!$G$70</f>
        <v>0</v>
      </c>
      <c r="F16" s="154"/>
      <c r="G16" s="154">
        <v>0</v>
      </c>
      <c r="H16" s="154"/>
      <c r="I16" s="151">
        <f t="shared" ref="I16:I36" si="3">G16-E16</f>
        <v>0</v>
      </c>
      <c r="J16" s="51" t="s">
        <v>10</v>
      </c>
      <c r="L16" s="361"/>
    </row>
    <row r="17" spans="1:12" x14ac:dyDescent="0.2">
      <c r="A17" s="142" t="s">
        <v>67</v>
      </c>
      <c r="B17" s="268"/>
      <c r="C17" s="268">
        <v>0</v>
      </c>
      <c r="D17" s="268"/>
      <c r="E17" s="268">
        <f>($C17/$C$37)*'B. Summ of Req. by DU - S&amp;L'!$G$70</f>
        <v>0</v>
      </c>
      <c r="F17" s="268"/>
      <c r="G17" s="268">
        <v>0</v>
      </c>
      <c r="H17" s="268"/>
      <c r="I17" s="279">
        <f t="shared" si="3"/>
        <v>0</v>
      </c>
      <c r="J17" s="51" t="s">
        <v>10</v>
      </c>
      <c r="L17" s="361"/>
    </row>
    <row r="18" spans="1:12" x14ac:dyDescent="0.2">
      <c r="A18" s="142" t="s">
        <v>68</v>
      </c>
      <c r="B18" s="268"/>
      <c r="C18" s="268">
        <v>15</v>
      </c>
      <c r="D18" s="268"/>
      <c r="E18" s="268">
        <v>16</v>
      </c>
      <c r="F18" s="268"/>
      <c r="G18" s="268">
        <v>14</v>
      </c>
      <c r="H18" s="268"/>
      <c r="I18" s="279">
        <f t="shared" si="3"/>
        <v>-2</v>
      </c>
      <c r="J18" s="51" t="s">
        <v>10</v>
      </c>
      <c r="L18" s="361"/>
    </row>
    <row r="19" spans="1:12" x14ac:dyDescent="0.2">
      <c r="A19" s="142" t="s">
        <v>107</v>
      </c>
      <c r="B19" s="268"/>
      <c r="C19" s="268">
        <v>0</v>
      </c>
      <c r="D19" s="268"/>
      <c r="E19" s="268">
        <f>($C19/$C$37)*'B. Summ of Req. by DU - S&amp;L'!$G$70</f>
        <v>0</v>
      </c>
      <c r="F19" s="268"/>
      <c r="G19" s="268">
        <v>0</v>
      </c>
      <c r="H19" s="268"/>
      <c r="I19" s="279">
        <f t="shared" si="3"/>
        <v>0</v>
      </c>
      <c r="J19" s="51" t="s">
        <v>10</v>
      </c>
      <c r="L19" s="361"/>
    </row>
    <row r="20" spans="1:12" x14ac:dyDescent="0.2">
      <c r="A20" s="142" t="s">
        <v>69</v>
      </c>
      <c r="B20" s="268"/>
      <c r="C20" s="268">
        <v>0</v>
      </c>
      <c r="D20" s="268"/>
      <c r="E20" s="268">
        <f>($C20/$C$37)*'B. Summ of Req. by DU - S&amp;L'!$G$70</f>
        <v>0</v>
      </c>
      <c r="F20" s="268"/>
      <c r="G20" s="268">
        <v>0</v>
      </c>
      <c r="H20" s="268"/>
      <c r="I20" s="279">
        <f t="shared" si="3"/>
        <v>0</v>
      </c>
      <c r="J20" s="51" t="s">
        <v>10</v>
      </c>
      <c r="L20" s="361"/>
    </row>
    <row r="21" spans="1:12" x14ac:dyDescent="0.2">
      <c r="A21" s="142" t="s">
        <v>70</v>
      </c>
      <c r="B21" s="268"/>
      <c r="C21" s="268">
        <v>0</v>
      </c>
      <c r="D21" s="268"/>
      <c r="E21" s="268">
        <f>($C21/$C$37)*'B. Summ of Req. by DU - S&amp;L'!$G$70</f>
        <v>0</v>
      </c>
      <c r="F21" s="268"/>
      <c r="G21" s="268">
        <v>0</v>
      </c>
      <c r="H21" s="268"/>
      <c r="I21" s="279">
        <f t="shared" si="3"/>
        <v>0</v>
      </c>
      <c r="J21" s="51" t="s">
        <v>10</v>
      </c>
      <c r="L21" s="361"/>
    </row>
    <row r="22" spans="1:12" x14ac:dyDescent="0.2">
      <c r="A22" s="142" t="s">
        <v>71</v>
      </c>
      <c r="B22" s="268"/>
      <c r="C22" s="268">
        <v>0</v>
      </c>
      <c r="D22" s="268"/>
      <c r="E22" s="268">
        <f>($C22/$C$37)*'B. Summ of Req. by DU - S&amp;L'!$G$70</f>
        <v>0</v>
      </c>
      <c r="F22" s="268"/>
      <c r="G22" s="268">
        <v>0</v>
      </c>
      <c r="H22" s="268"/>
      <c r="I22" s="279">
        <f t="shared" si="3"/>
        <v>0</v>
      </c>
      <c r="J22" s="51" t="s">
        <v>10</v>
      </c>
      <c r="L22" s="361"/>
    </row>
    <row r="23" spans="1:12" x14ac:dyDescent="0.2">
      <c r="A23" s="142" t="s">
        <v>72</v>
      </c>
      <c r="B23" s="268"/>
      <c r="C23" s="268">
        <v>-694</v>
      </c>
      <c r="D23" s="268"/>
      <c r="E23" s="268">
        <v>-750</v>
      </c>
      <c r="F23" s="268"/>
      <c r="G23" s="268">
        <v>-661</v>
      </c>
      <c r="H23" s="268"/>
      <c r="I23" s="279">
        <f t="shared" si="3"/>
        <v>89</v>
      </c>
      <c r="J23" s="51" t="s">
        <v>10</v>
      </c>
      <c r="L23" s="361"/>
    </row>
    <row r="24" spans="1:12" x14ac:dyDescent="0.2">
      <c r="A24" s="142" t="s">
        <v>73</v>
      </c>
      <c r="B24" s="268"/>
      <c r="C24" s="268">
        <v>19590</v>
      </c>
      <c r="D24" s="268"/>
      <c r="E24" s="268">
        <v>21161</v>
      </c>
      <c r="F24" s="268"/>
      <c r="G24" s="268">
        <v>18658</v>
      </c>
      <c r="H24" s="268"/>
      <c r="I24" s="279">
        <f t="shared" si="3"/>
        <v>-2503</v>
      </c>
      <c r="J24" s="51" t="s">
        <v>10</v>
      </c>
      <c r="L24" s="361"/>
    </row>
    <row r="25" spans="1:12" x14ac:dyDescent="0.2">
      <c r="A25" s="142" t="s">
        <v>74</v>
      </c>
      <c r="B25" s="268"/>
      <c r="C25" s="268">
        <v>730</v>
      </c>
      <c r="D25" s="268"/>
      <c r="E25" s="268">
        <v>789</v>
      </c>
      <c r="F25" s="268"/>
      <c r="G25" s="268">
        <v>695</v>
      </c>
      <c r="H25" s="268"/>
      <c r="I25" s="279">
        <f t="shared" si="3"/>
        <v>-94</v>
      </c>
      <c r="J25" s="51" t="s">
        <v>10</v>
      </c>
      <c r="L25" s="361"/>
    </row>
    <row r="26" spans="1:12" x14ac:dyDescent="0.2">
      <c r="A26" s="142" t="s">
        <v>75</v>
      </c>
      <c r="B26" s="268"/>
      <c r="C26" s="268">
        <v>90742</v>
      </c>
      <c r="D26" s="268"/>
      <c r="E26" s="268">
        <v>98020</v>
      </c>
      <c r="F26" s="268"/>
      <c r="G26" s="268">
        <v>86423</v>
      </c>
      <c r="H26" s="268"/>
      <c r="I26" s="279">
        <f t="shared" si="3"/>
        <v>-11597</v>
      </c>
      <c r="J26" s="51" t="s">
        <v>10</v>
      </c>
      <c r="L26" s="361"/>
    </row>
    <row r="27" spans="1:12" x14ac:dyDescent="0.2">
      <c r="A27" s="142" t="s">
        <v>76</v>
      </c>
      <c r="B27" s="268"/>
      <c r="C27" s="268">
        <v>0</v>
      </c>
      <c r="D27" s="268"/>
      <c r="E27" s="268">
        <f>($C27/$C$37)*'B. Summ of Req. by DU - S&amp;L'!$G$70</f>
        <v>0</v>
      </c>
      <c r="F27" s="268"/>
      <c r="G27" s="268">
        <v>0</v>
      </c>
      <c r="H27" s="268"/>
      <c r="I27" s="279">
        <f t="shared" si="3"/>
        <v>0</v>
      </c>
      <c r="J27" s="51" t="s">
        <v>10</v>
      </c>
      <c r="L27" s="361"/>
    </row>
    <row r="28" spans="1:12" x14ac:dyDescent="0.2">
      <c r="A28" s="142" t="s">
        <v>77</v>
      </c>
      <c r="B28" s="268"/>
      <c r="C28" s="268">
        <v>0</v>
      </c>
      <c r="D28" s="268"/>
      <c r="E28" s="268">
        <f>($C28/$C$37)*'B. Summ of Req. by DU - S&amp;L'!$G$70</f>
        <v>0</v>
      </c>
      <c r="F28" s="268"/>
      <c r="G28" s="268">
        <v>0</v>
      </c>
      <c r="H28" s="268"/>
      <c r="I28" s="279">
        <f t="shared" si="3"/>
        <v>0</v>
      </c>
      <c r="J28" s="51" t="s">
        <v>10</v>
      </c>
      <c r="L28" s="361"/>
    </row>
    <row r="29" spans="1:12" x14ac:dyDescent="0.2">
      <c r="A29" s="142" t="s">
        <v>23</v>
      </c>
      <c r="B29" s="268"/>
      <c r="C29" s="268">
        <v>0</v>
      </c>
      <c r="D29" s="268"/>
      <c r="E29" s="268">
        <f>($C29/$C$37)*'B. Summ of Req. by DU - S&amp;L'!$G$70</f>
        <v>0</v>
      </c>
      <c r="F29" s="268"/>
      <c r="G29" s="268">
        <v>0</v>
      </c>
      <c r="H29" s="268"/>
      <c r="I29" s="279">
        <f t="shared" si="3"/>
        <v>0</v>
      </c>
      <c r="J29" s="51" t="s">
        <v>10</v>
      </c>
      <c r="L29" s="361"/>
    </row>
    <row r="30" spans="1:12" x14ac:dyDescent="0.2">
      <c r="A30" s="142" t="s">
        <v>78</v>
      </c>
      <c r="B30" s="268"/>
      <c r="C30" s="268">
        <v>0</v>
      </c>
      <c r="D30" s="268"/>
      <c r="E30" s="268">
        <f>($C30/$C$37)*'B. Summ of Req. by DU - S&amp;L'!$G$70</f>
        <v>0</v>
      </c>
      <c r="F30" s="268"/>
      <c r="G30" s="268">
        <v>0</v>
      </c>
      <c r="H30" s="268"/>
      <c r="I30" s="279">
        <f t="shared" si="3"/>
        <v>0</v>
      </c>
      <c r="J30" s="51" t="s">
        <v>10</v>
      </c>
      <c r="L30" s="361"/>
    </row>
    <row r="31" spans="1:12" x14ac:dyDescent="0.2">
      <c r="A31" s="142" t="s">
        <v>79</v>
      </c>
      <c r="B31" s="268"/>
      <c r="C31" s="268">
        <v>0</v>
      </c>
      <c r="D31" s="268"/>
      <c r="E31" s="268">
        <f>($C31/$C$37)*'B. Summ of Req. by DU - S&amp;L'!$G$70</f>
        <v>0</v>
      </c>
      <c r="F31" s="268"/>
      <c r="G31" s="268">
        <v>0</v>
      </c>
      <c r="H31" s="268"/>
      <c r="I31" s="279">
        <f t="shared" si="3"/>
        <v>0</v>
      </c>
      <c r="J31" s="51" t="s">
        <v>10</v>
      </c>
      <c r="L31" s="361"/>
    </row>
    <row r="32" spans="1:12" x14ac:dyDescent="0.2">
      <c r="A32" s="142" t="s">
        <v>80</v>
      </c>
      <c r="B32" s="268"/>
      <c r="C32" s="268">
        <v>3</v>
      </c>
      <c r="D32" s="268"/>
      <c r="E32" s="268">
        <f>($C32/$C$37)*'B. Summ of Req. by DU - S&amp;L'!$G$70</f>
        <v>3.3118573823463722</v>
      </c>
      <c r="F32" s="268"/>
      <c r="G32" s="268">
        <v>3</v>
      </c>
      <c r="H32" s="268"/>
      <c r="I32" s="279">
        <f t="shared" si="3"/>
        <v>-0.31185738234637217</v>
      </c>
      <c r="J32" s="51" t="s">
        <v>10</v>
      </c>
      <c r="L32" s="361"/>
    </row>
    <row r="33" spans="1:12" x14ac:dyDescent="0.2">
      <c r="A33" s="142" t="s">
        <v>81</v>
      </c>
      <c r="B33" s="268"/>
      <c r="C33" s="268">
        <v>0</v>
      </c>
      <c r="D33" s="268"/>
      <c r="E33" s="268">
        <f>($C33/$C$37)*'B. Summ of Req. by DU - S&amp;L'!$G$70</f>
        <v>0</v>
      </c>
      <c r="F33" s="268"/>
      <c r="G33" s="268">
        <v>0</v>
      </c>
      <c r="H33" s="268"/>
      <c r="I33" s="279">
        <f t="shared" si="3"/>
        <v>0</v>
      </c>
      <c r="J33" s="51" t="s">
        <v>10</v>
      </c>
      <c r="L33" s="361"/>
    </row>
    <row r="34" spans="1:12" x14ac:dyDescent="0.2">
      <c r="A34" s="142" t="s">
        <v>82</v>
      </c>
      <c r="B34" s="268"/>
      <c r="C34" s="268">
        <v>0</v>
      </c>
      <c r="D34" s="268"/>
      <c r="E34" s="268">
        <f>($C34/$C$37)*'B. Summ of Req. by DU - S&amp;L'!$G$70</f>
        <v>0</v>
      </c>
      <c r="F34" s="268"/>
      <c r="G34" s="268">
        <v>0</v>
      </c>
      <c r="H34" s="268"/>
      <c r="I34" s="279">
        <f t="shared" si="3"/>
        <v>0</v>
      </c>
      <c r="J34" s="51" t="s">
        <v>10</v>
      </c>
      <c r="L34" s="361"/>
    </row>
    <row r="35" spans="1:12" x14ac:dyDescent="0.2">
      <c r="A35" s="142" t="s">
        <v>83</v>
      </c>
      <c r="B35" s="268"/>
      <c r="C35" s="268">
        <v>950801</v>
      </c>
      <c r="D35" s="268"/>
      <c r="E35" s="268">
        <v>1091086</v>
      </c>
      <c r="F35" s="268"/>
      <c r="G35" s="268">
        <v>927768</v>
      </c>
      <c r="H35" s="268"/>
      <c r="I35" s="279">
        <f t="shared" si="3"/>
        <v>-163318</v>
      </c>
      <c r="J35" s="51" t="s">
        <v>10</v>
      </c>
      <c r="L35" s="361"/>
    </row>
    <row r="36" spans="1:12" x14ac:dyDescent="0.2">
      <c r="A36" s="142" t="s">
        <v>84</v>
      </c>
      <c r="B36" s="268"/>
      <c r="C36" s="268">
        <v>0</v>
      </c>
      <c r="D36" s="268"/>
      <c r="E36" s="268">
        <f>($C36/$C$37)*'B. Summ of Req. by DU - S&amp;L'!$G$70</f>
        <v>0</v>
      </c>
      <c r="F36" s="268"/>
      <c r="G36" s="268">
        <v>0</v>
      </c>
      <c r="H36" s="268"/>
      <c r="I36" s="279">
        <f t="shared" si="3"/>
        <v>0</v>
      </c>
      <c r="J36" s="51" t="s">
        <v>10</v>
      </c>
      <c r="L36" s="361"/>
    </row>
    <row r="37" spans="1:12" ht="15" x14ac:dyDescent="0.25">
      <c r="A37" s="64" t="s">
        <v>85</v>
      </c>
      <c r="B37" s="365"/>
      <c r="C37" s="365">
        <f>SUM(C14:C36)</f>
        <v>1061187</v>
      </c>
      <c r="D37" s="365"/>
      <c r="E37" s="365">
        <f>SUM(E14:E36)</f>
        <v>1210325.3118573823</v>
      </c>
      <c r="F37" s="365"/>
      <c r="G37" s="365">
        <f>SUM(G14:G36)</f>
        <v>1032900</v>
      </c>
      <c r="H37" s="365"/>
      <c r="I37" s="318">
        <f>SUM(I14:I36)</f>
        <v>-177425.31185738236</v>
      </c>
      <c r="J37" s="51" t="s">
        <v>10</v>
      </c>
      <c r="L37" s="362"/>
    </row>
    <row r="38" spans="1:12" x14ac:dyDescent="0.2">
      <c r="A38" s="142" t="s">
        <v>386</v>
      </c>
      <c r="B38" s="268"/>
      <c r="C38" s="268">
        <v>-26755</v>
      </c>
      <c r="D38" s="268"/>
      <c r="E38" s="268">
        <v>-31559</v>
      </c>
      <c r="F38" s="268"/>
      <c r="G38" s="268">
        <v>0</v>
      </c>
      <c r="H38" s="268"/>
      <c r="I38" s="279">
        <f>G38-E38</f>
        <v>31559</v>
      </c>
      <c r="J38" s="51" t="s">
        <v>10</v>
      </c>
      <c r="L38" s="362"/>
    </row>
    <row r="39" spans="1:12" x14ac:dyDescent="0.2">
      <c r="A39" s="142" t="s">
        <v>385</v>
      </c>
      <c r="B39" s="268"/>
      <c r="C39" s="268">
        <f>-'F. 2013 Crosswalk - S&amp;L'!P70</f>
        <v>22078.268730073742</v>
      </c>
      <c r="D39" s="268"/>
      <c r="E39" s="268">
        <v>0</v>
      </c>
      <c r="F39" s="268"/>
      <c r="G39" s="268">
        <v>0</v>
      </c>
      <c r="H39" s="268"/>
      <c r="I39" s="279">
        <f>G39-E39</f>
        <v>0</v>
      </c>
      <c r="J39" s="51" t="s">
        <v>10</v>
      </c>
      <c r="L39" s="362"/>
    </row>
    <row r="40" spans="1:12" x14ac:dyDescent="0.2">
      <c r="A40" s="142" t="s">
        <v>104</v>
      </c>
      <c r="B40" s="268"/>
      <c r="C40" s="268">
        <v>-61932</v>
      </c>
      <c r="D40" s="268"/>
      <c r="E40" s="268">
        <v>0</v>
      </c>
      <c r="F40" s="268"/>
      <c r="G40" s="268">
        <v>0</v>
      </c>
      <c r="H40" s="268"/>
      <c r="I40" s="279">
        <f>G40-E40</f>
        <v>0</v>
      </c>
      <c r="J40" s="51" t="s">
        <v>10</v>
      </c>
      <c r="L40" s="362"/>
    </row>
    <row r="41" spans="1:12" x14ac:dyDescent="0.2">
      <c r="A41" s="142" t="s">
        <v>458</v>
      </c>
      <c r="B41" s="268"/>
      <c r="C41" s="268">
        <f>-'B. Summ of Req. by DU - S&amp;L'!D71</f>
        <v>34331</v>
      </c>
      <c r="D41" s="268"/>
      <c r="E41" s="268">
        <v>-7266</v>
      </c>
      <c r="F41" s="268"/>
      <c r="G41" s="268">
        <v>0</v>
      </c>
      <c r="H41" s="268"/>
      <c r="I41" s="279">
        <f>G41-E41</f>
        <v>7266</v>
      </c>
      <c r="J41" s="51" t="s">
        <v>10</v>
      </c>
      <c r="L41" s="362"/>
    </row>
    <row r="42" spans="1:12" x14ac:dyDescent="0.2">
      <c r="A42" s="142" t="s">
        <v>459</v>
      </c>
      <c r="B42" s="268"/>
      <c r="C42" s="268">
        <v>31559</v>
      </c>
      <c r="D42" s="268"/>
      <c r="E42" s="268"/>
      <c r="F42" s="268"/>
      <c r="G42" s="268">
        <v>0</v>
      </c>
      <c r="H42" s="268"/>
      <c r="I42" s="279"/>
      <c r="J42" s="51"/>
      <c r="L42" s="362"/>
    </row>
    <row r="43" spans="1:12" x14ac:dyDescent="0.2">
      <c r="A43" s="142" t="s">
        <v>384</v>
      </c>
      <c r="B43" s="268"/>
      <c r="C43" s="268">
        <v>0</v>
      </c>
      <c r="D43" s="268"/>
      <c r="E43" s="268">
        <v>0</v>
      </c>
      <c r="F43" s="268"/>
      <c r="G43" s="268">
        <v>0</v>
      </c>
      <c r="H43" s="268"/>
      <c r="I43" s="279">
        <f>G43-E43</f>
        <v>0</v>
      </c>
      <c r="J43" s="51" t="s">
        <v>10</v>
      </c>
      <c r="L43" s="362"/>
    </row>
    <row r="44" spans="1:12" ht="15.75" thickBot="1" x14ac:dyDescent="0.3">
      <c r="A44" s="65" t="s">
        <v>87</v>
      </c>
      <c r="B44" s="364">
        <f>SUM(B37:B43)</f>
        <v>0</v>
      </c>
      <c r="C44" s="401">
        <f>SUM(C37:C43)</f>
        <v>1060468.2687300737</v>
      </c>
      <c r="D44" s="364">
        <f t="shared" ref="D44:I44" si="4">SUM(D37:D43)</f>
        <v>0</v>
      </c>
      <c r="E44" s="364">
        <f t="shared" si="4"/>
        <v>1171500.3118573823</v>
      </c>
      <c r="F44" s="364">
        <f t="shared" si="4"/>
        <v>0</v>
      </c>
      <c r="G44" s="364">
        <f t="shared" si="4"/>
        <v>1032900</v>
      </c>
      <c r="H44" s="364">
        <f t="shared" si="4"/>
        <v>0</v>
      </c>
      <c r="I44" s="363">
        <f t="shared" si="4"/>
        <v>-138600.31185738236</v>
      </c>
      <c r="J44" s="51" t="s">
        <v>10</v>
      </c>
      <c r="L44" s="362"/>
    </row>
    <row r="45" spans="1:12" ht="15" x14ac:dyDescent="0.25">
      <c r="A45" s="428" t="s">
        <v>97</v>
      </c>
      <c r="B45" s="430"/>
      <c r="C45" s="431"/>
      <c r="D45" s="430"/>
      <c r="E45" s="430">
        <v>-45000</v>
      </c>
      <c r="F45" s="430"/>
      <c r="G45" s="430">
        <v>-45000</v>
      </c>
      <c r="H45" s="430"/>
      <c r="I45" s="432"/>
      <c r="J45" s="51"/>
      <c r="L45" s="362"/>
    </row>
    <row r="46" spans="1:12" ht="15.75" thickBot="1" x14ac:dyDescent="0.3">
      <c r="A46" s="433" t="s">
        <v>472</v>
      </c>
      <c r="B46" s="430"/>
      <c r="C46" s="431"/>
      <c r="D46" s="430"/>
      <c r="E46" s="430">
        <f>E44+E45</f>
        <v>1126500.3118573823</v>
      </c>
      <c r="F46" s="430"/>
      <c r="G46" s="430">
        <f>G44+G45</f>
        <v>987900</v>
      </c>
      <c r="H46" s="430"/>
      <c r="I46" s="432"/>
      <c r="J46" s="51"/>
      <c r="L46" s="362"/>
    </row>
    <row r="47" spans="1:12" x14ac:dyDescent="0.2">
      <c r="A47" s="305" t="s">
        <v>13</v>
      </c>
      <c r="B47" s="304"/>
      <c r="C47" s="304"/>
      <c r="D47" s="304"/>
      <c r="E47" s="304"/>
      <c r="F47" s="304"/>
      <c r="G47" s="304"/>
      <c r="H47" s="304"/>
      <c r="I47" s="303"/>
      <c r="J47" s="51" t="s">
        <v>10</v>
      </c>
      <c r="L47" s="361"/>
    </row>
    <row r="48" spans="1:12" x14ac:dyDescent="0.2">
      <c r="A48" s="142" t="s">
        <v>88</v>
      </c>
      <c r="B48" s="154">
        <v>0</v>
      </c>
      <c r="C48" s="154">
        <v>0</v>
      </c>
      <c r="D48" s="154">
        <v>0</v>
      </c>
      <c r="E48" s="154"/>
      <c r="F48" s="154">
        <v>0</v>
      </c>
      <c r="G48" s="154"/>
      <c r="H48" s="154">
        <f>F48-D48</f>
        <v>0</v>
      </c>
      <c r="I48" s="151"/>
      <c r="J48" s="51" t="s">
        <v>10</v>
      </c>
      <c r="L48" s="361"/>
    </row>
    <row r="49" spans="1:12" x14ac:dyDescent="0.2">
      <c r="A49" s="142"/>
      <c r="B49" s="154"/>
      <c r="C49" s="154"/>
      <c r="D49" s="154"/>
      <c r="E49" s="154"/>
      <c r="F49" s="154"/>
      <c r="G49" s="154"/>
      <c r="H49" s="154"/>
      <c r="I49" s="151"/>
      <c r="J49" s="51" t="s">
        <v>10</v>
      </c>
      <c r="L49" s="362"/>
    </row>
    <row r="50" spans="1:12" x14ac:dyDescent="0.2">
      <c r="A50" s="142" t="s">
        <v>89</v>
      </c>
      <c r="B50" s="154"/>
      <c r="C50" s="154">
        <v>0</v>
      </c>
      <c r="D50" s="154"/>
      <c r="E50" s="154">
        <v>0</v>
      </c>
      <c r="F50" s="154"/>
      <c r="G50" s="154">
        <v>0</v>
      </c>
      <c r="H50" s="154"/>
      <c r="I50" s="151">
        <f>G50-E50</f>
        <v>0</v>
      </c>
      <c r="J50" s="51" t="s">
        <v>10</v>
      </c>
      <c r="L50" s="361"/>
    </row>
    <row r="51" spans="1:12" ht="15" thickBot="1" x14ac:dyDescent="0.25">
      <c r="A51" s="301" t="s">
        <v>90</v>
      </c>
      <c r="B51" s="300"/>
      <c r="C51" s="300">
        <v>0</v>
      </c>
      <c r="D51" s="300"/>
      <c r="E51" s="300">
        <v>0</v>
      </c>
      <c r="F51" s="300"/>
      <c r="G51" s="300">
        <v>0</v>
      </c>
      <c r="H51" s="300"/>
      <c r="I51" s="299">
        <f>G51-E51</f>
        <v>0</v>
      </c>
      <c r="J51" s="51" t="s">
        <v>10</v>
      </c>
      <c r="L51" s="361"/>
    </row>
    <row r="52" spans="1:12" x14ac:dyDescent="0.2">
      <c r="A52" s="298"/>
      <c r="J52" s="51" t="s">
        <v>10</v>
      </c>
      <c r="L52" s="361"/>
    </row>
    <row r="53" spans="1:12" x14ac:dyDescent="0.2">
      <c r="J53" s="51" t="s">
        <v>11</v>
      </c>
      <c r="L53" s="361"/>
    </row>
    <row r="54" spans="1:12" x14ac:dyDescent="0.2">
      <c r="L54" s="361"/>
    </row>
    <row r="55" spans="1:12" x14ac:dyDescent="0.2">
      <c r="G55" s="400"/>
    </row>
    <row r="56" spans="1:12" x14ac:dyDescent="0.2">
      <c r="C56" s="326"/>
    </row>
    <row r="57" spans="1:12" x14ac:dyDescent="0.2">
      <c r="C57" s="326"/>
    </row>
    <row r="58" spans="1:12" x14ac:dyDescent="0.2">
      <c r="C58" s="326"/>
    </row>
  </sheetData>
  <customSheetViews>
    <customSheetView guid="{EE916FE7-61FB-4021-ADDD-E082241FC03C}" scale="90" showPageBreaks="1" printArea="1" view="pageBreakPreview" topLeftCell="A16">
      <selection activeCell="A58" sqref="A58"/>
      <pageMargins left="0.6" right="0.6" top="0.56999999999999995" bottom="0.55000000000000004" header="0.3" footer="0.3"/>
      <printOptions horizontalCentered="1"/>
      <pageSetup scale="72" orientation="landscape" r:id="rId1"/>
      <headerFooter>
        <oddHeader>&amp;L&amp;"Arial,Bold"&amp;12K. Summary of Requirements by Object Class</oddHeader>
        <oddFooter>&amp;C&amp;"Arial,Regular"Exhibit K - Summary of Requirements by Object Class&amp;RState and Local Law Enforcement Assistance</oddFooter>
      </headerFooter>
    </customSheetView>
    <customSheetView guid="{0BB5DC4B-BC2A-4489-BE17-5E267FA1EF63}" scale="90" showPageBreaks="1" printArea="1" view="pageBreakPreview" topLeftCell="A28">
      <selection activeCell="D14" sqref="D14"/>
      <pageMargins left="0.6" right="0.6" top="0.56999999999999995" bottom="0.55000000000000004" header="0.3" footer="0.3"/>
      <printOptions horizontalCentered="1"/>
      <pageSetup scale="72" orientation="landscape" r:id="rId2"/>
      <headerFooter>
        <oddHeader>&amp;L&amp;"Arial,Bold"&amp;12K. Summary of Requirements by Object Class</oddHeader>
        <oddFooter>&amp;C&amp;"Arial,Regular"Exhibit K - Summary of Requirements by Object Class&amp;RState and Local Law Enforcement Assistance</oddFooter>
      </headerFooter>
    </customSheetView>
    <customSheetView guid="{6C58FFE1-D756-42C4-A1BC-AA7F1DC1E56F}" scale="90" showPageBreaks="1" printArea="1" view="pageBreakPreview" topLeftCell="A36">
      <selection activeCell="A58" sqref="A58"/>
      <pageMargins left="0.6" right="0.6" top="0.56999999999999995" bottom="0.55000000000000004" header="0.3" footer="0.3"/>
      <printOptions horizontalCentered="1"/>
      <pageSetup scale="72" orientation="landscape" r:id="rId3"/>
      <headerFooter>
        <oddHeader>&amp;L&amp;"Arial,Bold"&amp;12K. Summary of Requirements by Object Class</oddHeader>
        <oddFooter>&amp;C&amp;"Arial,Regular"Exhibit K - Summary of Requirements by Object Class&amp;RState and Local Law Enforcement Assistance</oddFooter>
      </headerFooter>
    </customSheetView>
    <customSheetView guid="{CFA5D1C9-F4C9-4B8D-923D-4C71CB6E7D3B}" scale="90" showPageBreaks="1" printArea="1" view="pageBreakPreview" topLeftCell="A16">
      <selection activeCell="C42" sqref="C42"/>
      <pageMargins left="0.6" right="0.6" top="0.56999999999999995" bottom="0.55000000000000004" header="0.3" footer="0.3"/>
      <printOptions horizontalCentered="1"/>
      <pageSetup scale="72" orientation="landscape" r:id="rId4"/>
      <headerFooter>
        <oddHeader>&amp;L&amp;"Arial,Bold"&amp;12K. Summary of Requirements by Object Class</oddHeader>
        <oddFooter>&amp;C&amp;"Arial,Regular"Exhibit K - Summary of Requirements by Object Class&amp;RState and Local Law Enforcement Assistance</oddFooter>
      </headerFooter>
    </customSheetView>
    <customSheetView guid="{A788DF77-74F1-49E4-8B34-BFBDB7664F30}" scale="90" showPageBreaks="1" printArea="1" view="pageBreakPreview" topLeftCell="A36">
      <selection activeCell="A58" sqref="A58"/>
      <pageMargins left="0.6" right="0.6" top="0.56999999999999995" bottom="0.55000000000000004" header="0.3" footer="0.3"/>
      <printOptions horizontalCentered="1"/>
      <pageSetup scale="72" orientation="landscape" r:id="rId5"/>
      <headerFooter>
        <oddHeader>&amp;L&amp;"Arial,Bold"&amp;12K. Summary of Requirements by Object Class</oddHeader>
        <oddFooter>&amp;C&amp;"Arial,Regular"Exhibit K - Summary of Requirements by Object Class&amp;RState and Local Law Enforcement Assistance</oddFooter>
      </headerFooter>
    </customSheetView>
  </customSheetViews>
  <mergeCells count="10">
    <mergeCell ref="A6:A7"/>
    <mergeCell ref="B6:C6"/>
    <mergeCell ref="D6:E6"/>
    <mergeCell ref="F6:G6"/>
    <mergeCell ref="H6:I6"/>
    <mergeCell ref="A1:I1"/>
    <mergeCell ref="A2:I2"/>
    <mergeCell ref="A3:I3"/>
    <mergeCell ref="A4:I4"/>
    <mergeCell ref="A5:I5"/>
  </mergeCells>
  <printOptions horizontalCentered="1"/>
  <pageMargins left="0.6" right="0.6" top="0.56999999999999995" bottom="0.55000000000000004" header="0.3" footer="0.3"/>
  <pageSetup scale="69" orientation="landscape" r:id="rId6"/>
  <headerFooter>
    <oddHeader>&amp;L&amp;"Arial,Bold"&amp;12K. Summary of Requirements by Object Class</oddHeader>
    <oddFooter>&amp;C&amp;"Arial,Regular"Exhibit K - Summary of Requirements by Object Class&amp;RState and Local Law Enforcement Assistance</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view="pageBreakPreview" topLeftCell="A19" zoomScale="90" zoomScaleNormal="100" zoomScaleSheetLayoutView="90" workbookViewId="0">
      <selection activeCell="G56" sqref="G56"/>
    </sheetView>
  </sheetViews>
  <sheetFormatPr defaultRowHeight="14.25" x14ac:dyDescent="0.2"/>
  <cols>
    <col min="1" max="1" width="113.5703125" style="143" customWidth="1"/>
    <col min="2" max="2" width="17.5703125" style="147" customWidth="1"/>
    <col min="3" max="3" width="11.42578125" style="147" customWidth="1"/>
    <col min="4" max="4" width="14.5703125" style="148" customWidth="1"/>
    <col min="5" max="5" width="11.5703125" style="4" bestFit="1" customWidth="1"/>
    <col min="6" max="6" width="4.85546875" style="143" customWidth="1"/>
    <col min="7" max="16384" width="9.140625" style="143"/>
  </cols>
  <sheetData>
    <row r="1" spans="1:5" ht="18" x14ac:dyDescent="0.25">
      <c r="A1" s="577" t="s">
        <v>0</v>
      </c>
      <c r="B1" s="577"/>
      <c r="C1" s="577"/>
      <c r="D1" s="577"/>
      <c r="E1" s="4" t="s">
        <v>10</v>
      </c>
    </row>
    <row r="2" spans="1:5" ht="15" x14ac:dyDescent="0.2">
      <c r="A2" s="578" t="s">
        <v>152</v>
      </c>
      <c r="B2" s="578"/>
      <c r="C2" s="578"/>
      <c r="D2" s="578"/>
      <c r="E2" s="4" t="s">
        <v>10</v>
      </c>
    </row>
    <row r="3" spans="1:5" x14ac:dyDescent="0.2">
      <c r="A3" s="579" t="s">
        <v>399</v>
      </c>
      <c r="B3" s="579"/>
      <c r="C3" s="579"/>
      <c r="D3" s="579"/>
      <c r="E3" s="4" t="s">
        <v>10</v>
      </c>
    </row>
    <row r="4" spans="1:5" x14ac:dyDescent="0.2">
      <c r="A4" s="608" t="s">
        <v>1</v>
      </c>
      <c r="B4" s="608"/>
      <c r="C4" s="608"/>
      <c r="D4" s="608"/>
      <c r="E4" s="4" t="s">
        <v>10</v>
      </c>
    </row>
    <row r="5" spans="1:5" ht="15" thickBot="1" x14ac:dyDescent="0.25">
      <c r="E5" s="4" t="s">
        <v>10</v>
      </c>
    </row>
    <row r="6" spans="1:5" ht="15" x14ac:dyDescent="0.25">
      <c r="B6" s="581" t="s">
        <v>121</v>
      </c>
      <c r="C6" s="582"/>
      <c r="D6" s="583"/>
      <c r="E6" s="4" t="s">
        <v>10</v>
      </c>
    </row>
    <row r="7" spans="1:5" ht="15.75" thickBot="1" x14ac:dyDescent="0.25">
      <c r="B7" s="1" t="s">
        <v>143</v>
      </c>
      <c r="C7" s="2" t="s">
        <v>144</v>
      </c>
      <c r="D7" s="3" t="s">
        <v>3</v>
      </c>
      <c r="E7" s="4" t="s">
        <v>10</v>
      </c>
    </row>
    <row r="8" spans="1:5" ht="15" x14ac:dyDescent="0.25">
      <c r="A8" s="80" t="s">
        <v>119</v>
      </c>
      <c r="B8" s="193">
        <v>0</v>
      </c>
      <c r="C8" s="82">
        <v>0</v>
      </c>
      <c r="D8" s="83">
        <v>279500</v>
      </c>
      <c r="E8" s="4" t="s">
        <v>10</v>
      </c>
    </row>
    <row r="9" spans="1:5" ht="15" x14ac:dyDescent="0.25">
      <c r="A9" s="164" t="s">
        <v>120</v>
      </c>
      <c r="B9" s="386" t="s">
        <v>24</v>
      </c>
      <c r="C9" s="88"/>
      <c r="D9" s="309">
        <v>-5795</v>
      </c>
      <c r="E9" s="4" t="s">
        <v>10</v>
      </c>
    </row>
    <row r="10" spans="1:5" ht="15" x14ac:dyDescent="0.25">
      <c r="A10" s="164" t="s">
        <v>141</v>
      </c>
      <c r="B10" s="386"/>
      <c r="C10" s="88"/>
      <c r="D10" s="309">
        <v>-12755</v>
      </c>
      <c r="E10" s="4" t="s">
        <v>10</v>
      </c>
    </row>
    <row r="11" spans="1:5" ht="15" x14ac:dyDescent="0.25">
      <c r="A11" s="149" t="s">
        <v>173</v>
      </c>
      <c r="B11" s="379"/>
      <c r="C11" s="321"/>
      <c r="D11" s="370">
        <v>-5258</v>
      </c>
      <c r="E11" s="4" t="s">
        <v>10</v>
      </c>
    </row>
    <row r="12" spans="1:5" ht="15" x14ac:dyDescent="0.25">
      <c r="A12" s="369" t="s">
        <v>398</v>
      </c>
      <c r="B12" s="382"/>
      <c r="C12" s="368"/>
      <c r="D12" s="367">
        <v>-5219</v>
      </c>
      <c r="E12" s="4" t="s">
        <v>10</v>
      </c>
    </row>
    <row r="13" spans="1:5" ht="15" x14ac:dyDescent="0.25">
      <c r="A13" s="79" t="s">
        <v>122</v>
      </c>
      <c r="B13" s="108">
        <f>SUM(B8:B11)</f>
        <v>0</v>
      </c>
      <c r="C13" s="105">
        <f>SUM(C8:C11)</f>
        <v>0</v>
      </c>
      <c r="D13" s="106">
        <f>SUM(D8:D12)</f>
        <v>250473</v>
      </c>
      <c r="E13" s="4" t="s">
        <v>10</v>
      </c>
    </row>
    <row r="14" spans="1:5" ht="15" x14ac:dyDescent="0.25">
      <c r="A14" s="79"/>
      <c r="B14" s="108"/>
      <c r="C14" s="105"/>
      <c r="D14" s="106"/>
      <c r="E14" s="4" t="s">
        <v>10</v>
      </c>
    </row>
    <row r="15" spans="1:5" ht="15" x14ac:dyDescent="0.25">
      <c r="A15" s="68" t="s">
        <v>148</v>
      </c>
      <c r="B15" s="108">
        <v>0</v>
      </c>
      <c r="C15" s="105">
        <v>0</v>
      </c>
      <c r="D15" s="106">
        <v>254500</v>
      </c>
      <c r="E15" s="4" t="s">
        <v>10</v>
      </c>
    </row>
    <row r="16" spans="1:5" ht="15" x14ac:dyDescent="0.25">
      <c r="A16" s="149" t="s">
        <v>172</v>
      </c>
      <c r="B16" s="379">
        <v>0</v>
      </c>
      <c r="C16" s="321">
        <v>0</v>
      </c>
      <c r="D16" s="188">
        <v>-10000</v>
      </c>
      <c r="E16" s="4" t="s">
        <v>10</v>
      </c>
    </row>
    <row r="17" spans="1:5" ht="15" x14ac:dyDescent="0.25">
      <c r="A17" s="71" t="s">
        <v>149</v>
      </c>
      <c r="B17" s="166">
        <f>SUM(B15:B16)+B13</f>
        <v>0</v>
      </c>
      <c r="C17" s="120">
        <f>SUM(C15:C16)+C13</f>
        <v>0</v>
      </c>
      <c r="D17" s="165">
        <f>SUM(D15:D16)</f>
        <v>244500</v>
      </c>
      <c r="E17" s="4" t="s">
        <v>10</v>
      </c>
    </row>
    <row r="18" spans="1:5" ht="15" x14ac:dyDescent="0.25">
      <c r="A18" s="71"/>
      <c r="B18" s="69"/>
      <c r="C18" s="70"/>
      <c r="D18" s="77"/>
      <c r="E18" s="4" t="s">
        <v>10</v>
      </c>
    </row>
    <row r="19" spans="1:5" ht="15" x14ac:dyDescent="0.25">
      <c r="A19" s="73" t="s">
        <v>4</v>
      </c>
      <c r="B19" s="69"/>
      <c r="C19" s="70"/>
      <c r="D19" s="77"/>
      <c r="E19" s="4" t="s">
        <v>10</v>
      </c>
    </row>
    <row r="20" spans="1:5" x14ac:dyDescent="0.2">
      <c r="A20" s="152" t="s">
        <v>397</v>
      </c>
      <c r="B20" s="112">
        <v>0</v>
      </c>
      <c r="C20" s="113">
        <v>0</v>
      </c>
      <c r="D20" s="187">
        <v>10000</v>
      </c>
      <c r="E20" s="4" t="s">
        <v>10</v>
      </c>
    </row>
    <row r="21" spans="1:5" ht="15" x14ac:dyDescent="0.25">
      <c r="A21" s="74" t="s">
        <v>115</v>
      </c>
      <c r="B21" s="69">
        <f>SUM(B20)</f>
        <v>0</v>
      </c>
      <c r="C21" s="70">
        <f>SUM(C20)</f>
        <v>0</v>
      </c>
      <c r="D21" s="77">
        <f>SUM(D20:D20)</f>
        <v>10000</v>
      </c>
      <c r="E21" s="4" t="s">
        <v>10</v>
      </c>
    </row>
    <row r="22" spans="1:5" ht="15" x14ac:dyDescent="0.25">
      <c r="A22" s="71" t="s">
        <v>93</v>
      </c>
      <c r="B22" s="110">
        <f>B21</f>
        <v>0</v>
      </c>
      <c r="C22" s="25">
        <f>C21</f>
        <v>0</v>
      </c>
      <c r="D22" s="111">
        <f>D21</f>
        <v>10000</v>
      </c>
      <c r="E22" s="4" t="s">
        <v>10</v>
      </c>
    </row>
    <row r="23" spans="1:5" ht="15" x14ac:dyDescent="0.25">
      <c r="A23" s="75" t="s">
        <v>123</v>
      </c>
      <c r="B23" s="108">
        <f>B17+B22</f>
        <v>0</v>
      </c>
      <c r="C23" s="105">
        <f>C17+C22</f>
        <v>0</v>
      </c>
      <c r="D23" s="106">
        <f>D17+D22</f>
        <v>254500</v>
      </c>
      <c r="E23" s="4" t="s">
        <v>10</v>
      </c>
    </row>
    <row r="24" spans="1:5" ht="15" x14ac:dyDescent="0.25">
      <c r="A24" s="75" t="s">
        <v>7</v>
      </c>
      <c r="B24" s="108"/>
      <c r="C24" s="105"/>
      <c r="D24" s="106"/>
      <c r="E24" s="4" t="s">
        <v>10</v>
      </c>
    </row>
    <row r="25" spans="1:5" ht="15" x14ac:dyDescent="0.25">
      <c r="A25" s="155" t="s">
        <v>170</v>
      </c>
      <c r="B25" s="69"/>
      <c r="C25" s="70"/>
      <c r="D25" s="77"/>
      <c r="E25" s="4" t="s">
        <v>10</v>
      </c>
    </row>
    <row r="26" spans="1:5" x14ac:dyDescent="0.2">
      <c r="A26" s="156" t="s">
        <v>396</v>
      </c>
      <c r="B26" s="153">
        <v>0</v>
      </c>
      <c r="C26" s="154">
        <v>0</v>
      </c>
      <c r="D26" s="158">
        <v>12500</v>
      </c>
      <c r="E26" s="4" t="s">
        <v>10</v>
      </c>
    </row>
    <row r="27" spans="1:5" x14ac:dyDescent="0.2">
      <c r="A27" s="156" t="s">
        <v>395</v>
      </c>
      <c r="B27" s="153">
        <v>0</v>
      </c>
      <c r="C27" s="154">
        <v>0</v>
      </c>
      <c r="D27" s="158">
        <v>27000</v>
      </c>
      <c r="E27" s="4" t="s">
        <v>10</v>
      </c>
    </row>
    <row r="28" spans="1:5" x14ac:dyDescent="0.2">
      <c r="A28" s="156" t="s">
        <v>394</v>
      </c>
      <c r="B28" s="153">
        <v>0</v>
      </c>
      <c r="C28" s="154">
        <v>0</v>
      </c>
      <c r="D28" s="158">
        <v>1000</v>
      </c>
      <c r="E28" s="4" t="s">
        <v>10</v>
      </c>
    </row>
    <row r="29" spans="1:5" x14ac:dyDescent="0.2">
      <c r="A29" s="156" t="s">
        <v>393</v>
      </c>
      <c r="B29" s="153">
        <v>0</v>
      </c>
      <c r="C29" s="154">
        <v>0</v>
      </c>
      <c r="D29" s="158">
        <v>5400</v>
      </c>
      <c r="E29" s="4" t="s">
        <v>10</v>
      </c>
    </row>
    <row r="30" spans="1:5" x14ac:dyDescent="0.2">
      <c r="A30" s="156" t="s">
        <v>392</v>
      </c>
      <c r="B30" s="153">
        <v>0</v>
      </c>
      <c r="C30" s="154">
        <v>0</v>
      </c>
      <c r="D30" s="158">
        <v>30000</v>
      </c>
      <c r="E30" s="4" t="s">
        <v>10</v>
      </c>
    </row>
    <row r="31" spans="1:5" x14ac:dyDescent="0.2">
      <c r="A31" s="156" t="s">
        <v>391</v>
      </c>
      <c r="B31" s="153">
        <v>0</v>
      </c>
      <c r="C31" s="154">
        <v>0</v>
      </c>
      <c r="D31" s="158">
        <v>10000</v>
      </c>
      <c r="E31" s="4" t="s">
        <v>10</v>
      </c>
    </row>
    <row r="32" spans="1:5" x14ac:dyDescent="0.2">
      <c r="A32" s="156" t="s">
        <v>390</v>
      </c>
      <c r="B32" s="112">
        <v>0</v>
      </c>
      <c r="C32" s="113">
        <v>0</v>
      </c>
      <c r="D32" s="187">
        <v>3000</v>
      </c>
      <c r="E32" s="4" t="s">
        <v>10</v>
      </c>
    </row>
    <row r="33" spans="1:5" x14ac:dyDescent="0.2">
      <c r="A33" s="156" t="s">
        <v>8</v>
      </c>
      <c r="B33" s="153">
        <f>SUM(B26:B32)</f>
        <v>0</v>
      </c>
      <c r="C33" s="154">
        <f>SUM(C26:C32)</f>
        <v>0</v>
      </c>
      <c r="D33" s="158">
        <f>SUM(D26:D32)</f>
        <v>88900</v>
      </c>
      <c r="E33" s="4" t="s">
        <v>10</v>
      </c>
    </row>
    <row r="34" spans="1:5" ht="15" x14ac:dyDescent="0.25">
      <c r="A34" s="155" t="s">
        <v>166</v>
      </c>
      <c r="B34" s="69"/>
      <c r="C34" s="70"/>
      <c r="D34" s="77"/>
      <c r="E34" s="4" t="s">
        <v>10</v>
      </c>
    </row>
    <row r="35" spans="1:5" x14ac:dyDescent="0.2">
      <c r="A35" s="156" t="s">
        <v>389</v>
      </c>
      <c r="B35" s="153">
        <v>0</v>
      </c>
      <c r="C35" s="154">
        <v>0</v>
      </c>
      <c r="D35" s="186">
        <v>-5500</v>
      </c>
      <c r="E35" s="4" t="s">
        <v>10</v>
      </c>
    </row>
    <row r="36" spans="1:5" x14ac:dyDescent="0.2">
      <c r="A36" s="156" t="s">
        <v>388</v>
      </c>
      <c r="B36" s="153">
        <v>0</v>
      </c>
      <c r="C36" s="154">
        <v>0</v>
      </c>
      <c r="D36" s="186">
        <v>-8000</v>
      </c>
      <c r="E36" s="4" t="s">
        <v>10</v>
      </c>
    </row>
    <row r="37" spans="1:5" x14ac:dyDescent="0.2">
      <c r="A37" s="156" t="s">
        <v>387</v>
      </c>
      <c r="B37" s="112">
        <v>0</v>
      </c>
      <c r="C37" s="113">
        <v>0</v>
      </c>
      <c r="D37" s="312">
        <v>-30500</v>
      </c>
      <c r="E37" s="4" t="s">
        <v>10</v>
      </c>
    </row>
    <row r="38" spans="1:5" x14ac:dyDescent="0.2">
      <c r="A38" s="156" t="s">
        <v>164</v>
      </c>
      <c r="B38" s="153">
        <f>SUM(B35:B37)</f>
        <v>0</v>
      </c>
      <c r="C38" s="154">
        <f>SUM(C35:C37)</f>
        <v>0</v>
      </c>
      <c r="D38" s="186">
        <f>SUM(D35:D37)</f>
        <v>-44000</v>
      </c>
      <c r="E38" s="4" t="s">
        <v>10</v>
      </c>
    </row>
    <row r="39" spans="1:5" ht="15" x14ac:dyDescent="0.25">
      <c r="A39" s="71" t="s">
        <v>9</v>
      </c>
      <c r="B39" s="110">
        <f>B33+B38</f>
        <v>0</v>
      </c>
      <c r="C39" s="25">
        <f>C33+C38</f>
        <v>0</v>
      </c>
      <c r="D39" s="111">
        <f>D33+D38</f>
        <v>44900</v>
      </c>
      <c r="E39" s="4" t="s">
        <v>10</v>
      </c>
    </row>
    <row r="40" spans="1:5" ht="15" x14ac:dyDescent="0.25">
      <c r="A40" s="78" t="s">
        <v>124</v>
      </c>
      <c r="B40" s="108">
        <f>B23+B39</f>
        <v>0</v>
      </c>
      <c r="C40" s="105">
        <f>C23+C39</f>
        <v>0</v>
      </c>
      <c r="D40" s="106">
        <f>D23+D39</f>
        <v>299400</v>
      </c>
      <c r="E40" s="4" t="s">
        <v>10</v>
      </c>
    </row>
    <row r="41" spans="1:5" ht="15" x14ac:dyDescent="0.25">
      <c r="A41" s="149" t="s">
        <v>142</v>
      </c>
      <c r="B41" s="110"/>
      <c r="C41" s="25"/>
      <c r="D41" s="185">
        <v>-10000</v>
      </c>
      <c r="E41" s="4" t="s">
        <v>10</v>
      </c>
    </row>
    <row r="42" spans="1:5" s="5" customFormat="1" ht="15" x14ac:dyDescent="0.25">
      <c r="A42" s="90" t="s">
        <v>125</v>
      </c>
      <c r="B42" s="386">
        <f>SUM(B40:B41)</f>
        <v>0</v>
      </c>
      <c r="C42" s="88">
        <f>SUM(C40:C41)</f>
        <v>0</v>
      </c>
      <c r="D42" s="89">
        <f>SUM(D40:D41)</f>
        <v>289400</v>
      </c>
      <c r="E42" s="4" t="s">
        <v>10</v>
      </c>
    </row>
    <row r="43" spans="1:5" ht="15" thickBot="1" x14ac:dyDescent="0.25">
      <c r="A43" s="159" t="s">
        <v>151</v>
      </c>
      <c r="B43" s="171">
        <f>B40-B15</f>
        <v>0</v>
      </c>
      <c r="C43" s="172">
        <f>C40-C15</f>
        <v>0</v>
      </c>
      <c r="D43" s="183">
        <f>D40-D15</f>
        <v>44900</v>
      </c>
      <c r="E43" s="4" t="s">
        <v>10</v>
      </c>
    </row>
    <row r="44" spans="1:5" x14ac:dyDescent="0.2">
      <c r="A44" s="4"/>
      <c r="E44" s="4" t="s">
        <v>10</v>
      </c>
    </row>
    <row r="45" spans="1:5" ht="17.25" x14ac:dyDescent="0.2">
      <c r="A45" s="575"/>
      <c r="B45" s="576"/>
      <c r="C45" s="576"/>
      <c r="D45" s="576"/>
      <c r="E45" s="4" t="s">
        <v>10</v>
      </c>
    </row>
    <row r="46" spans="1:5" x14ac:dyDescent="0.2">
      <c r="E46" s="4" t="s">
        <v>11</v>
      </c>
    </row>
  </sheetData>
  <customSheetViews>
    <customSheetView guid="{EE916FE7-61FB-4021-ADDD-E082241FC03C}" scale="90" showPageBreaks="1" printArea="1" view="pageBreakPreview">
      <selection activeCell="D41" sqref="D41"/>
      <pageMargins left="0.7" right="0.7" top="0.63" bottom="0.63" header="0.3" footer="0.3"/>
      <printOptions horizontalCentered="1"/>
      <pageSetup scale="66" orientation="landscape" r:id="rId1"/>
      <headerFooter>
        <oddHeader>&amp;L&amp;"Arial,Bold"&amp;12B. Summary of Requirements</oddHeader>
        <oddFooter>&amp;C&amp;"Arial,Regular"Exhibit B - Summary of Requirements&amp;R&amp;"Arial,Regular"Juvenile Justice Programs</oddFooter>
      </headerFooter>
    </customSheetView>
    <customSheetView guid="{0BB5DC4B-BC2A-4489-BE17-5E267FA1EF63}" scale="90" showPageBreaks="1" printArea="1" view="pageBreakPreview">
      <selection activeCell="D41" sqref="D41"/>
      <pageMargins left="0.7" right="0.7" top="0.63" bottom="0.63" header="0.3" footer="0.3"/>
      <printOptions horizontalCentered="1"/>
      <pageSetup scale="66" orientation="landscape" r:id="rId2"/>
      <headerFooter>
        <oddHeader>&amp;L&amp;"Arial,Bold"&amp;12B. Summary of Requirements</oddHeader>
        <oddFooter>&amp;C&amp;"Arial,Regular"Exhibit B - Summary of Requirements&amp;R&amp;"Arial,Regular"Juvenile Justice Programs</oddFooter>
      </headerFooter>
    </customSheetView>
    <customSheetView guid="{6C58FFE1-D756-42C4-A1BC-AA7F1DC1E56F}" scale="90" showPageBreaks="1" printArea="1" view="pageBreakPreview" topLeftCell="B55">
      <selection activeCell="C58" sqref="C58"/>
      <pageMargins left="0.7" right="0.7" top="0.63" bottom="0.63" header="0.3" footer="0.3"/>
      <printOptions horizontalCentered="1"/>
      <pageSetup scale="66" orientation="landscape" r:id="rId3"/>
      <headerFooter>
        <oddHeader>&amp;L&amp;"Arial,Bold"&amp;12B. Summary of Requirements</oddHeader>
        <oddFooter>&amp;C&amp;"Arial,Regular"Exhibit B - Summary of Requirements&amp;R&amp;"Arial,Regular"Juvenile Justice Programs</oddFooter>
      </headerFooter>
    </customSheetView>
    <customSheetView guid="{CFA5D1C9-F4C9-4B8D-923D-4C71CB6E7D3B}" scale="90" showPageBreaks="1" printArea="1" view="pageBreakPreview">
      <selection activeCell="D41" sqref="D41"/>
      <pageMargins left="0.7" right="0.7" top="0.63" bottom="0.63" header="0.3" footer="0.3"/>
      <printOptions horizontalCentered="1"/>
      <pageSetup scale="66" orientation="landscape" r:id="rId4"/>
      <headerFooter>
        <oddHeader>&amp;L&amp;"Arial,Bold"&amp;12B. Summary of Requirements</oddHeader>
        <oddFooter>&amp;C&amp;"Arial,Regular"Exhibit B - Summary of Requirements&amp;R&amp;"Arial,Regular"Juvenile Justice Programs</oddFooter>
      </headerFooter>
    </customSheetView>
    <customSheetView guid="{A788DF77-74F1-49E4-8B34-BFBDB7664F30}" scale="90" showPageBreaks="1" printArea="1" view="pageBreakPreview" topLeftCell="B55">
      <selection activeCell="C58" sqref="C58"/>
      <pageMargins left="0.7" right="0.7" top="0.63" bottom="0.63" header="0.3" footer="0.3"/>
      <printOptions horizontalCentered="1"/>
      <pageSetup scale="66" orientation="landscape" r:id="rId5"/>
      <headerFooter>
        <oddHeader>&amp;L&amp;"Arial,Bold"&amp;12B. Summary of Requirements</oddHeader>
        <oddFooter>&amp;C&amp;"Arial,Regular"Exhibit B - Summary of Requirements&amp;R&amp;"Arial,Regular"Juvenile Justice Programs</oddFooter>
      </headerFooter>
    </customSheetView>
  </customSheetViews>
  <mergeCells count="6">
    <mergeCell ref="A45:D45"/>
    <mergeCell ref="A1:D1"/>
    <mergeCell ref="A2:D2"/>
    <mergeCell ref="A3:D3"/>
    <mergeCell ref="A4:D4"/>
    <mergeCell ref="B6:D6"/>
  </mergeCells>
  <printOptions horizontalCentered="1"/>
  <pageMargins left="0.7" right="0.7" top="0.63" bottom="0.63" header="0.3" footer="0.3"/>
  <pageSetup scale="75" orientation="landscape" r:id="rId6"/>
  <headerFooter>
    <oddHeader>&amp;L&amp;"Arial,Bold"&amp;12B. Summary of Requirements</oddHeader>
    <oddFooter>&amp;C&amp;"Arial,Regular"Exhibit B - Summary of Requirements&amp;R&amp;"Arial,Regular"Juvenile Justice Programs</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3"/>
  <sheetViews>
    <sheetView view="pageBreakPreview" topLeftCell="A46" zoomScaleNormal="100" zoomScaleSheetLayoutView="100" workbookViewId="0">
      <selection activeCell="I46" sqref="I46"/>
    </sheetView>
  </sheetViews>
  <sheetFormatPr defaultRowHeight="14.25" x14ac:dyDescent="0.2"/>
  <cols>
    <col min="1" max="1" width="37.140625" style="143" customWidth="1"/>
    <col min="2" max="3" width="8.28515625" style="143" customWidth="1"/>
    <col min="4" max="4" width="12.7109375" style="143" customWidth="1"/>
    <col min="5" max="6" width="8.28515625" style="143" customWidth="1"/>
    <col min="7" max="7" width="12.7109375" style="143" customWidth="1"/>
    <col min="8" max="9" width="8.28515625" style="143" customWidth="1"/>
    <col min="10" max="10" width="12.7109375" style="143" customWidth="1"/>
    <col min="11" max="12" width="8.28515625" style="143" customWidth="1"/>
    <col min="13" max="13" width="12.7109375" style="143" customWidth="1"/>
    <col min="14" max="14" width="14" style="4" bestFit="1" customWidth="1"/>
    <col min="15" max="15" width="4.5703125" style="143" customWidth="1"/>
    <col min="16" max="17" width="8.28515625" style="143" customWidth="1"/>
    <col min="18" max="18" width="12.7109375" style="143" customWidth="1"/>
    <col min="19" max="20" width="8.28515625" style="143" customWidth="1"/>
    <col min="21" max="21" width="12.7109375" style="143" customWidth="1"/>
    <col min="22" max="16384" width="9.140625" style="143"/>
  </cols>
  <sheetData>
    <row r="1" spans="1:21" ht="18" x14ac:dyDescent="0.25">
      <c r="A1" s="577" t="s">
        <v>0</v>
      </c>
      <c r="B1" s="577"/>
      <c r="C1" s="577"/>
      <c r="D1" s="577"/>
      <c r="E1" s="577"/>
      <c r="F1" s="577"/>
      <c r="G1" s="577"/>
      <c r="H1" s="577"/>
      <c r="I1" s="577"/>
      <c r="J1" s="577"/>
      <c r="K1" s="577"/>
      <c r="L1" s="577"/>
      <c r="M1" s="577"/>
      <c r="N1" s="51" t="s">
        <v>10</v>
      </c>
      <c r="O1" s="6"/>
      <c r="P1" s="6"/>
      <c r="Q1" s="6"/>
      <c r="R1" s="6"/>
      <c r="S1" s="6"/>
      <c r="T1" s="6"/>
      <c r="U1" s="6"/>
    </row>
    <row r="2" spans="1:21" ht="15" x14ac:dyDescent="0.2">
      <c r="A2" s="578" t="s">
        <v>152</v>
      </c>
      <c r="B2" s="578"/>
      <c r="C2" s="578"/>
      <c r="D2" s="578"/>
      <c r="E2" s="578"/>
      <c r="F2" s="578"/>
      <c r="G2" s="578"/>
      <c r="H2" s="578"/>
      <c r="I2" s="578"/>
      <c r="J2" s="578"/>
      <c r="K2" s="578"/>
      <c r="L2" s="578"/>
      <c r="M2" s="578"/>
      <c r="N2" s="51" t="s">
        <v>10</v>
      </c>
      <c r="O2" s="7"/>
      <c r="P2" s="7"/>
      <c r="Q2" s="7"/>
      <c r="R2" s="7"/>
      <c r="S2" s="7"/>
      <c r="T2" s="7"/>
      <c r="U2" s="7"/>
    </row>
    <row r="3" spans="1:21" x14ac:dyDescent="0.2">
      <c r="A3" s="579" t="s">
        <v>399</v>
      </c>
      <c r="B3" s="579"/>
      <c r="C3" s="579"/>
      <c r="D3" s="579"/>
      <c r="E3" s="579"/>
      <c r="F3" s="579"/>
      <c r="G3" s="579"/>
      <c r="H3" s="579"/>
      <c r="I3" s="579"/>
      <c r="J3" s="579"/>
      <c r="K3" s="579"/>
      <c r="L3" s="579"/>
      <c r="M3" s="579"/>
      <c r="N3" s="51" t="s">
        <v>10</v>
      </c>
      <c r="O3" s="163"/>
      <c r="P3" s="163"/>
      <c r="Q3" s="163"/>
      <c r="R3" s="163"/>
      <c r="S3" s="163"/>
      <c r="T3" s="163"/>
      <c r="U3" s="163"/>
    </row>
    <row r="4" spans="1:21" x14ac:dyDescent="0.2">
      <c r="A4" s="608" t="s">
        <v>1</v>
      </c>
      <c r="B4" s="608"/>
      <c r="C4" s="608"/>
      <c r="D4" s="608"/>
      <c r="E4" s="608"/>
      <c r="F4" s="608"/>
      <c r="G4" s="608"/>
      <c r="H4" s="608"/>
      <c r="I4" s="608"/>
      <c r="J4" s="608"/>
      <c r="K4" s="608"/>
      <c r="L4" s="608"/>
      <c r="M4" s="608"/>
      <c r="N4" s="51" t="s">
        <v>10</v>
      </c>
      <c r="O4" s="162"/>
      <c r="P4" s="162"/>
      <c r="Q4" s="162"/>
      <c r="R4" s="162"/>
      <c r="S4" s="162"/>
      <c r="T4" s="162"/>
      <c r="U4" s="162"/>
    </row>
    <row r="5" spans="1:21" x14ac:dyDescent="0.2">
      <c r="A5" s="608"/>
      <c r="B5" s="608"/>
      <c r="C5" s="608"/>
      <c r="D5" s="608"/>
      <c r="E5" s="608"/>
      <c r="F5" s="608"/>
      <c r="G5" s="608"/>
      <c r="H5" s="608"/>
      <c r="I5" s="608"/>
      <c r="J5" s="608"/>
      <c r="K5" s="608"/>
      <c r="L5" s="608"/>
      <c r="M5" s="608"/>
      <c r="N5" s="51" t="s">
        <v>10</v>
      </c>
      <c r="O5" s="162"/>
      <c r="P5" s="162"/>
      <c r="Q5" s="162"/>
      <c r="R5" s="162"/>
      <c r="S5" s="162"/>
      <c r="T5" s="162"/>
      <c r="U5" s="162"/>
    </row>
    <row r="6" spans="1:21" ht="15" thickBot="1" x14ac:dyDescent="0.25">
      <c r="A6" s="608"/>
      <c r="B6" s="608"/>
      <c r="C6" s="608"/>
      <c r="D6" s="608"/>
      <c r="E6" s="608"/>
      <c r="F6" s="608"/>
      <c r="G6" s="608"/>
      <c r="H6" s="608"/>
      <c r="I6" s="608"/>
      <c r="J6" s="608"/>
      <c r="K6" s="608"/>
      <c r="L6" s="608"/>
      <c r="M6" s="608"/>
      <c r="N6" s="51" t="s">
        <v>10</v>
      </c>
      <c r="O6" s="162"/>
      <c r="P6" s="162"/>
      <c r="Q6" s="162"/>
      <c r="R6" s="162"/>
      <c r="S6" s="162"/>
      <c r="T6" s="162"/>
      <c r="U6" s="162"/>
    </row>
    <row r="7" spans="1:21" ht="45.75" customHeight="1" x14ac:dyDescent="0.2">
      <c r="A7" s="585" t="s">
        <v>101</v>
      </c>
      <c r="B7" s="588" t="s">
        <v>126</v>
      </c>
      <c r="C7" s="588"/>
      <c r="D7" s="588"/>
      <c r="E7" s="588" t="s">
        <v>148</v>
      </c>
      <c r="F7" s="588"/>
      <c r="G7" s="588"/>
      <c r="H7" s="588" t="s">
        <v>127</v>
      </c>
      <c r="I7" s="588"/>
      <c r="J7" s="588"/>
      <c r="K7" s="588" t="s">
        <v>123</v>
      </c>
      <c r="L7" s="588"/>
      <c r="M7" s="589"/>
      <c r="N7" s="51" t="s">
        <v>10</v>
      </c>
    </row>
    <row r="8" spans="1:21" ht="28.5" x14ac:dyDescent="0.2">
      <c r="A8" s="586"/>
      <c r="B8" s="235" t="s">
        <v>2</v>
      </c>
      <c r="C8" s="235" t="s">
        <v>95</v>
      </c>
      <c r="D8" s="235" t="s">
        <v>3</v>
      </c>
      <c r="E8" s="235" t="s">
        <v>2</v>
      </c>
      <c r="F8" s="235" t="s">
        <v>110</v>
      </c>
      <c r="G8" s="235" t="s">
        <v>3</v>
      </c>
      <c r="H8" s="235" t="s">
        <v>2</v>
      </c>
      <c r="I8" s="235" t="s">
        <v>110</v>
      </c>
      <c r="J8" s="235" t="s">
        <v>3</v>
      </c>
      <c r="K8" s="235" t="s">
        <v>2</v>
      </c>
      <c r="L8" s="235" t="s">
        <v>110</v>
      </c>
      <c r="M8" s="234" t="s">
        <v>3</v>
      </c>
      <c r="N8" s="51" t="s">
        <v>10</v>
      </c>
    </row>
    <row r="9" spans="1:21" ht="42.75" x14ac:dyDescent="0.2">
      <c r="A9" s="178" t="s">
        <v>413</v>
      </c>
      <c r="B9" s="217">
        <v>0</v>
      </c>
      <c r="C9" s="217">
        <v>0</v>
      </c>
      <c r="D9" s="217">
        <v>1400</v>
      </c>
      <c r="E9" s="217">
        <v>0</v>
      </c>
      <c r="F9" s="217">
        <v>0</v>
      </c>
      <c r="G9" s="217">
        <v>1500</v>
      </c>
      <c r="H9" s="217">
        <v>0</v>
      </c>
      <c r="I9" s="217">
        <v>0</v>
      </c>
      <c r="J9" s="217">
        <v>0</v>
      </c>
      <c r="K9" s="217">
        <f t="shared" ref="K9:K27" si="0">E9+H9</f>
        <v>0</v>
      </c>
      <c r="L9" s="217">
        <f t="shared" ref="L9:L27" si="1">F9+I9</f>
        <v>0</v>
      </c>
      <c r="M9" s="286">
        <f t="shared" ref="M9:M27" si="2">G9+J9</f>
        <v>1500</v>
      </c>
      <c r="N9" s="51" t="s">
        <v>10</v>
      </c>
    </row>
    <row r="10" spans="1:21" ht="28.5" x14ac:dyDescent="0.2">
      <c r="A10" s="229" t="s">
        <v>412</v>
      </c>
      <c r="B10" s="154">
        <v>0</v>
      </c>
      <c r="C10" s="154">
        <v>0</v>
      </c>
      <c r="D10" s="154">
        <v>0</v>
      </c>
      <c r="E10" s="154">
        <v>0</v>
      </c>
      <c r="F10" s="154">
        <v>0</v>
      </c>
      <c r="G10" s="154">
        <v>500</v>
      </c>
      <c r="H10" s="154">
        <v>0</v>
      </c>
      <c r="I10" s="154">
        <v>0</v>
      </c>
      <c r="J10" s="154">
        <v>0</v>
      </c>
      <c r="K10" s="154">
        <f t="shared" si="0"/>
        <v>0</v>
      </c>
      <c r="L10" s="154">
        <f t="shared" si="1"/>
        <v>0</v>
      </c>
      <c r="M10" s="151">
        <f t="shared" si="2"/>
        <v>500</v>
      </c>
      <c r="N10" s="51" t="s">
        <v>10</v>
      </c>
    </row>
    <row r="11" spans="1:21" ht="28.5" x14ac:dyDescent="0.2">
      <c r="A11" s="229" t="s">
        <v>396</v>
      </c>
      <c r="B11" s="154">
        <v>0</v>
      </c>
      <c r="C11" s="154">
        <v>0</v>
      </c>
      <c r="D11" s="154">
        <v>10270</v>
      </c>
      <c r="E11" s="154">
        <v>0</v>
      </c>
      <c r="F11" s="154">
        <v>0</v>
      </c>
      <c r="G11" s="154">
        <v>5500</v>
      </c>
      <c r="H11" s="154">
        <v>0</v>
      </c>
      <c r="I11" s="154">
        <v>0</v>
      </c>
      <c r="J11" s="154">
        <v>0</v>
      </c>
      <c r="K11" s="154">
        <f t="shared" si="0"/>
        <v>0</v>
      </c>
      <c r="L11" s="154">
        <f t="shared" si="1"/>
        <v>0</v>
      </c>
      <c r="M11" s="151">
        <f t="shared" si="2"/>
        <v>5500</v>
      </c>
      <c r="N11" s="51" t="s">
        <v>10</v>
      </c>
    </row>
    <row r="12" spans="1:21" ht="57" x14ac:dyDescent="0.2">
      <c r="A12" s="229" t="s">
        <v>395</v>
      </c>
      <c r="B12" s="154">
        <v>0</v>
      </c>
      <c r="C12" s="154">
        <v>0</v>
      </c>
      <c r="D12" s="154">
        <v>18673</v>
      </c>
      <c r="E12" s="154">
        <v>0</v>
      </c>
      <c r="F12" s="154">
        <v>0</v>
      </c>
      <c r="G12" s="154">
        <v>15000</v>
      </c>
      <c r="H12" s="154">
        <v>0</v>
      </c>
      <c r="I12" s="154">
        <v>0</v>
      </c>
      <c r="J12" s="154">
        <v>0</v>
      </c>
      <c r="K12" s="154">
        <f t="shared" si="0"/>
        <v>0</v>
      </c>
      <c r="L12" s="154">
        <f t="shared" si="1"/>
        <v>0</v>
      </c>
      <c r="M12" s="151">
        <f t="shared" si="2"/>
        <v>15000</v>
      </c>
      <c r="N12" s="51" t="s">
        <v>10</v>
      </c>
    </row>
    <row r="13" spans="1:21" ht="28.5" x14ac:dyDescent="0.2">
      <c r="A13" s="371" t="s">
        <v>411</v>
      </c>
      <c r="B13" s="154">
        <v>0</v>
      </c>
      <c r="C13" s="154">
        <v>0</v>
      </c>
      <c r="D13" s="439" t="s">
        <v>627</v>
      </c>
      <c r="E13" s="154">
        <v>0</v>
      </c>
      <c r="F13" s="154">
        <v>0</v>
      </c>
      <c r="G13" s="439" t="s">
        <v>489</v>
      </c>
      <c r="H13" s="154">
        <v>0</v>
      </c>
      <c r="I13" s="154">
        <v>0</v>
      </c>
      <c r="J13" s="154">
        <v>0</v>
      </c>
      <c r="K13" s="154">
        <f t="shared" si="0"/>
        <v>0</v>
      </c>
      <c r="L13" s="154">
        <f t="shared" si="1"/>
        <v>0</v>
      </c>
      <c r="M13" s="438" t="s">
        <v>489</v>
      </c>
      <c r="N13" s="51" t="s">
        <v>10</v>
      </c>
    </row>
    <row r="14" spans="1:21" ht="42.75" x14ac:dyDescent="0.2">
      <c r="A14" s="371" t="s">
        <v>410</v>
      </c>
      <c r="B14" s="154">
        <v>0</v>
      </c>
      <c r="C14" s="154">
        <v>0</v>
      </c>
      <c r="D14" s="439" t="s">
        <v>627</v>
      </c>
      <c r="E14" s="154">
        <v>0</v>
      </c>
      <c r="F14" s="154">
        <v>0</v>
      </c>
      <c r="G14" s="439" t="s">
        <v>489</v>
      </c>
      <c r="H14" s="154">
        <v>0</v>
      </c>
      <c r="I14" s="154">
        <v>0</v>
      </c>
      <c r="J14" s="154">
        <v>0</v>
      </c>
      <c r="K14" s="154">
        <f t="shared" si="0"/>
        <v>0</v>
      </c>
      <c r="L14" s="154">
        <f t="shared" si="1"/>
        <v>0</v>
      </c>
      <c r="M14" s="438" t="s">
        <v>489</v>
      </c>
      <c r="N14" s="51" t="s">
        <v>10</v>
      </c>
    </row>
    <row r="15" spans="1:21" ht="28.5" x14ac:dyDescent="0.2">
      <c r="A15" s="371" t="s">
        <v>409</v>
      </c>
      <c r="B15" s="154">
        <v>0</v>
      </c>
      <c r="C15" s="154">
        <v>0</v>
      </c>
      <c r="D15" s="439" t="s">
        <v>480</v>
      </c>
      <c r="E15" s="154">
        <v>0</v>
      </c>
      <c r="F15" s="154">
        <v>0</v>
      </c>
      <c r="G15" s="439" t="s">
        <v>488</v>
      </c>
      <c r="H15" s="154">
        <v>0</v>
      </c>
      <c r="I15" s="154">
        <v>0</v>
      </c>
      <c r="J15" s="154">
        <v>0</v>
      </c>
      <c r="K15" s="154">
        <f t="shared" si="0"/>
        <v>0</v>
      </c>
      <c r="L15" s="154">
        <f t="shared" si="1"/>
        <v>0</v>
      </c>
      <c r="M15" s="438" t="s">
        <v>488</v>
      </c>
      <c r="N15" s="51" t="s">
        <v>10</v>
      </c>
    </row>
    <row r="16" spans="1:21" x14ac:dyDescent="0.2">
      <c r="A16" s="371" t="s">
        <v>408</v>
      </c>
      <c r="B16" s="154">
        <v>0</v>
      </c>
      <c r="C16" s="154">
        <v>0</v>
      </c>
      <c r="D16" s="439" t="s">
        <v>628</v>
      </c>
      <c r="E16" s="154">
        <v>0</v>
      </c>
      <c r="F16" s="154">
        <v>0</v>
      </c>
      <c r="G16" s="439" t="s">
        <v>488</v>
      </c>
      <c r="H16" s="154">
        <v>0</v>
      </c>
      <c r="I16" s="154">
        <v>0</v>
      </c>
      <c r="J16" s="154">
        <v>0</v>
      </c>
      <c r="K16" s="154">
        <f t="shared" si="0"/>
        <v>0</v>
      </c>
      <c r="L16" s="154">
        <f t="shared" si="1"/>
        <v>0</v>
      </c>
      <c r="M16" s="438" t="s">
        <v>488</v>
      </c>
      <c r="N16" s="51" t="s">
        <v>10</v>
      </c>
    </row>
    <row r="17" spans="1:14" ht="28.5" x14ac:dyDescent="0.2">
      <c r="A17" s="229" t="s">
        <v>407</v>
      </c>
      <c r="B17" s="154">
        <v>0</v>
      </c>
      <c r="C17" s="154">
        <v>0</v>
      </c>
      <c r="D17" s="154">
        <v>0</v>
      </c>
      <c r="E17" s="154">
        <v>0</v>
      </c>
      <c r="F17" s="154">
        <v>0</v>
      </c>
      <c r="G17" s="154">
        <v>1000</v>
      </c>
      <c r="H17" s="154">
        <v>0</v>
      </c>
      <c r="I17" s="154">
        <v>0</v>
      </c>
      <c r="J17" s="154">
        <v>0</v>
      </c>
      <c r="K17" s="154">
        <f t="shared" si="0"/>
        <v>0</v>
      </c>
      <c r="L17" s="154">
        <f t="shared" si="1"/>
        <v>0</v>
      </c>
      <c r="M17" s="151">
        <f t="shared" si="2"/>
        <v>1000</v>
      </c>
      <c r="N17" s="51" t="s">
        <v>10</v>
      </c>
    </row>
    <row r="18" spans="1:14" ht="42.75" hidden="1" x14ac:dyDescent="0.2">
      <c r="A18" s="229" t="s">
        <v>406</v>
      </c>
      <c r="B18" s="154">
        <v>0</v>
      </c>
      <c r="C18" s="154">
        <v>0</v>
      </c>
      <c r="D18" s="154">
        <v>0</v>
      </c>
      <c r="E18" s="154">
        <v>0</v>
      </c>
      <c r="F18" s="154">
        <v>0</v>
      </c>
      <c r="G18" s="154">
        <v>0</v>
      </c>
      <c r="H18" s="154">
        <v>0</v>
      </c>
      <c r="I18" s="154">
        <v>0</v>
      </c>
      <c r="J18" s="154">
        <v>0</v>
      </c>
      <c r="K18" s="154">
        <f t="shared" si="0"/>
        <v>0</v>
      </c>
      <c r="L18" s="154">
        <f t="shared" si="1"/>
        <v>0</v>
      </c>
      <c r="M18" s="151">
        <f t="shared" si="2"/>
        <v>0</v>
      </c>
      <c r="N18" s="51" t="s">
        <v>10</v>
      </c>
    </row>
    <row r="19" spans="1:14" ht="28.5" x14ac:dyDescent="0.2">
      <c r="A19" s="229" t="s">
        <v>405</v>
      </c>
      <c r="B19" s="154">
        <v>0</v>
      </c>
      <c r="C19" s="154">
        <v>0</v>
      </c>
      <c r="D19" s="154">
        <v>23341</v>
      </c>
      <c r="E19" s="154">
        <v>0</v>
      </c>
      <c r="F19" s="154">
        <v>0</v>
      </c>
      <c r="G19" s="154">
        <v>0</v>
      </c>
      <c r="H19" s="154">
        <v>0</v>
      </c>
      <c r="I19" s="154">
        <v>0</v>
      </c>
      <c r="J19" s="154">
        <v>0</v>
      </c>
      <c r="K19" s="154">
        <f t="shared" si="0"/>
        <v>0</v>
      </c>
      <c r="L19" s="154">
        <f t="shared" si="1"/>
        <v>0</v>
      </c>
      <c r="M19" s="151">
        <f t="shared" si="2"/>
        <v>0</v>
      </c>
      <c r="N19" s="51" t="s">
        <v>10</v>
      </c>
    </row>
    <row r="20" spans="1:14" ht="28.5" hidden="1" x14ac:dyDescent="0.2">
      <c r="A20" s="229" t="s">
        <v>404</v>
      </c>
      <c r="B20" s="154">
        <v>0</v>
      </c>
      <c r="C20" s="154">
        <v>0</v>
      </c>
      <c r="D20" s="154">
        <v>0</v>
      </c>
      <c r="E20" s="154">
        <v>0</v>
      </c>
      <c r="F20" s="154">
        <v>0</v>
      </c>
      <c r="G20" s="154">
        <v>0</v>
      </c>
      <c r="H20" s="154">
        <v>0</v>
      </c>
      <c r="I20" s="154">
        <v>0</v>
      </c>
      <c r="J20" s="154">
        <v>0</v>
      </c>
      <c r="K20" s="154">
        <f t="shared" si="0"/>
        <v>0</v>
      </c>
      <c r="L20" s="154">
        <f t="shared" si="1"/>
        <v>0</v>
      </c>
      <c r="M20" s="151">
        <f t="shared" si="2"/>
        <v>0</v>
      </c>
      <c r="N20" s="51" t="s">
        <v>10</v>
      </c>
    </row>
    <row r="21" spans="1:14" x14ac:dyDescent="0.2">
      <c r="A21" s="229" t="s">
        <v>403</v>
      </c>
      <c r="B21" s="154">
        <v>0</v>
      </c>
      <c r="C21" s="154">
        <v>0</v>
      </c>
      <c r="D21" s="154">
        <v>62553</v>
      </c>
      <c r="E21" s="154">
        <v>0</v>
      </c>
      <c r="F21" s="154">
        <v>0</v>
      </c>
      <c r="G21" s="154">
        <v>67000</v>
      </c>
      <c r="H21" s="154">
        <v>0</v>
      </c>
      <c r="I21" s="154">
        <v>0</v>
      </c>
      <c r="J21" s="154">
        <v>0</v>
      </c>
      <c r="K21" s="154">
        <f t="shared" si="0"/>
        <v>0</v>
      </c>
      <c r="L21" s="154">
        <f t="shared" si="1"/>
        <v>0</v>
      </c>
      <c r="M21" s="151">
        <f t="shared" si="2"/>
        <v>67000</v>
      </c>
      <c r="N21" s="51" t="s">
        <v>10</v>
      </c>
    </row>
    <row r="22" spans="1:14" ht="28.5" x14ac:dyDescent="0.2">
      <c r="A22" s="229" t="s">
        <v>390</v>
      </c>
      <c r="B22" s="154">
        <v>0</v>
      </c>
      <c r="C22" s="154">
        <v>0</v>
      </c>
      <c r="D22" s="154">
        <v>1867</v>
      </c>
      <c r="E22" s="154">
        <v>0</v>
      </c>
      <c r="F22" s="154">
        <v>0</v>
      </c>
      <c r="G22" s="154">
        <v>1000</v>
      </c>
      <c r="H22" s="154">
        <v>0</v>
      </c>
      <c r="I22" s="154">
        <v>0</v>
      </c>
      <c r="J22" s="154">
        <v>0</v>
      </c>
      <c r="K22" s="154">
        <f t="shared" si="0"/>
        <v>0</v>
      </c>
      <c r="L22" s="154">
        <f t="shared" si="1"/>
        <v>0</v>
      </c>
      <c r="M22" s="151">
        <f t="shared" si="2"/>
        <v>1000</v>
      </c>
      <c r="N22" s="51" t="s">
        <v>10</v>
      </c>
    </row>
    <row r="23" spans="1:14" x14ac:dyDescent="0.2">
      <c r="A23" s="229" t="s">
        <v>402</v>
      </c>
      <c r="B23" s="154">
        <v>0</v>
      </c>
      <c r="C23" s="154">
        <v>0</v>
      </c>
      <c r="D23" s="154">
        <v>41080</v>
      </c>
      <c r="E23" s="154">
        <v>0</v>
      </c>
      <c r="F23" s="154">
        <v>0</v>
      </c>
      <c r="G23" s="154">
        <v>55500</v>
      </c>
      <c r="H23" s="154">
        <v>0</v>
      </c>
      <c r="I23" s="154">
        <v>0</v>
      </c>
      <c r="J23" s="154">
        <v>0</v>
      </c>
      <c r="K23" s="154">
        <f t="shared" si="0"/>
        <v>0</v>
      </c>
      <c r="L23" s="154">
        <f t="shared" si="1"/>
        <v>0</v>
      </c>
      <c r="M23" s="151">
        <f t="shared" si="2"/>
        <v>55500</v>
      </c>
      <c r="N23" s="51" t="s">
        <v>10</v>
      </c>
    </row>
    <row r="24" spans="1:14" ht="28.5" x14ac:dyDescent="0.2">
      <c r="A24" s="371" t="s">
        <v>401</v>
      </c>
      <c r="B24" s="154">
        <v>0</v>
      </c>
      <c r="C24" s="154">
        <v>0</v>
      </c>
      <c r="D24" s="439" t="s">
        <v>498</v>
      </c>
      <c r="E24" s="154">
        <v>0</v>
      </c>
      <c r="F24" s="154">
        <v>0</v>
      </c>
      <c r="G24" s="439" t="s">
        <v>609</v>
      </c>
      <c r="H24" s="154">
        <v>0</v>
      </c>
      <c r="I24" s="154">
        <v>0</v>
      </c>
      <c r="J24" s="154">
        <v>0</v>
      </c>
      <c r="K24" s="154">
        <f t="shared" si="0"/>
        <v>0</v>
      </c>
      <c r="L24" s="154">
        <f t="shared" si="1"/>
        <v>0</v>
      </c>
      <c r="M24" s="439" t="s">
        <v>609</v>
      </c>
      <c r="N24" s="51" t="s">
        <v>10</v>
      </c>
    </row>
    <row r="25" spans="1:14" x14ac:dyDescent="0.2">
      <c r="A25" s="371" t="s">
        <v>400</v>
      </c>
      <c r="B25" s="154">
        <v>0</v>
      </c>
      <c r="C25" s="154">
        <v>0</v>
      </c>
      <c r="D25" s="439" t="s">
        <v>480</v>
      </c>
      <c r="E25" s="154">
        <v>0</v>
      </c>
      <c r="F25" s="154">
        <v>0</v>
      </c>
      <c r="G25" s="439" t="s">
        <v>495</v>
      </c>
      <c r="H25" s="154">
        <v>0</v>
      </c>
      <c r="I25" s="154">
        <v>0</v>
      </c>
      <c r="J25" s="154">
        <v>0</v>
      </c>
      <c r="K25" s="154">
        <f t="shared" si="0"/>
        <v>0</v>
      </c>
      <c r="L25" s="154">
        <f t="shared" si="1"/>
        <v>0</v>
      </c>
      <c r="M25" s="439" t="s">
        <v>495</v>
      </c>
      <c r="N25" s="51" t="s">
        <v>10</v>
      </c>
    </row>
    <row r="26" spans="1:14" ht="42.75" x14ac:dyDescent="0.2">
      <c r="A26" s="229" t="s">
        <v>388</v>
      </c>
      <c r="B26" s="154">
        <v>0</v>
      </c>
      <c r="C26" s="154">
        <v>0</v>
      </c>
      <c r="D26" s="154">
        <v>17739</v>
      </c>
      <c r="E26" s="154">
        <v>0</v>
      </c>
      <c r="F26" s="154">
        <v>0</v>
      </c>
      <c r="G26" s="154">
        <v>19000</v>
      </c>
      <c r="H26" s="154">
        <v>0</v>
      </c>
      <c r="I26" s="154">
        <v>0</v>
      </c>
      <c r="J26" s="154">
        <v>0</v>
      </c>
      <c r="K26" s="154">
        <f t="shared" si="0"/>
        <v>0</v>
      </c>
      <c r="L26" s="154">
        <f t="shared" si="1"/>
        <v>0</v>
      </c>
      <c r="M26" s="151">
        <f t="shared" si="2"/>
        <v>19000</v>
      </c>
      <c r="N26" s="51" t="s">
        <v>10</v>
      </c>
    </row>
    <row r="27" spans="1:14" x14ac:dyDescent="0.2">
      <c r="A27" s="229" t="s">
        <v>387</v>
      </c>
      <c r="B27" s="154">
        <v>0</v>
      </c>
      <c r="C27" s="154">
        <v>0</v>
      </c>
      <c r="D27" s="154">
        <v>84027</v>
      </c>
      <c r="E27" s="154">
        <v>0</v>
      </c>
      <c r="F27" s="154">
        <v>0</v>
      </c>
      <c r="G27" s="154">
        <v>88500</v>
      </c>
      <c r="H27" s="154">
        <v>0</v>
      </c>
      <c r="I27" s="154">
        <v>0</v>
      </c>
      <c r="J27" s="154">
        <v>0</v>
      </c>
      <c r="K27" s="154">
        <f t="shared" si="0"/>
        <v>0</v>
      </c>
      <c r="L27" s="154">
        <f t="shared" si="1"/>
        <v>0</v>
      </c>
      <c r="M27" s="151">
        <f t="shared" si="2"/>
        <v>88500</v>
      </c>
      <c r="N27" s="51" t="s">
        <v>10</v>
      </c>
    </row>
    <row r="28" spans="1:14" ht="15" x14ac:dyDescent="0.25">
      <c r="A28" s="13" t="s">
        <v>98</v>
      </c>
      <c r="B28" s="118">
        <f>SUM(B9:B27)</f>
        <v>0</v>
      </c>
      <c r="C28" s="118">
        <f>SUM(C9:C27)</f>
        <v>0</v>
      </c>
      <c r="D28" s="118">
        <f>SUM(D9,D10,D11,D12,D17,D18,D19,D20,D21,D22,D23,D26,D27)</f>
        <v>260950</v>
      </c>
      <c r="E28" s="118">
        <f>SUM(E9:E27)</f>
        <v>0</v>
      </c>
      <c r="F28" s="118">
        <f>SUM(F9:F27)</f>
        <v>0</v>
      </c>
      <c r="G28" s="118">
        <f>SUM(G9,G10,G11,G12,G17,G18,G19,G20,G21,G22,G23,G26,G27)</f>
        <v>254500</v>
      </c>
      <c r="H28" s="118">
        <f>SUM(H9:H27)</f>
        <v>0</v>
      </c>
      <c r="I28" s="118">
        <f>SUM(I9:I27)</f>
        <v>0</v>
      </c>
      <c r="J28" s="118">
        <f>SUM(J9,J10,J11,J12,J17,J18,J19,J20,J21,J22,J23,J26,J27)</f>
        <v>0</v>
      </c>
      <c r="K28" s="118">
        <f>SUM(K9:K27)</f>
        <v>0</v>
      </c>
      <c r="L28" s="118">
        <f>SUM(L9:L27)</f>
        <v>0</v>
      </c>
      <c r="M28" s="119">
        <f>SUM(M9,M10,M11,M12,M17,M18,M19,M20,M21,M22,M23,M26,M27)</f>
        <v>254500</v>
      </c>
      <c r="N28" s="51" t="s">
        <v>10</v>
      </c>
    </row>
    <row r="29" spans="1:14" ht="15" x14ac:dyDescent="0.25">
      <c r="A29" s="218" t="s">
        <v>97</v>
      </c>
      <c r="B29" s="120"/>
      <c r="C29" s="120"/>
      <c r="D29" s="216">
        <v>-8000</v>
      </c>
      <c r="E29" s="120"/>
      <c r="F29" s="120"/>
      <c r="G29" s="216">
        <v>-10000</v>
      </c>
      <c r="H29" s="120"/>
      <c r="I29" s="120"/>
      <c r="J29" s="217">
        <v>10000</v>
      </c>
      <c r="K29" s="120"/>
      <c r="L29" s="120"/>
      <c r="M29" s="286">
        <f>G29+J29</f>
        <v>0</v>
      </c>
      <c r="N29" s="51" t="s">
        <v>10</v>
      </c>
    </row>
    <row r="30" spans="1:14" ht="15" x14ac:dyDescent="0.25">
      <c r="A30" s="239" t="s">
        <v>185</v>
      </c>
      <c r="B30" s="88"/>
      <c r="C30" s="88"/>
      <c r="D30" s="291">
        <v>-5219</v>
      </c>
      <c r="E30" s="88"/>
      <c r="F30" s="88"/>
      <c r="G30" s="238"/>
      <c r="H30" s="88"/>
      <c r="I30" s="88"/>
      <c r="J30" s="238"/>
      <c r="K30" s="88"/>
      <c r="L30" s="88"/>
      <c r="M30" s="237"/>
      <c r="N30" s="51"/>
    </row>
    <row r="31" spans="1:14" ht="15" x14ac:dyDescent="0.25">
      <c r="A31" s="214" t="s">
        <v>111</v>
      </c>
      <c r="B31" s="25"/>
      <c r="C31" s="25"/>
      <c r="D31" s="213">
        <f>SUM(D28:D30)</f>
        <v>247731</v>
      </c>
      <c r="E31" s="25"/>
      <c r="F31" s="25"/>
      <c r="G31" s="213">
        <f>SUM(G28:G29)</f>
        <v>244500</v>
      </c>
      <c r="H31" s="25"/>
      <c r="I31" s="25"/>
      <c r="J31" s="213">
        <f>SUM(J28:J29)</f>
        <v>10000</v>
      </c>
      <c r="K31" s="25"/>
      <c r="L31" s="25"/>
      <c r="M31" s="211">
        <f>G31+J31</f>
        <v>254500</v>
      </c>
      <c r="N31" s="51" t="s">
        <v>10</v>
      </c>
    </row>
    <row r="32" spans="1:14" x14ac:dyDescent="0.2">
      <c r="A32" s="210" t="s">
        <v>13</v>
      </c>
      <c r="B32" s="209"/>
      <c r="C32" s="209">
        <v>0</v>
      </c>
      <c r="D32" s="209"/>
      <c r="E32" s="209"/>
      <c r="F32" s="209">
        <v>0</v>
      </c>
      <c r="G32" s="209"/>
      <c r="H32" s="209"/>
      <c r="I32" s="209">
        <v>0</v>
      </c>
      <c r="J32" s="209"/>
      <c r="K32" s="209"/>
      <c r="L32" s="209">
        <f>F32+I32</f>
        <v>0</v>
      </c>
      <c r="M32" s="208"/>
      <c r="N32" s="51" t="s">
        <v>10</v>
      </c>
    </row>
    <row r="33" spans="1:14" x14ac:dyDescent="0.2">
      <c r="A33" s="207" t="s">
        <v>99</v>
      </c>
      <c r="B33" s="154"/>
      <c r="C33" s="154">
        <f>C28+C32</f>
        <v>0</v>
      </c>
      <c r="D33" s="154"/>
      <c r="E33" s="154"/>
      <c r="F33" s="154">
        <f>F28+F32</f>
        <v>0</v>
      </c>
      <c r="G33" s="154"/>
      <c r="H33" s="154"/>
      <c r="I33" s="154">
        <f>I28+I32</f>
        <v>0</v>
      </c>
      <c r="J33" s="154"/>
      <c r="K33" s="154"/>
      <c r="L33" s="154">
        <f>F33+I33</f>
        <v>0</v>
      </c>
      <c r="M33" s="151"/>
      <c r="N33" s="51" t="s">
        <v>10</v>
      </c>
    </row>
    <row r="34" spans="1:14" x14ac:dyDescent="0.2">
      <c r="A34" s="207"/>
      <c r="B34" s="154"/>
      <c r="C34" s="154"/>
      <c r="D34" s="154"/>
      <c r="E34" s="154"/>
      <c r="F34" s="154"/>
      <c r="G34" s="154"/>
      <c r="H34" s="154"/>
      <c r="I34" s="154"/>
      <c r="J34" s="154"/>
      <c r="K34" s="154"/>
      <c r="L34" s="154"/>
      <c r="M34" s="151"/>
      <c r="N34" s="51" t="s">
        <v>10</v>
      </c>
    </row>
    <row r="35" spans="1:14" x14ac:dyDescent="0.2">
      <c r="A35" s="207" t="s">
        <v>14</v>
      </c>
      <c r="B35" s="154"/>
      <c r="C35" s="154"/>
      <c r="D35" s="154"/>
      <c r="E35" s="154"/>
      <c r="F35" s="154"/>
      <c r="G35" s="154"/>
      <c r="H35" s="154"/>
      <c r="I35" s="154"/>
      <c r="J35" s="154"/>
      <c r="K35" s="154"/>
      <c r="L35" s="154"/>
      <c r="M35" s="151"/>
      <c r="N35" s="51" t="s">
        <v>10</v>
      </c>
    </row>
    <row r="36" spans="1:14" x14ac:dyDescent="0.2">
      <c r="A36" s="206" t="s">
        <v>15</v>
      </c>
      <c r="B36" s="154"/>
      <c r="C36" s="154">
        <v>0</v>
      </c>
      <c r="D36" s="154"/>
      <c r="E36" s="154"/>
      <c r="F36" s="154">
        <v>0</v>
      </c>
      <c r="G36" s="154"/>
      <c r="H36" s="154"/>
      <c r="I36" s="154">
        <v>0</v>
      </c>
      <c r="J36" s="154"/>
      <c r="K36" s="154"/>
      <c r="L36" s="154">
        <f>F36+I36</f>
        <v>0</v>
      </c>
      <c r="M36" s="151"/>
      <c r="N36" s="51" t="s">
        <v>10</v>
      </c>
    </row>
    <row r="37" spans="1:14" x14ac:dyDescent="0.2">
      <c r="A37" s="205" t="s">
        <v>16</v>
      </c>
      <c r="B37" s="204"/>
      <c r="C37" s="204">
        <v>0</v>
      </c>
      <c r="D37" s="204"/>
      <c r="E37" s="204"/>
      <c r="F37" s="204">
        <v>0</v>
      </c>
      <c r="G37" s="204"/>
      <c r="H37" s="204"/>
      <c r="I37" s="204">
        <v>0</v>
      </c>
      <c r="J37" s="204"/>
      <c r="K37" s="204"/>
      <c r="L37" s="204">
        <f>F37+I37</f>
        <v>0</v>
      </c>
      <c r="M37" s="203"/>
      <c r="N37" s="51" t="s">
        <v>10</v>
      </c>
    </row>
    <row r="38" spans="1:14" ht="15" thickBot="1" x14ac:dyDescent="0.25">
      <c r="A38" s="202" t="s">
        <v>100</v>
      </c>
      <c r="B38" s="201"/>
      <c r="C38" s="201">
        <f>C33+C36+C37</f>
        <v>0</v>
      </c>
      <c r="D38" s="201"/>
      <c r="E38" s="201"/>
      <c r="F38" s="201">
        <f>F33+F36+F37</f>
        <v>0</v>
      </c>
      <c r="G38" s="201"/>
      <c r="H38" s="201"/>
      <c r="I38" s="201">
        <f>I33+I36+I37</f>
        <v>0</v>
      </c>
      <c r="J38" s="201"/>
      <c r="K38" s="201"/>
      <c r="L38" s="201">
        <f>F38+I38</f>
        <v>0</v>
      </c>
      <c r="M38" s="200"/>
      <c r="N38" s="51" t="s">
        <v>10</v>
      </c>
    </row>
    <row r="39" spans="1:14" ht="15" thickBot="1" x14ac:dyDescent="0.25">
      <c r="N39" s="51" t="s">
        <v>10</v>
      </c>
    </row>
    <row r="40" spans="1:14" ht="15" x14ac:dyDescent="0.2">
      <c r="A40" s="585" t="s">
        <v>101</v>
      </c>
      <c r="B40" s="588" t="s">
        <v>128</v>
      </c>
      <c r="C40" s="588"/>
      <c r="D40" s="588"/>
      <c r="E40" s="588" t="s">
        <v>129</v>
      </c>
      <c r="F40" s="588"/>
      <c r="G40" s="588"/>
      <c r="H40" s="588" t="s">
        <v>130</v>
      </c>
      <c r="I40" s="588"/>
      <c r="J40" s="589"/>
      <c r="N40" s="51" t="s">
        <v>10</v>
      </c>
    </row>
    <row r="41" spans="1:14" ht="28.5" x14ac:dyDescent="0.2">
      <c r="A41" s="586"/>
      <c r="B41" s="235" t="s">
        <v>2</v>
      </c>
      <c r="C41" s="235" t="s">
        <v>110</v>
      </c>
      <c r="D41" s="235" t="s">
        <v>3</v>
      </c>
      <c r="E41" s="235" t="s">
        <v>2</v>
      </c>
      <c r="F41" s="235" t="s">
        <v>110</v>
      </c>
      <c r="G41" s="235" t="s">
        <v>3</v>
      </c>
      <c r="H41" s="235" t="s">
        <v>2</v>
      </c>
      <c r="I41" s="235" t="s">
        <v>110</v>
      </c>
      <c r="J41" s="234" t="s">
        <v>3</v>
      </c>
      <c r="N41" s="51" t="s">
        <v>10</v>
      </c>
    </row>
    <row r="42" spans="1:14" ht="42.75" x14ac:dyDescent="0.2">
      <c r="A42" s="178" t="str">
        <f t="shared" ref="A42:A60" si="3">A9</f>
        <v xml:space="preserve">Child Abuse Training Programs for Judicial Personnel and Practitioners </v>
      </c>
      <c r="B42" s="217">
        <v>0</v>
      </c>
      <c r="C42" s="217">
        <v>0</v>
      </c>
      <c r="D42" s="217">
        <v>0</v>
      </c>
      <c r="E42" s="217">
        <v>0</v>
      </c>
      <c r="F42" s="217">
        <v>0</v>
      </c>
      <c r="G42" s="217">
        <v>0</v>
      </c>
      <c r="H42" s="217">
        <f t="shared" ref="H42:H60" si="4">K9+B42+E42</f>
        <v>0</v>
      </c>
      <c r="I42" s="217">
        <f t="shared" ref="I42:I60" si="5">L9+C42+F42</f>
        <v>0</v>
      </c>
      <c r="J42" s="286">
        <f t="shared" ref="J42:J60" si="6">M9+D42+G42</f>
        <v>1500</v>
      </c>
      <c r="N42" s="51" t="s">
        <v>10</v>
      </c>
    </row>
    <row r="43" spans="1:14" ht="13.5" customHeight="1" x14ac:dyDescent="0.2">
      <c r="A43" s="229" t="str">
        <f t="shared" si="3"/>
        <v xml:space="preserve">Children of Incarcerated Parents (COIP) Web Portal </v>
      </c>
      <c r="B43" s="154">
        <v>0</v>
      </c>
      <c r="C43" s="154">
        <v>0</v>
      </c>
      <c r="D43" s="154">
        <v>0</v>
      </c>
      <c r="E43" s="154">
        <v>0</v>
      </c>
      <c r="F43" s="154">
        <v>0</v>
      </c>
      <c r="G43" s="154">
        <v>0</v>
      </c>
      <c r="H43" s="154">
        <f t="shared" si="4"/>
        <v>0</v>
      </c>
      <c r="I43" s="154">
        <f t="shared" si="5"/>
        <v>0</v>
      </c>
      <c r="J43" s="151">
        <f t="shared" si="6"/>
        <v>500</v>
      </c>
      <c r="N43" s="51" t="s">
        <v>10</v>
      </c>
    </row>
    <row r="44" spans="1:14" ht="28.5" x14ac:dyDescent="0.2">
      <c r="A44" s="229" t="str">
        <f t="shared" si="3"/>
        <v>Community-Based Violence Prevention Initiative</v>
      </c>
      <c r="B44" s="154">
        <v>0</v>
      </c>
      <c r="C44" s="154">
        <v>0</v>
      </c>
      <c r="D44" s="154">
        <v>12500</v>
      </c>
      <c r="E44" s="154">
        <v>0</v>
      </c>
      <c r="F44" s="154">
        <v>0</v>
      </c>
      <c r="G44" s="154">
        <v>0</v>
      </c>
      <c r="H44" s="154">
        <f t="shared" si="4"/>
        <v>0</v>
      </c>
      <c r="I44" s="154">
        <f t="shared" si="5"/>
        <v>0</v>
      </c>
      <c r="J44" s="151">
        <f t="shared" si="6"/>
        <v>18000</v>
      </c>
      <c r="N44" s="51" t="s">
        <v>10</v>
      </c>
    </row>
    <row r="45" spans="1:14" ht="57" x14ac:dyDescent="0.2">
      <c r="A45" s="229" t="str">
        <f t="shared" si="3"/>
        <v>Delinquency Prevention Program (formerly Title V: Local Delinquency Prevention Incentive Grants)</v>
      </c>
      <c r="B45" s="154">
        <v>0</v>
      </c>
      <c r="C45" s="154">
        <v>0</v>
      </c>
      <c r="D45" s="154">
        <v>27000</v>
      </c>
      <c r="E45" s="154">
        <v>0</v>
      </c>
      <c r="F45" s="154">
        <v>0</v>
      </c>
      <c r="G45" s="154">
        <v>0</v>
      </c>
      <c r="H45" s="154">
        <f t="shared" si="4"/>
        <v>0</v>
      </c>
      <c r="I45" s="154">
        <f t="shared" si="5"/>
        <v>0</v>
      </c>
      <c r="J45" s="151">
        <f t="shared" si="6"/>
        <v>42000</v>
      </c>
      <c r="N45" s="51" t="s">
        <v>10</v>
      </c>
    </row>
    <row r="46" spans="1:14" ht="28.5" x14ac:dyDescent="0.2">
      <c r="A46" s="371" t="str">
        <f t="shared" si="3"/>
        <v>Enforcing Underage Drinking Laws</v>
      </c>
      <c r="B46" s="154">
        <v>0</v>
      </c>
      <c r="C46" s="154">
        <v>0</v>
      </c>
      <c r="D46" s="439" t="s">
        <v>480</v>
      </c>
      <c r="E46" s="154">
        <v>0</v>
      </c>
      <c r="F46" s="154">
        <v>0</v>
      </c>
      <c r="G46" s="439" t="s">
        <v>525</v>
      </c>
      <c r="H46" s="154">
        <f t="shared" si="4"/>
        <v>0</v>
      </c>
      <c r="I46" s="154">
        <f t="shared" si="5"/>
        <v>0</v>
      </c>
      <c r="J46" s="438" t="s">
        <v>480</v>
      </c>
      <c r="N46" s="51" t="s">
        <v>10</v>
      </c>
    </row>
    <row r="47" spans="1:14" ht="42.75" x14ac:dyDescent="0.2">
      <c r="A47" s="371" t="str">
        <f t="shared" si="3"/>
        <v>Gang Prevention/Gang and Youth Violence Prevention and Intervention Initiatives</v>
      </c>
      <c r="B47" s="154">
        <v>0</v>
      </c>
      <c r="C47" s="154">
        <v>0</v>
      </c>
      <c r="D47" s="439" t="s">
        <v>480</v>
      </c>
      <c r="E47" s="154">
        <v>0</v>
      </c>
      <c r="F47" s="154">
        <v>0</v>
      </c>
      <c r="G47" s="439" t="s">
        <v>525</v>
      </c>
      <c r="H47" s="154">
        <f t="shared" si="4"/>
        <v>0</v>
      </c>
      <c r="I47" s="154">
        <f t="shared" si="5"/>
        <v>0</v>
      </c>
      <c r="J47" s="438" t="s">
        <v>480</v>
      </c>
      <c r="N47" s="51" t="s">
        <v>10</v>
      </c>
    </row>
    <row r="48" spans="1:14" ht="28.5" x14ac:dyDescent="0.2">
      <c r="A48" s="371" t="str">
        <f t="shared" si="3"/>
        <v xml:space="preserve">Juvenile Justice and Education Collaboration Assistance </v>
      </c>
      <c r="B48" s="154">
        <v>0</v>
      </c>
      <c r="C48" s="154">
        <v>0</v>
      </c>
      <c r="D48" s="439" t="s">
        <v>629</v>
      </c>
      <c r="E48" s="154">
        <v>0</v>
      </c>
      <c r="F48" s="154">
        <v>0</v>
      </c>
      <c r="G48" s="439" t="s">
        <v>480</v>
      </c>
      <c r="H48" s="154">
        <f t="shared" si="4"/>
        <v>0</v>
      </c>
      <c r="I48" s="154">
        <f t="shared" si="5"/>
        <v>0</v>
      </c>
      <c r="J48" s="438" t="s">
        <v>495</v>
      </c>
      <c r="N48" s="51" t="s">
        <v>10</v>
      </c>
    </row>
    <row r="49" spans="1:14" x14ac:dyDescent="0.2">
      <c r="A49" s="371" t="str">
        <f t="shared" si="3"/>
        <v>Tribal Youth Program</v>
      </c>
      <c r="B49" s="154">
        <v>0</v>
      </c>
      <c r="C49" s="154">
        <v>0</v>
      </c>
      <c r="D49" s="439" t="s">
        <v>480</v>
      </c>
      <c r="E49" s="154">
        <v>0</v>
      </c>
      <c r="F49" s="154">
        <v>0</v>
      </c>
      <c r="G49" s="439" t="s">
        <v>630</v>
      </c>
      <c r="H49" s="154">
        <f t="shared" si="4"/>
        <v>0</v>
      </c>
      <c r="I49" s="154">
        <f t="shared" si="5"/>
        <v>0</v>
      </c>
      <c r="J49" s="438" t="s">
        <v>480</v>
      </c>
      <c r="N49" s="51" t="s">
        <v>10</v>
      </c>
    </row>
    <row r="50" spans="1:14" ht="28.5" x14ac:dyDescent="0.2">
      <c r="A50" s="229" t="str">
        <f t="shared" si="3"/>
        <v>Girls in the Juvenile Justice System</v>
      </c>
      <c r="B50" s="154">
        <v>0</v>
      </c>
      <c r="C50" s="154">
        <v>0</v>
      </c>
      <c r="D50" s="154">
        <v>1000</v>
      </c>
      <c r="E50" s="154">
        <v>0</v>
      </c>
      <c r="F50" s="154">
        <v>0</v>
      </c>
      <c r="G50" s="154">
        <v>0</v>
      </c>
      <c r="H50" s="154">
        <f t="shared" si="4"/>
        <v>0</v>
      </c>
      <c r="I50" s="154">
        <f t="shared" si="5"/>
        <v>0</v>
      </c>
      <c r="J50" s="151">
        <f t="shared" si="6"/>
        <v>2000</v>
      </c>
      <c r="N50" s="51" t="s">
        <v>10</v>
      </c>
    </row>
    <row r="51" spans="1:14" ht="42.75" x14ac:dyDescent="0.2">
      <c r="A51" s="229" t="str">
        <f t="shared" si="3"/>
        <v>Indigent Defense Initiative-- Improving Juvenile Indigent Defense Program</v>
      </c>
      <c r="B51" s="154">
        <v>0</v>
      </c>
      <c r="C51" s="154">
        <v>0</v>
      </c>
      <c r="D51" s="154">
        <v>5400</v>
      </c>
      <c r="E51" s="154">
        <v>0</v>
      </c>
      <c r="F51" s="154">
        <v>0</v>
      </c>
      <c r="G51" s="154">
        <v>0</v>
      </c>
      <c r="H51" s="154">
        <f t="shared" si="4"/>
        <v>0</v>
      </c>
      <c r="I51" s="154">
        <f t="shared" si="5"/>
        <v>0</v>
      </c>
      <c r="J51" s="151">
        <f t="shared" si="6"/>
        <v>5400</v>
      </c>
      <c r="N51" s="51" t="s">
        <v>10</v>
      </c>
    </row>
    <row r="52" spans="1:14" ht="28.5" x14ac:dyDescent="0.2">
      <c r="A52" s="229" t="str">
        <f t="shared" si="3"/>
        <v>Juvenile Accountability Block Grant (JABG) Program</v>
      </c>
      <c r="B52" s="154">
        <v>0</v>
      </c>
      <c r="C52" s="154">
        <v>0</v>
      </c>
      <c r="D52" s="154">
        <v>30000</v>
      </c>
      <c r="E52" s="154">
        <v>0</v>
      </c>
      <c r="F52" s="154">
        <v>0</v>
      </c>
      <c r="G52" s="154">
        <v>0</v>
      </c>
      <c r="H52" s="154">
        <f t="shared" si="4"/>
        <v>0</v>
      </c>
      <c r="I52" s="154">
        <f t="shared" si="5"/>
        <v>0</v>
      </c>
      <c r="J52" s="151">
        <f t="shared" si="6"/>
        <v>30000</v>
      </c>
      <c r="N52" s="51" t="s">
        <v>10</v>
      </c>
    </row>
    <row r="53" spans="1:14" ht="28.5" x14ac:dyDescent="0.2">
      <c r="A53" s="229" t="str">
        <f t="shared" si="3"/>
        <v>Juvenile Justice Realignment Incentive Grants</v>
      </c>
      <c r="B53" s="154">
        <v>0</v>
      </c>
      <c r="C53" s="154">
        <v>0</v>
      </c>
      <c r="D53" s="154">
        <v>10000</v>
      </c>
      <c r="E53" s="154">
        <v>0</v>
      </c>
      <c r="F53" s="154">
        <v>0</v>
      </c>
      <c r="G53" s="154">
        <v>0</v>
      </c>
      <c r="H53" s="154">
        <f t="shared" si="4"/>
        <v>0</v>
      </c>
      <c r="I53" s="154">
        <f t="shared" si="5"/>
        <v>0</v>
      </c>
      <c r="J53" s="151">
        <f t="shared" si="6"/>
        <v>10000</v>
      </c>
      <c r="N53" s="51" t="s">
        <v>10</v>
      </c>
    </row>
    <row r="54" spans="1:14" x14ac:dyDescent="0.2">
      <c r="A54" s="229" t="str">
        <f t="shared" si="3"/>
        <v xml:space="preserve">Missing and Exploited Children </v>
      </c>
      <c r="B54" s="154">
        <v>0</v>
      </c>
      <c r="C54" s="154">
        <v>0</v>
      </c>
      <c r="D54" s="154">
        <v>0</v>
      </c>
      <c r="E54" s="154">
        <v>0</v>
      </c>
      <c r="F54" s="154">
        <v>0</v>
      </c>
      <c r="G54" s="154">
        <v>0</v>
      </c>
      <c r="H54" s="154">
        <f t="shared" si="4"/>
        <v>0</v>
      </c>
      <c r="I54" s="154">
        <f t="shared" si="5"/>
        <v>0</v>
      </c>
      <c r="J54" s="151">
        <f t="shared" si="6"/>
        <v>67000</v>
      </c>
      <c r="N54" s="51" t="s">
        <v>10</v>
      </c>
    </row>
    <row r="55" spans="1:14" ht="28.5" x14ac:dyDescent="0.2">
      <c r="A55" s="229" t="str">
        <f t="shared" si="3"/>
        <v>National Forum on Youth Violence Prevention</v>
      </c>
      <c r="B55" s="154">
        <v>0</v>
      </c>
      <c r="C55" s="154">
        <v>0</v>
      </c>
      <c r="D55" s="154">
        <v>3000</v>
      </c>
      <c r="E55" s="154">
        <v>0</v>
      </c>
      <c r="F55" s="154">
        <v>0</v>
      </c>
      <c r="G55" s="154">
        <v>0</v>
      </c>
      <c r="H55" s="154">
        <f t="shared" si="4"/>
        <v>0</v>
      </c>
      <c r="I55" s="154">
        <f t="shared" si="5"/>
        <v>0</v>
      </c>
      <c r="J55" s="151">
        <f t="shared" si="6"/>
        <v>4000</v>
      </c>
      <c r="N55" s="51" t="s">
        <v>10</v>
      </c>
    </row>
    <row r="56" spans="1:14" x14ac:dyDescent="0.2">
      <c r="A56" s="229" t="str">
        <f t="shared" si="3"/>
        <v xml:space="preserve">Part B: Formula Grants </v>
      </c>
      <c r="B56" s="154">
        <v>0</v>
      </c>
      <c r="C56" s="154">
        <v>0</v>
      </c>
      <c r="D56" s="154">
        <v>0</v>
      </c>
      <c r="E56" s="154">
        <v>0</v>
      </c>
      <c r="F56" s="154">
        <v>0</v>
      </c>
      <c r="G56" s="268">
        <v>-5500</v>
      </c>
      <c r="H56" s="154">
        <f t="shared" si="4"/>
        <v>0</v>
      </c>
      <c r="I56" s="154">
        <f t="shared" si="5"/>
        <v>0</v>
      </c>
      <c r="J56" s="151">
        <f t="shared" si="6"/>
        <v>50000</v>
      </c>
      <c r="N56" s="51" t="s">
        <v>10</v>
      </c>
    </row>
    <row r="57" spans="1:14" ht="28.5" x14ac:dyDescent="0.2">
      <c r="A57" s="371" t="str">
        <f t="shared" si="3"/>
        <v>Emergency Planning - Juvenile Detention Facilities</v>
      </c>
      <c r="B57" s="154">
        <v>0</v>
      </c>
      <c r="C57" s="154">
        <v>0</v>
      </c>
      <c r="D57" s="439" t="s">
        <v>480</v>
      </c>
      <c r="E57" s="154">
        <v>0</v>
      </c>
      <c r="F57" s="154">
        <v>0</v>
      </c>
      <c r="G57" s="439" t="s">
        <v>631</v>
      </c>
      <c r="H57" s="154">
        <f t="shared" si="4"/>
        <v>0</v>
      </c>
      <c r="I57" s="154">
        <f t="shared" si="5"/>
        <v>0</v>
      </c>
      <c r="J57" s="438" t="s">
        <v>480</v>
      </c>
      <c r="N57" s="51" t="s">
        <v>10</v>
      </c>
    </row>
    <row r="58" spans="1:14" x14ac:dyDescent="0.2">
      <c r="A58" s="371" t="str">
        <f t="shared" si="3"/>
        <v>JABG Activities</v>
      </c>
      <c r="B58" s="154">
        <v>0</v>
      </c>
      <c r="C58" s="154">
        <v>0</v>
      </c>
      <c r="D58" s="439" t="s">
        <v>480</v>
      </c>
      <c r="E58" s="154">
        <v>0</v>
      </c>
      <c r="F58" s="154">
        <v>0</v>
      </c>
      <c r="G58" s="439" t="s">
        <v>632</v>
      </c>
      <c r="H58" s="154">
        <f t="shared" si="4"/>
        <v>0</v>
      </c>
      <c r="I58" s="154">
        <f t="shared" si="5"/>
        <v>0</v>
      </c>
      <c r="J58" s="438" t="s">
        <v>480</v>
      </c>
      <c r="N58" s="51" t="s">
        <v>10</v>
      </c>
    </row>
    <row r="59" spans="1:14" ht="42.75" x14ac:dyDescent="0.2">
      <c r="A59" s="229" t="str">
        <f t="shared" si="3"/>
        <v>VOCA - Improving Investigation and Prosecution of Child Abuse Program</v>
      </c>
      <c r="B59" s="154">
        <v>0</v>
      </c>
      <c r="C59" s="154">
        <v>0</v>
      </c>
      <c r="D59" s="154">
        <v>0</v>
      </c>
      <c r="E59" s="154">
        <v>0</v>
      </c>
      <c r="F59" s="154">
        <v>0</v>
      </c>
      <c r="G59" s="268">
        <v>-8000</v>
      </c>
      <c r="H59" s="154">
        <f t="shared" si="4"/>
        <v>0</v>
      </c>
      <c r="I59" s="154">
        <f t="shared" si="5"/>
        <v>0</v>
      </c>
      <c r="J59" s="151">
        <f t="shared" si="6"/>
        <v>11000</v>
      </c>
      <c r="N59" s="51" t="s">
        <v>10</v>
      </c>
    </row>
    <row r="60" spans="1:14" x14ac:dyDescent="0.2">
      <c r="A60" s="229" t="str">
        <f t="shared" si="3"/>
        <v>Youth Mentoring</v>
      </c>
      <c r="B60" s="154">
        <v>0</v>
      </c>
      <c r="C60" s="154">
        <v>0</v>
      </c>
      <c r="D60" s="154">
        <v>0</v>
      </c>
      <c r="E60" s="154">
        <v>0</v>
      </c>
      <c r="F60" s="154">
        <v>0</v>
      </c>
      <c r="G60" s="268">
        <v>-30500</v>
      </c>
      <c r="H60" s="154">
        <f t="shared" si="4"/>
        <v>0</v>
      </c>
      <c r="I60" s="154">
        <f t="shared" si="5"/>
        <v>0</v>
      </c>
      <c r="J60" s="151">
        <f t="shared" si="6"/>
        <v>58000</v>
      </c>
      <c r="N60" s="51" t="s">
        <v>10</v>
      </c>
    </row>
    <row r="61" spans="1:14" ht="15" x14ac:dyDescent="0.25">
      <c r="A61" s="13" t="s">
        <v>98</v>
      </c>
      <c r="B61" s="118">
        <f>SUM(B42:B60)</f>
        <v>0</v>
      </c>
      <c r="C61" s="118">
        <f>SUM(C42:C60)</f>
        <v>0</v>
      </c>
      <c r="D61" s="118">
        <f>SUM(D42,D43,D44,D45,D50,D51,D52,D53,D54,D55,D56,D59,D60)</f>
        <v>88900</v>
      </c>
      <c r="E61" s="118">
        <f>SUM(E42:E60)</f>
        <v>0</v>
      </c>
      <c r="F61" s="118">
        <f>SUM(F42:F60)</f>
        <v>0</v>
      </c>
      <c r="G61" s="219">
        <f>SUM(G42,G43,G44,G45,G50,G51,G52,G53,G54,G55,G56,G59,G60)</f>
        <v>-44000</v>
      </c>
      <c r="H61" s="118">
        <f>SUM(H42:H60)</f>
        <v>0</v>
      </c>
      <c r="I61" s="118">
        <f>SUM(I42:I60)</f>
        <v>0</v>
      </c>
      <c r="J61" s="119">
        <f>SUM(J42,J43,J44,J45,J50,J51,J52,J53,J54,J55,J56,J59,J60)</f>
        <v>299400</v>
      </c>
      <c r="N61" s="51" t="s">
        <v>10</v>
      </c>
    </row>
    <row r="62" spans="1:14" ht="15" x14ac:dyDescent="0.25">
      <c r="A62" s="218" t="s">
        <v>97</v>
      </c>
      <c r="B62" s="120"/>
      <c r="C62" s="120"/>
      <c r="D62" s="217">
        <v>0</v>
      </c>
      <c r="E62" s="120"/>
      <c r="F62" s="120"/>
      <c r="G62" s="216">
        <v>-10000</v>
      </c>
      <c r="H62" s="120"/>
      <c r="I62" s="120"/>
      <c r="J62" s="215">
        <f>M29+D62+G62</f>
        <v>-10000</v>
      </c>
      <c r="N62" s="51" t="s">
        <v>10</v>
      </c>
    </row>
    <row r="63" spans="1:14" ht="15" x14ac:dyDescent="0.25">
      <c r="A63" s="214" t="s">
        <v>111</v>
      </c>
      <c r="B63" s="25"/>
      <c r="C63" s="25"/>
      <c r="D63" s="213">
        <f>SUM(D61:D62)</f>
        <v>88900</v>
      </c>
      <c r="E63" s="25"/>
      <c r="F63" s="25"/>
      <c r="G63" s="212">
        <f>SUM(G61:G62)</f>
        <v>-54000</v>
      </c>
      <c r="H63" s="25"/>
      <c r="I63" s="25"/>
      <c r="J63" s="211">
        <f>M31+D63+G63</f>
        <v>289400</v>
      </c>
      <c r="N63" s="51" t="s">
        <v>10</v>
      </c>
    </row>
    <row r="64" spans="1:14" x14ac:dyDescent="0.2">
      <c r="A64" s="210" t="s">
        <v>13</v>
      </c>
      <c r="B64" s="209"/>
      <c r="C64" s="209">
        <v>0</v>
      </c>
      <c r="D64" s="209"/>
      <c r="E64" s="209"/>
      <c r="F64" s="209">
        <v>0</v>
      </c>
      <c r="G64" s="209"/>
      <c r="H64" s="209"/>
      <c r="I64" s="209">
        <f t="shared" ref="I64:I70" si="7">L32+C64+F64</f>
        <v>0</v>
      </c>
      <c r="J64" s="208"/>
      <c r="N64" s="51" t="s">
        <v>10</v>
      </c>
    </row>
    <row r="65" spans="1:14" x14ac:dyDescent="0.2">
      <c r="A65" s="207" t="s">
        <v>99</v>
      </c>
      <c r="B65" s="154"/>
      <c r="C65" s="154">
        <f>C61+C64</f>
        <v>0</v>
      </c>
      <c r="D65" s="154"/>
      <c r="E65" s="154"/>
      <c r="F65" s="154">
        <f>F61+F64</f>
        <v>0</v>
      </c>
      <c r="G65" s="154"/>
      <c r="H65" s="154"/>
      <c r="I65" s="154">
        <f t="shared" si="7"/>
        <v>0</v>
      </c>
      <c r="J65" s="151"/>
      <c r="N65" s="51" t="s">
        <v>10</v>
      </c>
    </row>
    <row r="66" spans="1:14" x14ac:dyDescent="0.2">
      <c r="A66" s="207"/>
      <c r="B66" s="154"/>
      <c r="C66" s="154"/>
      <c r="D66" s="154"/>
      <c r="E66" s="154"/>
      <c r="F66" s="154"/>
      <c r="G66" s="154"/>
      <c r="H66" s="154"/>
      <c r="I66" s="154">
        <f t="shared" si="7"/>
        <v>0</v>
      </c>
      <c r="J66" s="151"/>
      <c r="N66" s="51" t="s">
        <v>10</v>
      </c>
    </row>
    <row r="67" spans="1:14" x14ac:dyDescent="0.2">
      <c r="A67" s="207" t="s">
        <v>14</v>
      </c>
      <c r="B67" s="154"/>
      <c r="C67" s="154"/>
      <c r="D67" s="154"/>
      <c r="E67" s="154"/>
      <c r="F67" s="154"/>
      <c r="G67" s="154"/>
      <c r="H67" s="154"/>
      <c r="I67" s="154">
        <f t="shared" si="7"/>
        <v>0</v>
      </c>
      <c r="J67" s="151"/>
      <c r="N67" s="51" t="s">
        <v>10</v>
      </c>
    </row>
    <row r="68" spans="1:14" x14ac:dyDescent="0.2">
      <c r="A68" s="206" t="s">
        <v>15</v>
      </c>
      <c r="B68" s="154"/>
      <c r="C68" s="154">
        <v>0</v>
      </c>
      <c r="D68" s="154"/>
      <c r="E68" s="154"/>
      <c r="F68" s="154">
        <v>0</v>
      </c>
      <c r="G68" s="154"/>
      <c r="H68" s="154"/>
      <c r="I68" s="154">
        <f t="shared" si="7"/>
        <v>0</v>
      </c>
      <c r="J68" s="151"/>
      <c r="N68" s="51" t="s">
        <v>10</v>
      </c>
    </row>
    <row r="69" spans="1:14" x14ac:dyDescent="0.2">
      <c r="A69" s="205" t="s">
        <v>16</v>
      </c>
      <c r="B69" s="204"/>
      <c r="C69" s="204">
        <v>0</v>
      </c>
      <c r="D69" s="204"/>
      <c r="E69" s="204"/>
      <c r="F69" s="204">
        <v>0</v>
      </c>
      <c r="G69" s="204"/>
      <c r="H69" s="204"/>
      <c r="I69" s="204">
        <f t="shared" si="7"/>
        <v>0</v>
      </c>
      <c r="J69" s="203"/>
      <c r="N69" s="51" t="s">
        <v>10</v>
      </c>
    </row>
    <row r="70" spans="1:14" ht="15" thickBot="1" x14ac:dyDescent="0.25">
      <c r="A70" s="202" t="s">
        <v>100</v>
      </c>
      <c r="B70" s="201"/>
      <c r="C70" s="201">
        <f>C65+C68+C69</f>
        <v>0</v>
      </c>
      <c r="D70" s="201"/>
      <c r="E70" s="201"/>
      <c r="F70" s="201">
        <f>F65+F68+F69</f>
        <v>0</v>
      </c>
      <c r="G70" s="201"/>
      <c r="H70" s="201"/>
      <c r="I70" s="201">
        <f t="shared" si="7"/>
        <v>0</v>
      </c>
      <c r="J70" s="200"/>
      <c r="N70" s="51" t="s">
        <v>10</v>
      </c>
    </row>
    <row r="71" spans="1:14" x14ac:dyDescent="0.2">
      <c r="N71" s="4" t="s">
        <v>11</v>
      </c>
    </row>
    <row r="72" spans="1:14" x14ac:dyDescent="0.2">
      <c r="A72" s="30"/>
    </row>
    <row r="73" spans="1:14" x14ac:dyDescent="0.2">
      <c r="A73" s="160"/>
    </row>
  </sheetData>
  <customSheetViews>
    <customSheetView guid="{EE916FE7-61FB-4021-ADDD-E082241FC03C}" scale="80" showPageBreaks="1" printArea="1" view="pageBreakPreview">
      <selection activeCell="D41" sqref="D41"/>
      <rowBreaks count="1" manualBreakCount="1">
        <brk id="38" max="12" man="1"/>
      </rowBreaks>
      <pageMargins left="0.7" right="0.7" top="0.75" bottom="0.75" header="0.3" footer="0.3"/>
      <printOptions horizontalCentered="1"/>
      <pageSetup scale="58" orientation="landscape" r:id="rId1"/>
      <headerFooter>
        <oddHeader>&amp;L&amp;"Arial,Bold"&amp;12B. Summary of Requirements</oddHeader>
        <oddFooter>&amp;C&amp;"Arial,Regular"Exhibit B - Summary of Requirements&amp;R&amp;"Arial,Regular"Juvenile Justice Programs</oddFooter>
      </headerFooter>
    </customSheetView>
    <customSheetView guid="{0BB5DC4B-BC2A-4489-BE17-5E267FA1EF63}" scale="80" showPageBreaks="1" printArea="1" view="pageBreakPreview">
      <selection activeCell="D41" sqref="D41"/>
      <rowBreaks count="1" manualBreakCount="1">
        <brk id="38" max="12" man="1"/>
      </rowBreaks>
      <pageMargins left="0.7" right="0.7" top="0.75" bottom="0.75" header="0.3" footer="0.3"/>
      <printOptions horizontalCentered="1"/>
      <pageSetup scale="58" orientation="landscape" r:id="rId2"/>
      <headerFooter>
        <oddHeader>&amp;L&amp;"Arial,Bold"&amp;12B. Summary of Requirements</oddHeader>
        <oddFooter>&amp;C&amp;"Arial,Regular"Exhibit B - Summary of Requirements&amp;R&amp;"Arial,Regular"Juvenile Justice Programs</oddFooter>
      </headerFooter>
    </customSheetView>
    <customSheetView guid="{6C58FFE1-D756-42C4-A1BC-AA7F1DC1E56F}" scale="80" showPageBreaks="1" printArea="1" view="pageBreakPreview">
      <selection activeCell="F17" sqref="F17"/>
      <rowBreaks count="1" manualBreakCount="1">
        <brk id="38" max="12" man="1"/>
      </rowBreaks>
      <pageMargins left="0.7" right="0.7" top="0.75" bottom="0.75" header="0.3" footer="0.3"/>
      <printOptions horizontalCentered="1"/>
      <pageSetup scale="58" orientation="landscape" r:id="rId3"/>
      <headerFooter>
        <oddHeader>&amp;L&amp;"Arial,Bold"&amp;12B. Summary of Requirements</oddHeader>
        <oddFooter>&amp;C&amp;"Arial,Regular"Exhibit B - Summary of Requirements&amp;R&amp;"Arial,Regular"Juvenile Justice Programs</oddFooter>
      </headerFooter>
    </customSheetView>
    <customSheetView guid="{CFA5D1C9-F4C9-4B8D-923D-4C71CB6E7D3B}" scale="80" showPageBreaks="1" printArea="1" view="pageBreakPreview">
      <selection activeCell="D41" sqref="D41"/>
      <rowBreaks count="1" manualBreakCount="1">
        <brk id="38" max="12" man="1"/>
      </rowBreaks>
      <pageMargins left="0.7" right="0.7" top="0.75" bottom="0.75" header="0.3" footer="0.3"/>
      <printOptions horizontalCentered="1"/>
      <pageSetup scale="58" orientation="landscape" r:id="rId4"/>
      <headerFooter>
        <oddHeader>&amp;L&amp;"Arial,Bold"&amp;12B. Summary of Requirements</oddHeader>
        <oddFooter>&amp;C&amp;"Arial,Regular"Exhibit B - Summary of Requirements&amp;R&amp;"Arial,Regular"Juvenile Justice Programs</oddFooter>
      </headerFooter>
    </customSheetView>
    <customSheetView guid="{A788DF77-74F1-49E4-8B34-BFBDB7664F30}" scale="80" showPageBreaks="1" printArea="1" view="pageBreakPreview">
      <selection activeCell="A18" sqref="A18"/>
      <rowBreaks count="1" manualBreakCount="1">
        <brk id="38" max="12" man="1"/>
      </rowBreaks>
      <pageMargins left="0.7" right="0.7" top="0.75" bottom="0.75" header="0.3" footer="0.3"/>
      <printOptions horizontalCentered="1"/>
      <pageSetup scale="58" orientation="landscape" r:id="rId5"/>
      <headerFooter>
        <oddHeader>&amp;L&amp;"Arial,Bold"&amp;12B. Summary of Requirements</oddHeader>
        <oddFooter>&amp;C&amp;"Arial,Regular"Exhibit B - Summary of Requirements&amp;R&amp;"Arial,Regular"Juvenile Justice Programs</oddFooter>
      </headerFooter>
    </customSheetView>
  </customSheetViews>
  <mergeCells count="15">
    <mergeCell ref="A5:M5"/>
    <mergeCell ref="A6:M6"/>
    <mergeCell ref="A40:A41"/>
    <mergeCell ref="A1:M1"/>
    <mergeCell ref="A2:M2"/>
    <mergeCell ref="A3:M3"/>
    <mergeCell ref="A4:M4"/>
    <mergeCell ref="A7:A8"/>
    <mergeCell ref="B7:D7"/>
    <mergeCell ref="E7:G7"/>
    <mergeCell ref="H7:J7"/>
    <mergeCell ref="K7:M7"/>
    <mergeCell ref="B40:D40"/>
    <mergeCell ref="E40:G40"/>
    <mergeCell ref="H40:J40"/>
  </mergeCells>
  <printOptions horizontalCentered="1"/>
  <pageMargins left="0.7" right="0.7" top="0.5" bottom="0.5" header="0.3" footer="0.3"/>
  <pageSetup scale="65" orientation="landscape" r:id="rId6"/>
  <headerFooter>
    <oddHeader>&amp;L&amp;"Arial,Bold"&amp;12B. Summary of Requirements</oddHeader>
    <oddFooter>&amp;C&amp;"Arial,Regular"Exhibit B - Summary of Requirements&amp;R&amp;"Arial,Regular"Juvenile Justice Programs</oddFooter>
  </headerFooter>
  <rowBreaks count="1" manualBreakCount="1">
    <brk id="38"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view="pageBreakPreview" topLeftCell="A4" zoomScaleNormal="100" zoomScaleSheetLayoutView="100" workbookViewId="0">
      <selection activeCell="J30" sqref="J30"/>
    </sheetView>
  </sheetViews>
  <sheetFormatPr defaultRowHeight="14.25" x14ac:dyDescent="0.2"/>
  <cols>
    <col min="1" max="1" width="37.140625" style="9" customWidth="1"/>
    <col min="2" max="2" width="17" style="9" customWidth="1"/>
    <col min="3" max="5" width="8.7109375" style="9" customWidth="1"/>
    <col min="6" max="6" width="12.7109375" style="9" customWidth="1"/>
    <col min="7" max="9" width="8.7109375" style="9" customWidth="1"/>
    <col min="10" max="10" width="12.7109375" style="9" customWidth="1"/>
    <col min="11" max="11" width="14" style="4" bestFit="1" customWidth="1"/>
    <col min="12" max="12" width="4.5703125" style="9"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577" t="s">
        <v>131</v>
      </c>
      <c r="B1" s="577"/>
      <c r="C1" s="577"/>
      <c r="D1" s="577"/>
      <c r="E1" s="577"/>
      <c r="F1" s="577"/>
      <c r="G1" s="577"/>
      <c r="H1" s="577"/>
      <c r="I1" s="577"/>
      <c r="J1" s="577"/>
      <c r="K1" s="51" t="s">
        <v>10</v>
      </c>
      <c r="L1" s="6"/>
      <c r="M1" s="6"/>
      <c r="N1" s="6"/>
      <c r="O1" s="6"/>
      <c r="P1" s="6"/>
      <c r="Q1" s="6"/>
      <c r="R1" s="6"/>
    </row>
    <row r="2" spans="1:18" ht="15" x14ac:dyDescent="0.2">
      <c r="A2" s="578" t="s">
        <v>152</v>
      </c>
      <c r="B2" s="578"/>
      <c r="C2" s="578"/>
      <c r="D2" s="578"/>
      <c r="E2" s="578"/>
      <c r="F2" s="578"/>
      <c r="G2" s="578"/>
      <c r="H2" s="578"/>
      <c r="I2" s="578"/>
      <c r="J2" s="578"/>
      <c r="K2" s="51" t="s">
        <v>10</v>
      </c>
      <c r="L2" s="7"/>
      <c r="M2" s="7"/>
      <c r="N2" s="7"/>
      <c r="O2" s="7"/>
      <c r="P2" s="7"/>
      <c r="Q2" s="7"/>
      <c r="R2" s="7"/>
    </row>
    <row r="3" spans="1:18" x14ac:dyDescent="0.2">
      <c r="A3" s="579" t="s">
        <v>153</v>
      </c>
      <c r="B3" s="592"/>
      <c r="C3" s="592"/>
      <c r="D3" s="592"/>
      <c r="E3" s="592"/>
      <c r="F3" s="592"/>
      <c r="G3" s="592"/>
      <c r="H3" s="592"/>
      <c r="I3" s="592"/>
      <c r="J3" s="592"/>
      <c r="K3" s="51" t="s">
        <v>10</v>
      </c>
      <c r="L3" s="10"/>
      <c r="M3" s="10"/>
      <c r="N3" s="10"/>
      <c r="O3" s="10"/>
      <c r="P3" s="10"/>
      <c r="Q3" s="10"/>
      <c r="R3" s="10"/>
    </row>
    <row r="4" spans="1:18" x14ac:dyDescent="0.2">
      <c r="A4" s="584" t="s">
        <v>1</v>
      </c>
      <c r="B4" s="584"/>
      <c r="C4" s="584"/>
      <c r="D4" s="584"/>
      <c r="E4" s="584"/>
      <c r="F4" s="584"/>
      <c r="G4" s="584"/>
      <c r="H4" s="584"/>
      <c r="I4" s="584"/>
      <c r="J4" s="584"/>
      <c r="K4" s="51" t="s">
        <v>10</v>
      </c>
      <c r="L4" s="8"/>
      <c r="M4" s="8"/>
      <c r="N4" s="8"/>
      <c r="O4" s="8"/>
      <c r="P4" s="8"/>
      <c r="Q4" s="8"/>
      <c r="R4" s="8"/>
    </row>
    <row r="5" spans="1:18" x14ac:dyDescent="0.2">
      <c r="A5" s="584"/>
      <c r="B5" s="584"/>
      <c r="C5" s="584"/>
      <c r="D5" s="584"/>
      <c r="E5" s="584"/>
      <c r="F5" s="584"/>
      <c r="G5" s="584"/>
      <c r="H5" s="584"/>
      <c r="I5" s="584"/>
      <c r="J5" s="584"/>
      <c r="K5" s="51" t="s">
        <v>10</v>
      </c>
      <c r="L5" s="8"/>
      <c r="M5" s="8"/>
      <c r="N5" s="8"/>
      <c r="O5" s="8"/>
      <c r="P5" s="8"/>
      <c r="Q5" s="8"/>
      <c r="R5" s="8"/>
    </row>
    <row r="6" spans="1:18" s="20" customFormat="1" ht="15" thickBot="1" x14ac:dyDescent="0.25">
      <c r="K6" s="51" t="s">
        <v>10</v>
      </c>
    </row>
    <row r="7" spans="1:18" s="20" customFormat="1" ht="33.75" customHeight="1" x14ac:dyDescent="0.2">
      <c r="A7" s="585" t="s">
        <v>18</v>
      </c>
      <c r="B7" s="590" t="s">
        <v>146</v>
      </c>
      <c r="C7" s="588" t="s">
        <v>153</v>
      </c>
      <c r="D7" s="588"/>
      <c r="E7" s="588"/>
      <c r="F7" s="588"/>
      <c r="G7" s="588" t="s">
        <v>19</v>
      </c>
      <c r="H7" s="588"/>
      <c r="I7" s="588"/>
      <c r="J7" s="589"/>
      <c r="K7" s="51" t="s">
        <v>10</v>
      </c>
    </row>
    <row r="8" spans="1:18" s="20" customFormat="1" ht="28.5" x14ac:dyDescent="0.2">
      <c r="A8" s="586"/>
      <c r="B8" s="591"/>
      <c r="C8" s="19" t="s">
        <v>2</v>
      </c>
      <c r="D8" s="19" t="s">
        <v>22</v>
      </c>
      <c r="E8" s="19" t="s">
        <v>110</v>
      </c>
      <c r="F8" s="19" t="s">
        <v>3</v>
      </c>
      <c r="G8" s="19" t="s">
        <v>2</v>
      </c>
      <c r="H8" s="19" t="s">
        <v>22</v>
      </c>
      <c r="I8" s="19" t="s">
        <v>110</v>
      </c>
      <c r="J8" s="522" t="s">
        <v>3</v>
      </c>
      <c r="K8" s="51" t="s">
        <v>10</v>
      </c>
    </row>
    <row r="9" spans="1:18" s="20" customFormat="1" ht="42.75" x14ac:dyDescent="0.2">
      <c r="A9" s="178" t="s">
        <v>162</v>
      </c>
      <c r="B9" s="497" t="s">
        <v>153</v>
      </c>
      <c r="C9" s="133">
        <v>15</v>
      </c>
      <c r="D9" s="133">
        <v>0</v>
      </c>
      <c r="E9" s="133">
        <v>8</v>
      </c>
      <c r="F9" s="133">
        <v>1275</v>
      </c>
      <c r="G9" s="133">
        <f>C9</f>
        <v>15</v>
      </c>
      <c r="H9" s="133">
        <f>D9</f>
        <v>0</v>
      </c>
      <c r="I9" s="133">
        <f>E9</f>
        <v>8</v>
      </c>
      <c r="J9" s="523">
        <f>F9</f>
        <v>1275</v>
      </c>
      <c r="K9" s="51" t="s">
        <v>10</v>
      </c>
    </row>
    <row r="10" spans="1:18" s="20" customFormat="1" ht="15.75" thickBot="1" x14ac:dyDescent="0.3">
      <c r="A10" s="21" t="s">
        <v>21</v>
      </c>
      <c r="B10" s="22"/>
      <c r="C10" s="27">
        <f t="shared" ref="C10:J10" si="0">SUM(C9:C9)</f>
        <v>15</v>
      </c>
      <c r="D10" s="27">
        <f t="shared" si="0"/>
        <v>0</v>
      </c>
      <c r="E10" s="27">
        <f t="shared" si="0"/>
        <v>8</v>
      </c>
      <c r="F10" s="27">
        <f t="shared" si="0"/>
        <v>1275</v>
      </c>
      <c r="G10" s="27">
        <f t="shared" si="0"/>
        <v>15</v>
      </c>
      <c r="H10" s="27">
        <f t="shared" si="0"/>
        <v>0</v>
      </c>
      <c r="I10" s="27">
        <f t="shared" si="0"/>
        <v>8</v>
      </c>
      <c r="J10" s="251">
        <f t="shared" si="0"/>
        <v>1275</v>
      </c>
      <c r="K10" s="51" t="s">
        <v>10</v>
      </c>
    </row>
    <row r="11" spans="1:18" s="20" customFormat="1" x14ac:dyDescent="0.2">
      <c r="K11" s="51" t="s">
        <v>11</v>
      </c>
    </row>
    <row r="13" spans="1:18" x14ac:dyDescent="0.2">
      <c r="B13" s="23"/>
    </row>
  </sheetData>
  <customSheetViews>
    <customSheetView guid="{EE916FE7-61FB-4021-ADDD-E082241FC03C}" showPageBreaks="1" printArea="1" view="pageBreakPreview">
      <selection activeCell="A9" sqref="A9"/>
      <pageMargins left="0.7" right="0.7" top="0.75" bottom="0.75" header="0.3" footer="0.3"/>
      <printOptions horizontalCentered="1"/>
      <pageSetup scale="71" orientation="landscape" r:id="rId1"/>
      <headerFooter>
        <oddHeader xml:space="preserve">&amp;L&amp;"Arial,Bold"&amp;12C. Program Changes by Decision Unit
</oddHeader>
        <oddFooter>&amp;C&amp;"Arial,Regular"Exhibit C - Program Changes by Decision Unit&amp;R&amp;"Arial,Regular"Management and Administration</oddFooter>
      </headerFooter>
    </customSheetView>
    <customSheetView guid="{0BB5DC4B-BC2A-4489-BE17-5E267FA1EF63}" showPageBreaks="1" printArea="1" view="pageBreakPreview">
      <selection activeCell="A9" sqref="A9"/>
      <pageMargins left="0.7" right="0.7" top="0.75" bottom="0.75" header="0.3" footer="0.3"/>
      <printOptions horizontalCentered="1"/>
      <pageSetup scale="71" orientation="landscape" r:id="rId2"/>
      <headerFooter>
        <oddHeader xml:space="preserve">&amp;L&amp;"Arial,Bold"&amp;12C. Program Changes by Decision Unit
</oddHeader>
        <oddFooter>&amp;C&amp;"Arial,Regular"Exhibit C - Program Changes by Decision Unit&amp;R&amp;"Arial,Regular"Management and Administration</oddFooter>
      </headerFooter>
    </customSheetView>
    <customSheetView guid="{6C58FFE1-D756-42C4-A1BC-AA7F1DC1E56F}" showPageBreaks="1" printArea="1" view="pageBreakPreview">
      <selection activeCell="A9" sqref="A9"/>
      <pageMargins left="0.7" right="0.7" top="0.75" bottom="0.75" header="0.3" footer="0.3"/>
      <printOptions horizontalCentered="1"/>
      <pageSetup scale="71" orientation="landscape" r:id="rId3"/>
      <headerFooter>
        <oddHeader xml:space="preserve">&amp;L&amp;"Arial,Bold"&amp;12C. Program Changes by Decision Unit
</oddHeader>
        <oddFooter>&amp;C&amp;"Arial,Regular"Exhibit C - Program Changes by Decision Unit&amp;R&amp;"Arial,Regular"Management and Administration</oddFooter>
      </headerFooter>
    </customSheetView>
    <customSheetView guid="{CFA5D1C9-F4C9-4B8D-923D-4C71CB6E7D3B}" showPageBreaks="1" printArea="1" view="pageBreakPreview">
      <selection activeCell="A9" sqref="A9"/>
      <pageMargins left="0.7" right="0.7" top="0.75" bottom="0.75" header="0.3" footer="0.3"/>
      <printOptions horizontalCentered="1"/>
      <pageSetup scale="71" orientation="landscape" r:id="rId4"/>
      <headerFooter>
        <oddHeader xml:space="preserve">&amp;L&amp;"Arial,Bold"&amp;12C. Program Changes by Decision Unit
</oddHeader>
        <oddFooter>&amp;C&amp;"Arial,Regular"Exhibit C - Program Changes by Decision Unit&amp;R&amp;"Arial,Regular"Management and Administration</oddFooter>
      </headerFooter>
    </customSheetView>
    <customSheetView guid="{A788DF77-74F1-49E4-8B34-BFBDB7664F30}" showPageBreaks="1" printArea="1" view="pageBreakPreview">
      <selection activeCell="A9" sqref="A9"/>
      <pageMargins left="0.7" right="0.7" top="0.75" bottom="0.75" header="0.3" footer="0.3"/>
      <printOptions horizontalCentered="1"/>
      <pageSetup scale="71" orientation="landscape" r:id="rId5"/>
      <headerFooter>
        <oddHeader xml:space="preserve">&amp;L&amp;"Arial,Bold"&amp;12C. Program Changes by Decision Unit
</oddHeader>
        <oddFooter>&amp;C&amp;"Arial,Regular"Exhibit C - Program Changes by Decision Unit&amp;R&amp;"Arial,Regular"Management and Administration</oddFooter>
      </headerFooter>
    </customSheetView>
  </customSheetViews>
  <mergeCells count="9">
    <mergeCell ref="G7:J7"/>
    <mergeCell ref="A7:A8"/>
    <mergeCell ref="B7:B8"/>
    <mergeCell ref="C7:F7"/>
    <mergeCell ref="A1:J1"/>
    <mergeCell ref="A2:J2"/>
    <mergeCell ref="A3:J3"/>
    <mergeCell ref="A4:J4"/>
    <mergeCell ref="A5:J5"/>
  </mergeCells>
  <printOptions horizontalCentered="1"/>
  <pageMargins left="0.7" right="0.7" top="0.75" bottom="0.75" header="0.3" footer="0.3"/>
  <pageSetup scale="85" orientation="landscape" r:id="rId6"/>
  <headerFooter>
    <oddHeader xml:space="preserve">&amp;L&amp;"Arial,Bold"&amp;12C. Program Changes by Decision Unit
</oddHeader>
    <oddFooter>&amp;C&amp;"Arial,Regular"Exhibit C - Program Changes by Decision Unit&amp;R&amp;"Arial,Regular"Management and Administration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view="pageBreakPreview" zoomScale="80" zoomScaleNormal="100" zoomScaleSheetLayoutView="80" workbookViewId="0">
      <selection activeCell="K31" sqref="K31"/>
    </sheetView>
  </sheetViews>
  <sheetFormatPr defaultRowHeight="14.25" x14ac:dyDescent="0.2"/>
  <cols>
    <col min="1" max="1" width="37.140625" style="143" customWidth="1"/>
    <col min="2" max="2" width="27.85546875" style="143" bestFit="1" customWidth="1"/>
    <col min="3" max="5" width="8.7109375" style="143" customWidth="1"/>
    <col min="6" max="6" width="12.7109375" style="143" customWidth="1"/>
    <col min="7" max="9" width="8.7109375" style="143" customWidth="1"/>
    <col min="10" max="10" width="12.7109375" style="143" customWidth="1"/>
    <col min="11" max="11" width="14" style="4" bestFit="1" customWidth="1"/>
    <col min="12" max="12" width="4.5703125" style="143" customWidth="1"/>
    <col min="13" max="14" width="8.28515625" style="143" customWidth="1"/>
    <col min="15" max="15" width="12.7109375" style="143" customWidth="1"/>
    <col min="16" max="17" width="8.28515625" style="143" customWidth="1"/>
    <col min="18" max="18" width="12.7109375" style="143" customWidth="1"/>
    <col min="19" max="16384" width="9.140625" style="143"/>
  </cols>
  <sheetData>
    <row r="1" spans="1:18" ht="18" x14ac:dyDescent="0.25">
      <c r="A1" s="577" t="s">
        <v>131</v>
      </c>
      <c r="B1" s="577"/>
      <c r="C1" s="577"/>
      <c r="D1" s="577"/>
      <c r="E1" s="577"/>
      <c r="F1" s="577"/>
      <c r="G1" s="577"/>
      <c r="H1" s="577"/>
      <c r="I1" s="577"/>
      <c r="J1" s="577"/>
      <c r="K1" s="51" t="s">
        <v>10</v>
      </c>
      <c r="L1" s="6"/>
      <c r="M1" s="6"/>
      <c r="N1" s="6"/>
      <c r="O1" s="6"/>
      <c r="P1" s="6"/>
      <c r="Q1" s="6"/>
      <c r="R1" s="6"/>
    </row>
    <row r="2" spans="1:18" ht="15" x14ac:dyDescent="0.2">
      <c r="A2" s="578" t="s">
        <v>152</v>
      </c>
      <c r="B2" s="578"/>
      <c r="C2" s="578"/>
      <c r="D2" s="578"/>
      <c r="E2" s="578"/>
      <c r="F2" s="578"/>
      <c r="G2" s="578"/>
      <c r="H2" s="578"/>
      <c r="I2" s="578"/>
      <c r="J2" s="578"/>
      <c r="K2" s="51" t="s">
        <v>10</v>
      </c>
      <c r="L2" s="7"/>
      <c r="M2" s="7"/>
      <c r="N2" s="7"/>
      <c r="O2" s="7"/>
      <c r="P2" s="7"/>
      <c r="Q2" s="7"/>
      <c r="R2" s="7"/>
    </row>
    <row r="3" spans="1:18" x14ac:dyDescent="0.2">
      <c r="A3" s="579" t="s">
        <v>399</v>
      </c>
      <c r="B3" s="579"/>
      <c r="C3" s="579"/>
      <c r="D3" s="579"/>
      <c r="E3" s="579"/>
      <c r="F3" s="579"/>
      <c r="G3" s="579"/>
      <c r="H3" s="579"/>
      <c r="I3" s="579"/>
      <c r="J3" s="579"/>
      <c r="K3" s="51" t="s">
        <v>10</v>
      </c>
      <c r="L3" s="163"/>
      <c r="M3" s="163"/>
      <c r="N3" s="163"/>
      <c r="O3" s="163"/>
      <c r="P3" s="163"/>
      <c r="Q3" s="163"/>
      <c r="R3" s="163"/>
    </row>
    <row r="4" spans="1:18" x14ac:dyDescent="0.2">
      <c r="A4" s="608" t="s">
        <v>1</v>
      </c>
      <c r="B4" s="608"/>
      <c r="C4" s="608"/>
      <c r="D4" s="608"/>
      <c r="E4" s="608"/>
      <c r="F4" s="608"/>
      <c r="G4" s="608"/>
      <c r="H4" s="608"/>
      <c r="I4" s="608"/>
      <c r="J4" s="608"/>
      <c r="K4" s="51" t="s">
        <v>10</v>
      </c>
      <c r="L4" s="162"/>
      <c r="M4" s="162"/>
      <c r="N4" s="162"/>
      <c r="O4" s="162"/>
      <c r="P4" s="162"/>
      <c r="Q4" s="162"/>
      <c r="R4" s="162"/>
    </row>
    <row r="5" spans="1:18" x14ac:dyDescent="0.2">
      <c r="A5" s="608"/>
      <c r="B5" s="608"/>
      <c r="C5" s="608"/>
      <c r="D5" s="608"/>
      <c r="E5" s="608"/>
      <c r="F5" s="608"/>
      <c r="G5" s="608"/>
      <c r="H5" s="608"/>
      <c r="I5" s="608"/>
      <c r="J5" s="608"/>
      <c r="K5" s="51" t="s">
        <v>10</v>
      </c>
      <c r="L5" s="162"/>
      <c r="M5" s="162"/>
      <c r="N5" s="162"/>
      <c r="O5" s="162"/>
      <c r="P5" s="162"/>
      <c r="Q5" s="162"/>
      <c r="R5" s="162"/>
    </row>
    <row r="6" spans="1:18" ht="15" thickBot="1" x14ac:dyDescent="0.25">
      <c r="K6" s="51" t="s">
        <v>10</v>
      </c>
    </row>
    <row r="7" spans="1:18" ht="33.75" customHeight="1" x14ac:dyDescent="0.2">
      <c r="A7" s="585" t="s">
        <v>18</v>
      </c>
      <c r="B7" s="590" t="s">
        <v>146</v>
      </c>
      <c r="C7" s="588" t="s">
        <v>399</v>
      </c>
      <c r="D7" s="588"/>
      <c r="E7" s="588"/>
      <c r="F7" s="588"/>
      <c r="G7" s="588" t="s">
        <v>19</v>
      </c>
      <c r="H7" s="588"/>
      <c r="I7" s="588"/>
      <c r="J7" s="589"/>
      <c r="K7" s="51" t="s">
        <v>10</v>
      </c>
    </row>
    <row r="8" spans="1:18" ht="28.5" x14ac:dyDescent="0.2">
      <c r="A8" s="586"/>
      <c r="B8" s="591"/>
      <c r="C8" s="235" t="s">
        <v>2</v>
      </c>
      <c r="D8" s="235" t="s">
        <v>22</v>
      </c>
      <c r="E8" s="235" t="s">
        <v>110</v>
      </c>
      <c r="F8" s="235" t="s">
        <v>3</v>
      </c>
      <c r="G8" s="235" t="s">
        <v>2</v>
      </c>
      <c r="H8" s="235" t="s">
        <v>22</v>
      </c>
      <c r="I8" s="235" t="s">
        <v>110</v>
      </c>
      <c r="J8" s="234" t="s">
        <v>3</v>
      </c>
      <c r="K8" s="51" t="s">
        <v>10</v>
      </c>
    </row>
    <row r="9" spans="1:18" ht="28.5" x14ac:dyDescent="0.2">
      <c r="A9" s="178" t="s">
        <v>396</v>
      </c>
      <c r="B9" s="248">
        <v>119</v>
      </c>
      <c r="C9" s="414">
        <v>0</v>
      </c>
      <c r="D9" s="414">
        <v>0</v>
      </c>
      <c r="E9" s="414">
        <v>0</v>
      </c>
      <c r="F9" s="414">
        <v>12500</v>
      </c>
      <c r="G9" s="414">
        <f t="shared" ref="G9:J15" si="0">C9</f>
        <v>0</v>
      </c>
      <c r="H9" s="414">
        <f t="shared" si="0"/>
        <v>0</v>
      </c>
      <c r="I9" s="414">
        <f t="shared" si="0"/>
        <v>0</v>
      </c>
      <c r="J9" s="415">
        <f t="shared" si="0"/>
        <v>12500</v>
      </c>
      <c r="K9" s="51" t="s">
        <v>10</v>
      </c>
    </row>
    <row r="10" spans="1:18" ht="57" x14ac:dyDescent="0.2">
      <c r="A10" s="229" t="s">
        <v>395</v>
      </c>
      <c r="B10" s="337">
        <v>106</v>
      </c>
      <c r="C10" s="154">
        <v>0</v>
      </c>
      <c r="D10" s="154">
        <v>0</v>
      </c>
      <c r="E10" s="154">
        <v>0</v>
      </c>
      <c r="F10" s="154">
        <v>27000</v>
      </c>
      <c r="G10" s="154">
        <f t="shared" si="0"/>
        <v>0</v>
      </c>
      <c r="H10" s="154">
        <f t="shared" si="0"/>
        <v>0</v>
      </c>
      <c r="I10" s="154">
        <f t="shared" si="0"/>
        <v>0</v>
      </c>
      <c r="J10" s="151">
        <f t="shared" si="0"/>
        <v>27000</v>
      </c>
      <c r="K10" s="51" t="s">
        <v>10</v>
      </c>
    </row>
    <row r="11" spans="1:18" ht="28.5" x14ac:dyDescent="0.2">
      <c r="A11" s="229" t="s">
        <v>394</v>
      </c>
      <c r="B11" s="337">
        <v>197</v>
      </c>
      <c r="C11" s="154">
        <v>0</v>
      </c>
      <c r="D11" s="154">
        <v>0</v>
      </c>
      <c r="E11" s="154">
        <v>0</v>
      </c>
      <c r="F11" s="154">
        <v>1000</v>
      </c>
      <c r="G11" s="154">
        <f t="shared" si="0"/>
        <v>0</v>
      </c>
      <c r="H11" s="154">
        <f t="shared" si="0"/>
        <v>0</v>
      </c>
      <c r="I11" s="154">
        <f t="shared" si="0"/>
        <v>0</v>
      </c>
      <c r="J11" s="151">
        <f t="shared" si="0"/>
        <v>1000</v>
      </c>
      <c r="K11" s="51" t="s">
        <v>10</v>
      </c>
    </row>
    <row r="12" spans="1:18" ht="42.75" x14ac:dyDescent="0.2">
      <c r="A12" s="229" t="s">
        <v>406</v>
      </c>
      <c r="B12" s="337">
        <v>123</v>
      </c>
      <c r="C12" s="154">
        <v>0</v>
      </c>
      <c r="D12" s="154">
        <v>0</v>
      </c>
      <c r="E12" s="154">
        <v>0</v>
      </c>
      <c r="F12" s="154">
        <v>5400</v>
      </c>
      <c r="G12" s="154">
        <f t="shared" si="0"/>
        <v>0</v>
      </c>
      <c r="H12" s="154">
        <f t="shared" si="0"/>
        <v>0</v>
      </c>
      <c r="I12" s="154">
        <f t="shared" si="0"/>
        <v>0</v>
      </c>
      <c r="J12" s="151">
        <f t="shared" si="0"/>
        <v>5400</v>
      </c>
      <c r="K12" s="51" t="s">
        <v>10</v>
      </c>
    </row>
    <row r="13" spans="1:18" ht="28.5" x14ac:dyDescent="0.2">
      <c r="A13" s="229" t="s">
        <v>405</v>
      </c>
      <c r="B13" s="337">
        <v>110</v>
      </c>
      <c r="C13" s="154">
        <v>0</v>
      </c>
      <c r="D13" s="154">
        <v>0</v>
      </c>
      <c r="E13" s="154">
        <v>0</v>
      </c>
      <c r="F13" s="154">
        <v>30000</v>
      </c>
      <c r="G13" s="154">
        <f t="shared" si="0"/>
        <v>0</v>
      </c>
      <c r="H13" s="154">
        <f t="shared" si="0"/>
        <v>0</v>
      </c>
      <c r="I13" s="154">
        <f t="shared" si="0"/>
        <v>0</v>
      </c>
      <c r="J13" s="151">
        <f t="shared" si="0"/>
        <v>30000</v>
      </c>
      <c r="K13" s="51" t="s">
        <v>10</v>
      </c>
    </row>
    <row r="14" spans="1:18" ht="28.5" x14ac:dyDescent="0.2">
      <c r="A14" s="229" t="s">
        <v>404</v>
      </c>
      <c r="B14" s="337">
        <v>128</v>
      </c>
      <c r="C14" s="154">
        <v>0</v>
      </c>
      <c r="D14" s="154">
        <v>0</v>
      </c>
      <c r="E14" s="154">
        <v>0</v>
      </c>
      <c r="F14" s="154">
        <v>10000</v>
      </c>
      <c r="G14" s="154">
        <f t="shared" si="0"/>
        <v>0</v>
      </c>
      <c r="H14" s="154">
        <f t="shared" si="0"/>
        <v>0</v>
      </c>
      <c r="I14" s="154">
        <f t="shared" si="0"/>
        <v>0</v>
      </c>
      <c r="J14" s="151">
        <f t="shared" si="0"/>
        <v>10000</v>
      </c>
      <c r="K14" s="51" t="s">
        <v>10</v>
      </c>
    </row>
    <row r="15" spans="1:18" ht="28.5" x14ac:dyDescent="0.2">
      <c r="A15" s="229" t="s">
        <v>390</v>
      </c>
      <c r="B15" s="337">
        <v>197</v>
      </c>
      <c r="C15" s="154">
        <v>0</v>
      </c>
      <c r="D15" s="154">
        <v>0</v>
      </c>
      <c r="E15" s="154">
        <v>0</v>
      </c>
      <c r="F15" s="154">
        <v>3000</v>
      </c>
      <c r="G15" s="154">
        <f t="shared" si="0"/>
        <v>0</v>
      </c>
      <c r="H15" s="154">
        <f t="shared" si="0"/>
        <v>0</v>
      </c>
      <c r="I15" s="154">
        <f t="shared" si="0"/>
        <v>0</v>
      </c>
      <c r="J15" s="151">
        <f t="shared" si="0"/>
        <v>3000</v>
      </c>
      <c r="K15" s="51" t="s">
        <v>10</v>
      </c>
    </row>
    <row r="16" spans="1:18" ht="15.75" thickBot="1" x14ac:dyDescent="0.3">
      <c r="A16" s="21" t="s">
        <v>21</v>
      </c>
      <c r="B16" s="22"/>
      <c r="C16" s="27">
        <f t="shared" ref="C16:J16" si="1">SUM(C9:C15)</f>
        <v>0</v>
      </c>
      <c r="D16" s="27">
        <f t="shared" si="1"/>
        <v>0</v>
      </c>
      <c r="E16" s="27">
        <f t="shared" si="1"/>
        <v>0</v>
      </c>
      <c r="F16" s="27">
        <f t="shared" si="1"/>
        <v>88900</v>
      </c>
      <c r="G16" s="27">
        <f t="shared" si="1"/>
        <v>0</v>
      </c>
      <c r="H16" s="27">
        <f t="shared" si="1"/>
        <v>0</v>
      </c>
      <c r="I16" s="27">
        <f t="shared" si="1"/>
        <v>0</v>
      </c>
      <c r="J16" s="251">
        <f t="shared" si="1"/>
        <v>88900</v>
      </c>
      <c r="K16" s="51" t="s">
        <v>10</v>
      </c>
    </row>
    <row r="17" spans="1:11" ht="15" thickBot="1" x14ac:dyDescent="0.25">
      <c r="K17" s="51" t="s">
        <v>10</v>
      </c>
    </row>
    <row r="18" spans="1:11" ht="33.75" customHeight="1" x14ac:dyDescent="0.2">
      <c r="A18" s="585" t="s">
        <v>20</v>
      </c>
      <c r="B18" s="590" t="s">
        <v>146</v>
      </c>
      <c r="C18" s="588" t="s">
        <v>399</v>
      </c>
      <c r="D18" s="588"/>
      <c r="E18" s="588"/>
      <c r="F18" s="588"/>
      <c r="G18" s="588" t="s">
        <v>189</v>
      </c>
      <c r="H18" s="588"/>
      <c r="I18" s="588"/>
      <c r="J18" s="589"/>
      <c r="K18" s="51" t="s">
        <v>10</v>
      </c>
    </row>
    <row r="19" spans="1:11" ht="28.5" x14ac:dyDescent="0.2">
      <c r="A19" s="586"/>
      <c r="B19" s="591"/>
      <c r="C19" s="235" t="s">
        <v>2</v>
      </c>
      <c r="D19" s="235" t="s">
        <v>22</v>
      </c>
      <c r="E19" s="235" t="s">
        <v>110</v>
      </c>
      <c r="F19" s="235" t="s">
        <v>3</v>
      </c>
      <c r="G19" s="235" t="s">
        <v>2</v>
      </c>
      <c r="H19" s="235" t="s">
        <v>22</v>
      </c>
      <c r="I19" s="235" t="s">
        <v>110</v>
      </c>
      <c r="J19" s="234" t="s">
        <v>3</v>
      </c>
      <c r="K19" s="51" t="s">
        <v>10</v>
      </c>
    </row>
    <row r="20" spans="1:11" x14ac:dyDescent="0.2">
      <c r="A20" s="178" t="s">
        <v>389</v>
      </c>
      <c r="B20" s="248">
        <v>225</v>
      </c>
      <c r="C20" s="414">
        <v>0</v>
      </c>
      <c r="D20" s="414">
        <v>0</v>
      </c>
      <c r="E20" s="414">
        <v>0</v>
      </c>
      <c r="F20" s="216">
        <v>-5500</v>
      </c>
      <c r="G20" s="414">
        <f t="shared" ref="G20:J22" si="2">C20</f>
        <v>0</v>
      </c>
      <c r="H20" s="414">
        <f t="shared" si="2"/>
        <v>0</v>
      </c>
      <c r="I20" s="414">
        <f t="shared" si="2"/>
        <v>0</v>
      </c>
      <c r="J20" s="215">
        <f t="shared" si="2"/>
        <v>-5500</v>
      </c>
      <c r="K20" s="51" t="s">
        <v>10</v>
      </c>
    </row>
    <row r="21" spans="1:11" ht="42.75" x14ac:dyDescent="0.2">
      <c r="A21" s="229" t="s">
        <v>388</v>
      </c>
      <c r="B21" s="337">
        <v>228</v>
      </c>
      <c r="C21" s="154">
        <v>0</v>
      </c>
      <c r="D21" s="154">
        <v>0</v>
      </c>
      <c r="E21" s="154">
        <v>0</v>
      </c>
      <c r="F21" s="268">
        <v>-8000</v>
      </c>
      <c r="G21" s="154">
        <f t="shared" si="2"/>
        <v>0</v>
      </c>
      <c r="H21" s="154">
        <f t="shared" si="2"/>
        <v>0</v>
      </c>
      <c r="I21" s="154">
        <f t="shared" si="2"/>
        <v>0</v>
      </c>
      <c r="J21" s="279">
        <f t="shared" si="2"/>
        <v>-8000</v>
      </c>
      <c r="K21" s="51" t="s">
        <v>10</v>
      </c>
    </row>
    <row r="22" spans="1:11" x14ac:dyDescent="0.2">
      <c r="A22" s="229" t="s">
        <v>387</v>
      </c>
      <c r="B22" s="337">
        <v>231</v>
      </c>
      <c r="C22" s="154">
        <v>0</v>
      </c>
      <c r="D22" s="154">
        <v>0</v>
      </c>
      <c r="E22" s="154">
        <v>0</v>
      </c>
      <c r="F22" s="268">
        <v>-30500</v>
      </c>
      <c r="G22" s="154">
        <f t="shared" si="2"/>
        <v>0</v>
      </c>
      <c r="H22" s="154">
        <f t="shared" si="2"/>
        <v>0</v>
      </c>
      <c r="I22" s="154">
        <f t="shared" si="2"/>
        <v>0</v>
      </c>
      <c r="J22" s="279">
        <f t="shared" si="2"/>
        <v>-30500</v>
      </c>
      <c r="K22" s="51" t="s">
        <v>10</v>
      </c>
    </row>
    <row r="23" spans="1:11" ht="15.75" thickBot="1" x14ac:dyDescent="0.3">
      <c r="A23" s="21" t="s">
        <v>187</v>
      </c>
      <c r="B23" s="22"/>
      <c r="C23" s="27">
        <f t="shared" ref="C23:J23" si="3">SUM(C20:C22)</f>
        <v>0</v>
      </c>
      <c r="D23" s="27">
        <f t="shared" si="3"/>
        <v>0</v>
      </c>
      <c r="E23" s="27">
        <f t="shared" si="3"/>
        <v>0</v>
      </c>
      <c r="F23" s="246">
        <f t="shared" si="3"/>
        <v>-44000</v>
      </c>
      <c r="G23" s="27">
        <f t="shared" si="3"/>
        <v>0</v>
      </c>
      <c r="H23" s="27">
        <f t="shared" si="3"/>
        <v>0</v>
      </c>
      <c r="I23" s="27">
        <f t="shared" si="3"/>
        <v>0</v>
      </c>
      <c r="J23" s="245">
        <f t="shared" si="3"/>
        <v>-44000</v>
      </c>
      <c r="K23" s="4" t="s">
        <v>11</v>
      </c>
    </row>
    <row r="25" spans="1:11" x14ac:dyDescent="0.2">
      <c r="B25" s="242"/>
    </row>
  </sheetData>
  <customSheetViews>
    <customSheetView guid="{EE916FE7-61FB-4021-ADDD-E082241FC03C}" scale="80" showPageBreaks="1" printArea="1" view="pageBreakPreview">
      <selection activeCell="D41" sqref="D41"/>
      <pageMargins left="0.7" right="0.7" top="0.75" bottom="0.75" header="0.3" footer="0.3"/>
      <printOptions horizontalCentered="1"/>
      <pageSetup scale="67" orientation="landscape" r:id="rId1"/>
      <headerFooter>
        <oddHeader xml:space="preserve">&amp;L&amp;"Arial,Bold"&amp;12C. Program Changes by Decision Unit
</oddHeader>
        <oddFooter>&amp;C&amp;"Arial,Regular"Exhibit C - Program Changes by Decision Unit&amp;R&amp;"Arial,Regular"Juvenile Justice Programs</oddFooter>
      </headerFooter>
    </customSheetView>
    <customSheetView guid="{0BB5DC4B-BC2A-4489-BE17-5E267FA1EF63}" scale="80" showPageBreaks="1" printArea="1" view="pageBreakPreview">
      <selection activeCell="D41" sqref="D41"/>
      <pageMargins left="0.7" right="0.7" top="0.75" bottom="0.75" header="0.3" footer="0.3"/>
      <printOptions horizontalCentered="1"/>
      <pageSetup scale="67" orientation="landscape" r:id="rId2"/>
      <headerFooter>
        <oddHeader xml:space="preserve">&amp;L&amp;"Arial,Bold"&amp;12C. Program Changes by Decision Unit
</oddHeader>
        <oddFooter>&amp;C&amp;"Arial,Regular"Exhibit C - Program Changes by Decision Unit&amp;R&amp;"Arial,Regular"Juvenile Justice Programs</oddFooter>
      </headerFooter>
    </customSheetView>
    <customSheetView guid="{6C58FFE1-D756-42C4-A1BC-AA7F1DC1E56F}" scale="80" showPageBreaks="1" printArea="1" view="pageBreakPreview">
      <selection activeCell="D41" sqref="D41"/>
      <pageMargins left="0.7" right="0.7" top="0.75" bottom="0.75" header="0.3" footer="0.3"/>
      <printOptions horizontalCentered="1"/>
      <pageSetup scale="67" orientation="landscape" r:id="rId3"/>
      <headerFooter>
        <oddHeader xml:space="preserve">&amp;L&amp;"Arial,Bold"&amp;12C. Program Changes by Decision Unit
</oddHeader>
        <oddFooter>&amp;C&amp;"Arial,Regular"Exhibit C - Program Changes by Decision Unit&amp;R&amp;"Arial,Regular"Juvenile Justice Programs</oddFooter>
      </headerFooter>
    </customSheetView>
    <customSheetView guid="{CFA5D1C9-F4C9-4B8D-923D-4C71CB6E7D3B}" scale="80" showPageBreaks="1" printArea="1" view="pageBreakPreview">
      <selection activeCell="D41" sqref="D41"/>
      <pageMargins left="0.7" right="0.7" top="0.75" bottom="0.75" header="0.3" footer="0.3"/>
      <printOptions horizontalCentered="1"/>
      <pageSetup scale="67" orientation="landscape" r:id="rId4"/>
      <headerFooter>
        <oddHeader xml:space="preserve">&amp;L&amp;"Arial,Bold"&amp;12C. Program Changes by Decision Unit
</oddHeader>
        <oddFooter>&amp;C&amp;"Arial,Regular"Exhibit C - Program Changes by Decision Unit&amp;R&amp;"Arial,Regular"Juvenile Justice Programs</oddFooter>
      </headerFooter>
    </customSheetView>
    <customSheetView guid="{A788DF77-74F1-49E4-8B34-BFBDB7664F30}" scale="80" showPageBreaks="1" printArea="1" view="pageBreakPreview">
      <selection activeCell="B9" sqref="B9:E9"/>
      <pageMargins left="0.7" right="0.7" top="0.75" bottom="0.75" header="0.3" footer="0.3"/>
      <printOptions horizontalCentered="1"/>
      <pageSetup scale="67" orientation="landscape" r:id="rId5"/>
      <headerFooter>
        <oddHeader xml:space="preserve">&amp;L&amp;"Arial,Bold"&amp;12C. Program Changes by Decision Unit
</oddHeader>
        <oddFooter>&amp;C&amp;"Arial,Regular"Exhibit C - Program Changes by Decision Unit&amp;R&amp;"Arial,Regular"Juvenile Justice Programs</oddFooter>
      </headerFooter>
    </customSheetView>
  </customSheetViews>
  <mergeCells count="13">
    <mergeCell ref="A1:J1"/>
    <mergeCell ref="A2:J2"/>
    <mergeCell ref="A3:J3"/>
    <mergeCell ref="A4:J4"/>
    <mergeCell ref="A5:J5"/>
    <mergeCell ref="G7:J7"/>
    <mergeCell ref="A18:A19"/>
    <mergeCell ref="B18:B19"/>
    <mergeCell ref="C18:F18"/>
    <mergeCell ref="G18:J18"/>
    <mergeCell ref="A7:A8"/>
    <mergeCell ref="B7:B8"/>
    <mergeCell ref="C7:F7"/>
  </mergeCells>
  <printOptions horizontalCentered="1"/>
  <pageMargins left="0.7" right="0.7" top="0.75" bottom="0.75" header="0.3" footer="0.3"/>
  <pageSetup scale="80" orientation="landscape" r:id="rId6"/>
  <headerFooter>
    <oddHeader xml:space="preserve">&amp;L&amp;"Arial,Bold"&amp;12C. Program Changes by Decision Unit
</oddHeader>
    <oddFooter>&amp;C&amp;"Arial,Regular"Exhibit C - Program Changes by Decision Unit&amp;R&amp;"Arial,Regular"Juvenile Justice Programs</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view="pageBreakPreview" zoomScale="80" zoomScaleNormal="100" zoomScaleSheetLayoutView="80" workbookViewId="0">
      <selection activeCell="L44" sqref="L44"/>
    </sheetView>
  </sheetViews>
  <sheetFormatPr defaultRowHeight="14.25" x14ac:dyDescent="0.2"/>
  <cols>
    <col min="1" max="1" width="7.42578125" style="143" bestFit="1" customWidth="1"/>
    <col min="2" max="2" width="58.140625" style="143" customWidth="1"/>
    <col min="3" max="3" width="8.7109375" style="143" customWidth="1"/>
    <col min="4" max="4" width="12.7109375" style="143" customWidth="1"/>
    <col min="5" max="5" width="8.7109375" style="143" customWidth="1"/>
    <col min="6" max="6" width="12.7109375" style="143" customWidth="1"/>
    <col min="7" max="7" width="8.7109375" style="143" customWidth="1"/>
    <col min="8" max="8" width="12.7109375" style="143" customWidth="1"/>
    <col min="9" max="9" width="8.7109375" style="143" customWidth="1"/>
    <col min="10" max="10" width="12.7109375" style="143" customWidth="1"/>
    <col min="11" max="11" width="8.7109375" style="143" customWidth="1"/>
    <col min="12" max="12" width="12.7109375" style="143" customWidth="1"/>
    <col min="13" max="13" width="8.7109375" style="143" customWidth="1"/>
    <col min="14" max="14" width="12.7109375" style="143" customWidth="1"/>
    <col min="15" max="15" width="14" style="4" bestFit="1" customWidth="1"/>
    <col min="16" max="16" width="4.5703125" style="143" customWidth="1"/>
    <col min="17" max="18" width="8.28515625" style="143" customWidth="1"/>
    <col min="19" max="19" width="12.7109375" style="143" customWidth="1"/>
    <col min="20" max="21" width="8.28515625" style="143" customWidth="1"/>
    <col min="22" max="22" width="12.7109375" style="143" customWidth="1"/>
    <col min="23" max="16384" width="9.140625" style="143"/>
  </cols>
  <sheetData>
    <row r="1" spans="1:22" ht="18" x14ac:dyDescent="0.25">
      <c r="A1" s="577" t="s">
        <v>222</v>
      </c>
      <c r="B1" s="577"/>
      <c r="C1" s="577"/>
      <c r="D1" s="577"/>
      <c r="E1" s="577"/>
      <c r="F1" s="577"/>
      <c r="G1" s="577"/>
      <c r="H1" s="577"/>
      <c r="I1" s="577"/>
      <c r="J1" s="577"/>
      <c r="K1" s="577"/>
      <c r="L1" s="577"/>
      <c r="M1" s="577"/>
      <c r="N1" s="577"/>
      <c r="O1" s="51" t="s">
        <v>10</v>
      </c>
      <c r="P1" s="6"/>
      <c r="Q1" s="6"/>
      <c r="R1" s="6"/>
      <c r="S1" s="6"/>
      <c r="T1" s="6"/>
      <c r="U1" s="6"/>
      <c r="V1" s="6"/>
    </row>
    <row r="2" spans="1:22" ht="15" x14ac:dyDescent="0.2">
      <c r="A2" s="578" t="s">
        <v>152</v>
      </c>
      <c r="B2" s="578"/>
      <c r="C2" s="578"/>
      <c r="D2" s="578"/>
      <c r="E2" s="578"/>
      <c r="F2" s="578"/>
      <c r="G2" s="578"/>
      <c r="H2" s="578"/>
      <c r="I2" s="578"/>
      <c r="J2" s="578"/>
      <c r="K2" s="578"/>
      <c r="L2" s="578"/>
      <c r="M2" s="578"/>
      <c r="N2" s="578"/>
      <c r="O2" s="51" t="s">
        <v>10</v>
      </c>
      <c r="P2" s="7"/>
      <c r="Q2" s="7"/>
      <c r="R2" s="7"/>
      <c r="S2" s="7"/>
      <c r="T2" s="7"/>
      <c r="U2" s="7"/>
      <c r="V2" s="7"/>
    </row>
    <row r="3" spans="1:22" x14ac:dyDescent="0.2">
      <c r="A3" s="579" t="s">
        <v>399</v>
      </c>
      <c r="B3" s="579"/>
      <c r="C3" s="579"/>
      <c r="D3" s="579"/>
      <c r="E3" s="579"/>
      <c r="F3" s="579"/>
      <c r="G3" s="579"/>
      <c r="H3" s="579"/>
      <c r="I3" s="579"/>
      <c r="J3" s="579"/>
      <c r="K3" s="579"/>
      <c r="L3" s="579"/>
      <c r="M3" s="579"/>
      <c r="N3" s="579"/>
      <c r="O3" s="51" t="s">
        <v>10</v>
      </c>
      <c r="P3" s="163"/>
      <c r="Q3" s="163"/>
      <c r="R3" s="163"/>
      <c r="S3" s="163"/>
      <c r="T3" s="163"/>
      <c r="U3" s="163"/>
      <c r="V3" s="163"/>
    </row>
    <row r="4" spans="1:22" x14ac:dyDescent="0.2">
      <c r="A4" s="608" t="s">
        <v>1</v>
      </c>
      <c r="B4" s="608"/>
      <c r="C4" s="608"/>
      <c r="D4" s="608"/>
      <c r="E4" s="608"/>
      <c r="F4" s="608"/>
      <c r="G4" s="608"/>
      <c r="H4" s="608"/>
      <c r="I4" s="608"/>
      <c r="J4" s="608"/>
      <c r="K4" s="608"/>
      <c r="L4" s="608"/>
      <c r="M4" s="608"/>
      <c r="N4" s="608"/>
      <c r="O4" s="51" t="s">
        <v>10</v>
      </c>
      <c r="P4" s="162"/>
      <c r="Q4" s="162"/>
      <c r="R4" s="162"/>
      <c r="S4" s="162"/>
      <c r="T4" s="162"/>
      <c r="U4" s="162"/>
      <c r="V4" s="162"/>
    </row>
    <row r="5" spans="1:22" x14ac:dyDescent="0.2">
      <c r="A5" s="579"/>
      <c r="B5" s="579"/>
      <c r="C5" s="579"/>
      <c r="D5" s="579"/>
      <c r="E5" s="579"/>
      <c r="F5" s="579"/>
      <c r="G5" s="579"/>
      <c r="H5" s="579"/>
      <c r="I5" s="579"/>
      <c r="J5" s="579"/>
      <c r="K5" s="579"/>
      <c r="L5" s="579"/>
      <c r="M5" s="579"/>
      <c r="N5" s="579"/>
      <c r="O5" s="51" t="s">
        <v>10</v>
      </c>
      <c r="P5" s="162"/>
      <c r="Q5" s="162"/>
      <c r="R5" s="162"/>
      <c r="S5" s="162"/>
      <c r="T5" s="162"/>
      <c r="U5" s="162"/>
      <c r="V5" s="162"/>
    </row>
    <row r="6" spans="1:22" ht="15" thickBot="1" x14ac:dyDescent="0.25">
      <c r="A6" s="613"/>
      <c r="B6" s="613"/>
      <c r="C6" s="613"/>
      <c r="D6" s="613"/>
      <c r="E6" s="613"/>
      <c r="F6" s="613"/>
      <c r="G6" s="613"/>
      <c r="H6" s="613"/>
      <c r="I6" s="613"/>
      <c r="J6" s="613"/>
      <c r="K6" s="613"/>
      <c r="L6" s="613"/>
      <c r="M6" s="613"/>
      <c r="N6" s="613"/>
      <c r="O6" s="51" t="s">
        <v>10</v>
      </c>
      <c r="P6" s="162"/>
      <c r="Q6" s="162"/>
      <c r="R6" s="162"/>
      <c r="S6" s="162"/>
      <c r="T6" s="162"/>
      <c r="U6" s="162"/>
      <c r="V6" s="162"/>
    </row>
    <row r="7" spans="1:22" ht="46.5" customHeight="1" x14ac:dyDescent="0.2">
      <c r="A7" s="623" t="s">
        <v>221</v>
      </c>
      <c r="B7" s="630"/>
      <c r="C7" s="588" t="s">
        <v>126</v>
      </c>
      <c r="D7" s="588"/>
      <c r="E7" s="588" t="s">
        <v>148</v>
      </c>
      <c r="F7" s="588"/>
      <c r="G7" s="588" t="s">
        <v>123</v>
      </c>
      <c r="H7" s="588"/>
      <c r="I7" s="588" t="s">
        <v>128</v>
      </c>
      <c r="J7" s="588"/>
      <c r="K7" s="588" t="s">
        <v>129</v>
      </c>
      <c r="L7" s="588"/>
      <c r="M7" s="588" t="s">
        <v>124</v>
      </c>
      <c r="N7" s="589"/>
      <c r="O7" s="51" t="s">
        <v>10</v>
      </c>
    </row>
    <row r="8" spans="1:22" ht="42.75" x14ac:dyDescent="0.2">
      <c r="A8" s="624"/>
      <c r="B8" s="631"/>
      <c r="C8" s="235" t="s">
        <v>220</v>
      </c>
      <c r="D8" s="235" t="s">
        <v>219</v>
      </c>
      <c r="E8" s="235" t="s">
        <v>220</v>
      </c>
      <c r="F8" s="235" t="s">
        <v>219</v>
      </c>
      <c r="G8" s="235" t="s">
        <v>220</v>
      </c>
      <c r="H8" s="235" t="s">
        <v>219</v>
      </c>
      <c r="I8" s="235" t="s">
        <v>220</v>
      </c>
      <c r="J8" s="235" t="s">
        <v>219</v>
      </c>
      <c r="K8" s="235" t="s">
        <v>220</v>
      </c>
      <c r="L8" s="235" t="s">
        <v>219</v>
      </c>
      <c r="M8" s="235" t="s">
        <v>220</v>
      </c>
      <c r="N8" s="234" t="s">
        <v>219</v>
      </c>
      <c r="O8" s="51" t="s">
        <v>10</v>
      </c>
    </row>
    <row r="9" spans="1:22" ht="45" hidden="1" x14ac:dyDescent="0.2">
      <c r="A9" s="272" t="s">
        <v>218</v>
      </c>
      <c r="B9" s="271" t="s">
        <v>217</v>
      </c>
      <c r="C9" s="270"/>
      <c r="D9" s="270"/>
      <c r="E9" s="270"/>
      <c r="F9" s="270"/>
      <c r="G9" s="270"/>
      <c r="H9" s="270"/>
      <c r="I9" s="270"/>
      <c r="J9" s="270"/>
      <c r="K9" s="270"/>
      <c r="L9" s="270"/>
      <c r="M9" s="270"/>
      <c r="N9" s="269"/>
      <c r="O9" s="51" t="s">
        <v>10</v>
      </c>
    </row>
    <row r="10" spans="1:22" ht="42.75" hidden="1" x14ac:dyDescent="0.2">
      <c r="A10" s="267">
        <v>1.1000000000000001</v>
      </c>
      <c r="B10" s="266" t="s">
        <v>216</v>
      </c>
      <c r="C10" s="154">
        <v>0</v>
      </c>
      <c r="D10" s="275">
        <v>0</v>
      </c>
      <c r="E10" s="154">
        <v>0</v>
      </c>
      <c r="F10" s="154">
        <v>0</v>
      </c>
      <c r="G10" s="154">
        <v>0</v>
      </c>
      <c r="H10" s="154">
        <v>0</v>
      </c>
      <c r="I10" s="154">
        <v>0</v>
      </c>
      <c r="J10" s="154">
        <v>0</v>
      </c>
      <c r="K10" s="154">
        <v>0</v>
      </c>
      <c r="L10" s="154">
        <v>0</v>
      </c>
      <c r="M10" s="154">
        <f t="shared" ref="M10:N12" si="0">G10+I10+K10</f>
        <v>0</v>
      </c>
      <c r="N10" s="151">
        <f t="shared" si="0"/>
        <v>0</v>
      </c>
      <c r="O10" s="51" t="s">
        <v>10</v>
      </c>
    </row>
    <row r="11" spans="1:22" hidden="1" x14ac:dyDescent="0.2">
      <c r="A11" s="267">
        <v>1.2</v>
      </c>
      <c r="B11" s="274" t="s">
        <v>215</v>
      </c>
      <c r="C11" s="154">
        <v>0</v>
      </c>
      <c r="D11" s="154">
        <v>0</v>
      </c>
      <c r="E11" s="154">
        <v>0</v>
      </c>
      <c r="F11" s="154">
        <v>0</v>
      </c>
      <c r="G11" s="154">
        <v>0</v>
      </c>
      <c r="H11" s="154">
        <v>0</v>
      </c>
      <c r="I11" s="154">
        <v>0</v>
      </c>
      <c r="J11" s="154">
        <v>0</v>
      </c>
      <c r="K11" s="154">
        <v>0</v>
      </c>
      <c r="L11" s="154">
        <v>0</v>
      </c>
      <c r="M11" s="154">
        <f t="shared" si="0"/>
        <v>0</v>
      </c>
      <c r="N11" s="151">
        <f t="shared" si="0"/>
        <v>0</v>
      </c>
      <c r="O11" s="51" t="s">
        <v>10</v>
      </c>
    </row>
    <row r="12" spans="1:22" ht="57" hidden="1" x14ac:dyDescent="0.2">
      <c r="A12" s="267">
        <v>1.3</v>
      </c>
      <c r="B12" s="266" t="s">
        <v>214</v>
      </c>
      <c r="C12" s="154">
        <v>0</v>
      </c>
      <c r="D12" s="154">
        <v>0</v>
      </c>
      <c r="E12" s="154">
        <v>0</v>
      </c>
      <c r="F12" s="154">
        <v>0</v>
      </c>
      <c r="G12" s="154">
        <v>0</v>
      </c>
      <c r="H12" s="154">
        <v>0</v>
      </c>
      <c r="I12" s="154">
        <v>0</v>
      </c>
      <c r="J12" s="154">
        <v>0</v>
      </c>
      <c r="K12" s="154">
        <v>0</v>
      </c>
      <c r="L12" s="154">
        <v>0</v>
      </c>
      <c r="M12" s="154">
        <f t="shared" si="0"/>
        <v>0</v>
      </c>
      <c r="N12" s="151">
        <f t="shared" si="0"/>
        <v>0</v>
      </c>
      <c r="O12" s="51" t="s">
        <v>10</v>
      </c>
    </row>
    <row r="13" spans="1:22" ht="45" hidden="1" customHeight="1" x14ac:dyDescent="0.2">
      <c r="A13" s="264">
        <v>1.4</v>
      </c>
      <c r="B13" s="263" t="s">
        <v>213</v>
      </c>
      <c r="C13" s="204"/>
      <c r="D13" s="204"/>
      <c r="E13" s="204"/>
      <c r="F13" s="204"/>
      <c r="G13" s="204"/>
      <c r="H13" s="204"/>
      <c r="I13" s="204"/>
      <c r="J13" s="204"/>
      <c r="K13" s="204"/>
      <c r="L13" s="204"/>
      <c r="M13" s="204"/>
      <c r="N13" s="203"/>
      <c r="O13" s="51"/>
    </row>
    <row r="14" spans="1:22" ht="15" hidden="1" x14ac:dyDescent="0.25">
      <c r="A14" s="262"/>
      <c r="B14" s="273" t="s">
        <v>212</v>
      </c>
      <c r="C14" s="25">
        <f t="shared" ref="C14:N14" si="1">SUM(C10:C13)</f>
        <v>0</v>
      </c>
      <c r="D14" s="25">
        <f t="shared" si="1"/>
        <v>0</v>
      </c>
      <c r="E14" s="25">
        <f t="shared" si="1"/>
        <v>0</v>
      </c>
      <c r="F14" s="25">
        <f t="shared" si="1"/>
        <v>0</v>
      </c>
      <c r="G14" s="25">
        <f t="shared" si="1"/>
        <v>0</v>
      </c>
      <c r="H14" s="25">
        <f t="shared" si="1"/>
        <v>0</v>
      </c>
      <c r="I14" s="25">
        <f t="shared" si="1"/>
        <v>0</v>
      </c>
      <c r="J14" s="25">
        <f t="shared" si="1"/>
        <v>0</v>
      </c>
      <c r="K14" s="25">
        <f t="shared" si="1"/>
        <v>0</v>
      </c>
      <c r="L14" s="25">
        <f t="shared" si="1"/>
        <v>0</v>
      </c>
      <c r="M14" s="25">
        <f t="shared" si="1"/>
        <v>0</v>
      </c>
      <c r="N14" s="26">
        <f t="shared" si="1"/>
        <v>0</v>
      </c>
      <c r="O14" s="51" t="s">
        <v>10</v>
      </c>
    </row>
    <row r="15" spans="1:22" ht="30" x14ac:dyDescent="0.2">
      <c r="A15" s="272" t="s">
        <v>211</v>
      </c>
      <c r="B15" s="271" t="s">
        <v>210</v>
      </c>
      <c r="C15" s="270"/>
      <c r="D15" s="270"/>
      <c r="E15" s="270"/>
      <c r="F15" s="270"/>
      <c r="G15" s="270"/>
      <c r="H15" s="270"/>
      <c r="I15" s="270"/>
      <c r="J15" s="270"/>
      <c r="K15" s="270"/>
      <c r="L15" s="270"/>
      <c r="M15" s="270"/>
      <c r="N15" s="269"/>
      <c r="O15" s="51" t="s">
        <v>10</v>
      </c>
    </row>
    <row r="16" spans="1:22" ht="57" x14ac:dyDescent="0.2">
      <c r="A16" s="267">
        <v>2.1</v>
      </c>
      <c r="B16" s="266" t="s">
        <v>209</v>
      </c>
      <c r="C16" s="154">
        <v>0</v>
      </c>
      <c r="D16" s="154">
        <v>35478</v>
      </c>
      <c r="E16" s="154">
        <v>0</v>
      </c>
      <c r="F16" s="154">
        <v>7500</v>
      </c>
      <c r="G16" s="154">
        <v>0</v>
      </c>
      <c r="H16" s="154">
        <v>7500</v>
      </c>
      <c r="I16" s="154">
        <v>0</v>
      </c>
      <c r="J16" s="154">
        <f>12500+30000+10000+3000+1000</f>
        <v>56500</v>
      </c>
      <c r="K16" s="154">
        <v>0</v>
      </c>
      <c r="L16" s="154">
        <v>0</v>
      </c>
      <c r="M16" s="154">
        <f t="shared" ref="M16:N21" si="2">G16+I16+K16</f>
        <v>0</v>
      </c>
      <c r="N16" s="151">
        <f t="shared" si="2"/>
        <v>64000</v>
      </c>
      <c r="O16" s="51" t="s">
        <v>10</v>
      </c>
    </row>
    <row r="17" spans="1:15" ht="48.75" customHeight="1" x14ac:dyDescent="0.2">
      <c r="A17" s="267">
        <v>2.2000000000000002</v>
      </c>
      <c r="B17" s="266" t="s">
        <v>208</v>
      </c>
      <c r="C17" s="154">
        <v>0</v>
      </c>
      <c r="D17" s="154">
        <v>184392</v>
      </c>
      <c r="E17" s="154">
        <v>0</v>
      </c>
      <c r="F17" s="154">
        <v>191500</v>
      </c>
      <c r="G17" s="154">
        <v>0</v>
      </c>
      <c r="H17" s="154">
        <v>191500</v>
      </c>
      <c r="I17" s="154">
        <v>0</v>
      </c>
      <c r="J17" s="154">
        <v>27000</v>
      </c>
      <c r="K17" s="154">
        <v>0</v>
      </c>
      <c r="L17" s="154">
        <f>-8000-30500</f>
        <v>-38500</v>
      </c>
      <c r="M17" s="154">
        <f t="shared" si="2"/>
        <v>0</v>
      </c>
      <c r="N17" s="151">
        <f t="shared" si="2"/>
        <v>180000</v>
      </c>
      <c r="O17" s="51" t="s">
        <v>10</v>
      </c>
    </row>
    <row r="18" spans="1:15" ht="42.75" hidden="1" x14ac:dyDescent="0.2">
      <c r="A18" s="267">
        <v>2.2999999999999998</v>
      </c>
      <c r="B18" s="266" t="s">
        <v>207</v>
      </c>
      <c r="C18" s="154">
        <v>0</v>
      </c>
      <c r="D18" s="154">
        <v>0</v>
      </c>
      <c r="E18" s="154">
        <v>0</v>
      </c>
      <c r="F18" s="154">
        <v>0</v>
      </c>
      <c r="G18" s="154">
        <v>0</v>
      </c>
      <c r="H18" s="154">
        <v>0</v>
      </c>
      <c r="I18" s="154">
        <v>0</v>
      </c>
      <c r="J18" s="154">
        <v>0</v>
      </c>
      <c r="K18" s="154">
        <v>0</v>
      </c>
      <c r="L18" s="154">
        <v>0</v>
      </c>
      <c r="M18" s="154">
        <f t="shared" si="2"/>
        <v>0</v>
      </c>
      <c r="N18" s="151">
        <f t="shared" si="2"/>
        <v>0</v>
      </c>
      <c r="O18" s="51" t="s">
        <v>10</v>
      </c>
    </row>
    <row r="19" spans="1:15" ht="28.5" hidden="1" x14ac:dyDescent="0.2">
      <c r="A19" s="267">
        <v>2.4</v>
      </c>
      <c r="B19" s="266" t="s">
        <v>206</v>
      </c>
      <c r="C19" s="154">
        <v>0</v>
      </c>
      <c r="D19" s="154">
        <v>0</v>
      </c>
      <c r="E19" s="154">
        <v>0</v>
      </c>
      <c r="F19" s="154">
        <v>0</v>
      </c>
      <c r="G19" s="154">
        <v>0</v>
      </c>
      <c r="H19" s="154">
        <v>0</v>
      </c>
      <c r="I19" s="154">
        <v>0</v>
      </c>
      <c r="J19" s="154">
        <v>0</v>
      </c>
      <c r="K19" s="154">
        <v>0</v>
      </c>
      <c r="L19" s="154">
        <v>0</v>
      </c>
      <c r="M19" s="154">
        <f t="shared" si="2"/>
        <v>0</v>
      </c>
      <c r="N19" s="151">
        <f t="shared" si="2"/>
        <v>0</v>
      </c>
      <c r="O19" s="51" t="s">
        <v>10</v>
      </c>
    </row>
    <row r="20" spans="1:15" ht="28.5" hidden="1" x14ac:dyDescent="0.2">
      <c r="A20" s="267">
        <v>2.5</v>
      </c>
      <c r="B20" s="266" t="s">
        <v>205</v>
      </c>
      <c r="C20" s="154">
        <v>0</v>
      </c>
      <c r="D20" s="154">
        <v>0</v>
      </c>
      <c r="E20" s="154">
        <v>0</v>
      </c>
      <c r="F20" s="154">
        <v>0</v>
      </c>
      <c r="G20" s="154">
        <v>0</v>
      </c>
      <c r="H20" s="154">
        <v>0</v>
      </c>
      <c r="I20" s="154">
        <v>0</v>
      </c>
      <c r="J20" s="154">
        <v>0</v>
      </c>
      <c r="K20" s="154">
        <v>0</v>
      </c>
      <c r="L20" s="154">
        <v>0</v>
      </c>
      <c r="M20" s="154">
        <f t="shared" si="2"/>
        <v>0</v>
      </c>
      <c r="N20" s="151">
        <f t="shared" si="2"/>
        <v>0</v>
      </c>
      <c r="O20" s="51" t="s">
        <v>10</v>
      </c>
    </row>
    <row r="21" spans="1:15" ht="28.5" hidden="1" x14ac:dyDescent="0.2">
      <c r="A21" s="267">
        <v>2.6</v>
      </c>
      <c r="B21" s="266" t="s">
        <v>204</v>
      </c>
      <c r="C21" s="154">
        <v>0</v>
      </c>
      <c r="D21" s="154">
        <v>0</v>
      </c>
      <c r="E21" s="154">
        <v>0</v>
      </c>
      <c r="F21" s="154">
        <v>0</v>
      </c>
      <c r="G21" s="154">
        <v>0</v>
      </c>
      <c r="H21" s="154">
        <v>0</v>
      </c>
      <c r="I21" s="154">
        <v>0</v>
      </c>
      <c r="J21" s="154">
        <v>0</v>
      </c>
      <c r="K21" s="154">
        <v>0</v>
      </c>
      <c r="L21" s="154">
        <v>0</v>
      </c>
      <c r="M21" s="154">
        <f t="shared" si="2"/>
        <v>0</v>
      </c>
      <c r="N21" s="151">
        <f t="shared" si="2"/>
        <v>0</v>
      </c>
      <c r="O21" s="51" t="s">
        <v>10</v>
      </c>
    </row>
    <row r="22" spans="1:15" ht="15" x14ac:dyDescent="0.25">
      <c r="A22" s="262"/>
      <c r="B22" s="273" t="s">
        <v>203</v>
      </c>
      <c r="C22" s="25">
        <f t="shared" ref="C22:N22" si="3">SUM(C16:C21)</f>
        <v>0</v>
      </c>
      <c r="D22" s="25">
        <f t="shared" si="3"/>
        <v>219870</v>
      </c>
      <c r="E22" s="25">
        <f t="shared" si="3"/>
        <v>0</v>
      </c>
      <c r="F22" s="25">
        <f t="shared" si="3"/>
        <v>199000</v>
      </c>
      <c r="G22" s="25">
        <f t="shared" si="3"/>
        <v>0</v>
      </c>
      <c r="H22" s="25">
        <f t="shared" si="3"/>
        <v>199000</v>
      </c>
      <c r="I22" s="25">
        <f t="shared" si="3"/>
        <v>0</v>
      </c>
      <c r="J22" s="25">
        <f t="shared" si="3"/>
        <v>83500</v>
      </c>
      <c r="K22" s="25">
        <f t="shared" si="3"/>
        <v>0</v>
      </c>
      <c r="L22" s="25">
        <f t="shared" si="3"/>
        <v>-38500</v>
      </c>
      <c r="M22" s="25">
        <f t="shared" si="3"/>
        <v>0</v>
      </c>
      <c r="N22" s="26">
        <f t="shared" si="3"/>
        <v>244000</v>
      </c>
      <c r="O22" s="51" t="s">
        <v>10</v>
      </c>
    </row>
    <row r="23" spans="1:15" ht="45" x14ac:dyDescent="0.2">
      <c r="A23" s="272" t="s">
        <v>202</v>
      </c>
      <c r="B23" s="271" t="s">
        <v>201</v>
      </c>
      <c r="C23" s="270"/>
      <c r="D23" s="270"/>
      <c r="E23" s="270"/>
      <c r="F23" s="270"/>
      <c r="G23" s="270"/>
      <c r="H23" s="270"/>
      <c r="I23" s="270"/>
      <c r="J23" s="270"/>
      <c r="K23" s="270"/>
      <c r="L23" s="270"/>
      <c r="M23" s="270"/>
      <c r="N23" s="269"/>
      <c r="O23" s="51" t="s">
        <v>10</v>
      </c>
    </row>
    <row r="24" spans="1:15" ht="57" x14ac:dyDescent="0.2">
      <c r="A24" s="267">
        <v>3.1</v>
      </c>
      <c r="B24" s="266" t="s">
        <v>200</v>
      </c>
      <c r="C24" s="154">
        <v>0</v>
      </c>
      <c r="D24" s="154">
        <v>41080</v>
      </c>
      <c r="E24" s="154">
        <v>0</v>
      </c>
      <c r="F24" s="154">
        <v>55500</v>
      </c>
      <c r="G24" s="154">
        <v>0</v>
      </c>
      <c r="H24" s="154">
        <v>55500</v>
      </c>
      <c r="I24" s="154">
        <v>0</v>
      </c>
      <c r="J24" s="154">
        <v>5400</v>
      </c>
      <c r="K24" s="154">
        <v>0</v>
      </c>
      <c r="L24" s="154">
        <v>-5500</v>
      </c>
      <c r="M24" s="154">
        <f t="shared" ref="M24:N27" si="4">G24+I24+K24</f>
        <v>0</v>
      </c>
      <c r="N24" s="151">
        <f t="shared" si="4"/>
        <v>55400</v>
      </c>
      <c r="O24" s="51" t="s">
        <v>10</v>
      </c>
    </row>
    <row r="25" spans="1:15" ht="42.75" hidden="1" x14ac:dyDescent="0.2">
      <c r="A25" s="267">
        <v>3.2</v>
      </c>
      <c r="B25" s="266" t="s">
        <v>199</v>
      </c>
      <c r="C25" s="154">
        <v>0</v>
      </c>
      <c r="D25" s="154">
        <v>0</v>
      </c>
      <c r="E25" s="154">
        <v>0</v>
      </c>
      <c r="F25" s="154">
        <v>0</v>
      </c>
      <c r="G25" s="154">
        <v>0</v>
      </c>
      <c r="H25" s="154">
        <v>0</v>
      </c>
      <c r="I25" s="154">
        <v>0</v>
      </c>
      <c r="J25" s="154">
        <v>0</v>
      </c>
      <c r="K25" s="154">
        <v>0</v>
      </c>
      <c r="L25" s="154">
        <v>0</v>
      </c>
      <c r="M25" s="154">
        <f t="shared" si="4"/>
        <v>0</v>
      </c>
      <c r="N25" s="151">
        <f t="shared" si="4"/>
        <v>0</v>
      </c>
      <c r="O25" s="51" t="s">
        <v>10</v>
      </c>
    </row>
    <row r="26" spans="1:15" ht="42.75" hidden="1" x14ac:dyDescent="0.2">
      <c r="A26" s="267">
        <v>3.3</v>
      </c>
      <c r="B26" s="266" t="s">
        <v>198</v>
      </c>
      <c r="C26" s="154">
        <v>0</v>
      </c>
      <c r="D26" s="154">
        <v>0</v>
      </c>
      <c r="E26" s="154">
        <v>0</v>
      </c>
      <c r="F26" s="154">
        <v>0</v>
      </c>
      <c r="G26" s="154">
        <v>0</v>
      </c>
      <c r="H26" s="154">
        <v>0</v>
      </c>
      <c r="I26" s="154">
        <v>0</v>
      </c>
      <c r="J26" s="154">
        <v>0</v>
      </c>
      <c r="K26" s="154">
        <v>0</v>
      </c>
      <c r="L26" s="154">
        <v>0</v>
      </c>
      <c r="M26" s="154">
        <f t="shared" si="4"/>
        <v>0</v>
      </c>
      <c r="N26" s="151">
        <f t="shared" si="4"/>
        <v>0</v>
      </c>
      <c r="O26" s="51" t="s">
        <v>10</v>
      </c>
    </row>
    <row r="27" spans="1:15" ht="57" hidden="1" x14ac:dyDescent="0.2">
      <c r="A27" s="267">
        <v>3.4</v>
      </c>
      <c r="B27" s="266" t="s">
        <v>197</v>
      </c>
      <c r="C27" s="154">
        <v>0</v>
      </c>
      <c r="D27" s="154">
        <v>0</v>
      </c>
      <c r="E27" s="154">
        <v>0</v>
      </c>
      <c r="F27" s="154">
        <v>0</v>
      </c>
      <c r="G27" s="154">
        <v>0</v>
      </c>
      <c r="H27" s="154">
        <v>0</v>
      </c>
      <c r="I27" s="154">
        <v>0</v>
      </c>
      <c r="J27" s="154">
        <v>0</v>
      </c>
      <c r="K27" s="154">
        <v>0</v>
      </c>
      <c r="L27" s="154">
        <v>0</v>
      </c>
      <c r="M27" s="154">
        <f t="shared" si="4"/>
        <v>0</v>
      </c>
      <c r="N27" s="151">
        <f t="shared" si="4"/>
        <v>0</v>
      </c>
      <c r="O27" s="51" t="s">
        <v>10</v>
      </c>
    </row>
    <row r="28" spans="1:15" ht="28.5" hidden="1" x14ac:dyDescent="0.2">
      <c r="A28" s="264">
        <v>3.5</v>
      </c>
      <c r="B28" s="263" t="s">
        <v>196</v>
      </c>
      <c r="C28" s="204"/>
      <c r="D28" s="204"/>
      <c r="E28" s="204"/>
      <c r="F28" s="204"/>
      <c r="G28" s="204"/>
      <c r="H28" s="204"/>
      <c r="I28" s="204"/>
      <c r="J28" s="204"/>
      <c r="K28" s="204"/>
      <c r="L28" s="204"/>
      <c r="M28" s="204"/>
      <c r="N28" s="203"/>
      <c r="O28" s="51"/>
    </row>
    <row r="29" spans="1:15" ht="57" hidden="1" x14ac:dyDescent="0.2">
      <c r="A29" s="264">
        <v>3.6</v>
      </c>
      <c r="B29" s="263" t="s">
        <v>195</v>
      </c>
      <c r="C29" s="204"/>
      <c r="D29" s="204"/>
      <c r="E29" s="204"/>
      <c r="F29" s="204"/>
      <c r="G29" s="204"/>
      <c r="H29" s="204"/>
      <c r="I29" s="204"/>
      <c r="J29" s="204"/>
      <c r="K29" s="204"/>
      <c r="L29" s="204"/>
      <c r="M29" s="204"/>
      <c r="N29" s="203"/>
      <c r="O29" s="51"/>
    </row>
    <row r="30" spans="1:15" ht="28.5" hidden="1" x14ac:dyDescent="0.2">
      <c r="A30" s="264">
        <v>3.7</v>
      </c>
      <c r="B30" s="338" t="s">
        <v>194</v>
      </c>
      <c r="C30" s="204"/>
      <c r="D30" s="204"/>
      <c r="E30" s="204"/>
      <c r="F30" s="204"/>
      <c r="G30" s="204"/>
      <c r="H30" s="204"/>
      <c r="I30" s="204"/>
      <c r="J30" s="204"/>
      <c r="K30" s="204"/>
      <c r="L30" s="204"/>
      <c r="M30" s="204"/>
      <c r="N30" s="203"/>
      <c r="O30" s="51"/>
    </row>
    <row r="31" spans="1:15" ht="71.25" hidden="1" x14ac:dyDescent="0.2">
      <c r="A31" s="264">
        <v>3.8</v>
      </c>
      <c r="B31" s="263" t="s">
        <v>193</v>
      </c>
      <c r="C31" s="204"/>
      <c r="D31" s="204"/>
      <c r="E31" s="204"/>
      <c r="F31" s="204"/>
      <c r="G31" s="204"/>
      <c r="H31" s="204"/>
      <c r="I31" s="204"/>
      <c r="J31" s="204"/>
      <c r="K31" s="204"/>
      <c r="L31" s="204"/>
      <c r="M31" s="204"/>
      <c r="N31" s="203"/>
      <c r="O31" s="51"/>
    </row>
    <row r="32" spans="1:15" ht="15" x14ac:dyDescent="0.25">
      <c r="A32" s="262"/>
      <c r="B32" s="261" t="s">
        <v>192</v>
      </c>
      <c r="C32" s="25">
        <f t="shared" ref="C32:N32" si="5">SUM(C24:C31)</f>
        <v>0</v>
      </c>
      <c r="D32" s="25">
        <f t="shared" si="5"/>
        <v>41080</v>
      </c>
      <c r="E32" s="25">
        <f t="shared" si="5"/>
        <v>0</v>
      </c>
      <c r="F32" s="25">
        <f t="shared" si="5"/>
        <v>55500</v>
      </c>
      <c r="G32" s="25">
        <f t="shared" si="5"/>
        <v>0</v>
      </c>
      <c r="H32" s="25">
        <f t="shared" si="5"/>
        <v>55500</v>
      </c>
      <c r="I32" s="25">
        <f t="shared" si="5"/>
        <v>0</v>
      </c>
      <c r="J32" s="25">
        <f t="shared" si="5"/>
        <v>5400</v>
      </c>
      <c r="K32" s="25">
        <f t="shared" si="5"/>
        <v>0</v>
      </c>
      <c r="L32" s="260">
        <f t="shared" si="5"/>
        <v>-5500</v>
      </c>
      <c r="M32" s="25">
        <f t="shared" si="5"/>
        <v>0</v>
      </c>
      <c r="N32" s="26">
        <f t="shared" si="5"/>
        <v>55400</v>
      </c>
      <c r="O32" s="51" t="s">
        <v>10</v>
      </c>
    </row>
    <row r="33" spans="1:15" ht="15.75" thickBot="1" x14ac:dyDescent="0.3">
      <c r="A33" s="259"/>
      <c r="B33" s="258" t="s">
        <v>191</v>
      </c>
      <c r="C33" s="27">
        <f t="shared" ref="C33:N33" si="6">C32+C22+C14</f>
        <v>0</v>
      </c>
      <c r="D33" s="27">
        <f t="shared" si="6"/>
        <v>260950</v>
      </c>
      <c r="E33" s="27">
        <f t="shared" si="6"/>
        <v>0</v>
      </c>
      <c r="F33" s="27">
        <f t="shared" si="6"/>
        <v>254500</v>
      </c>
      <c r="G33" s="27">
        <f t="shared" si="6"/>
        <v>0</v>
      </c>
      <c r="H33" s="27">
        <f t="shared" si="6"/>
        <v>254500</v>
      </c>
      <c r="I33" s="27">
        <f t="shared" si="6"/>
        <v>0</v>
      </c>
      <c r="J33" s="27">
        <f t="shared" si="6"/>
        <v>88900</v>
      </c>
      <c r="K33" s="27">
        <f t="shared" si="6"/>
        <v>0</v>
      </c>
      <c r="L33" s="246">
        <f t="shared" si="6"/>
        <v>-44000</v>
      </c>
      <c r="M33" s="27">
        <f t="shared" si="6"/>
        <v>0</v>
      </c>
      <c r="N33" s="251">
        <f t="shared" si="6"/>
        <v>299400</v>
      </c>
      <c r="O33" s="51" t="s">
        <v>10</v>
      </c>
    </row>
    <row r="34" spans="1:15" x14ac:dyDescent="0.2">
      <c r="O34" s="51" t="s">
        <v>10</v>
      </c>
    </row>
    <row r="35" spans="1:15" ht="15" x14ac:dyDescent="0.2">
      <c r="A35" s="629" t="s">
        <v>190</v>
      </c>
      <c r="B35" s="629"/>
      <c r="C35" s="629"/>
      <c r="D35" s="629"/>
      <c r="E35" s="629"/>
      <c r="F35" s="629"/>
      <c r="G35" s="629"/>
      <c r="H35" s="629"/>
      <c r="I35" s="629"/>
      <c r="J35" s="629"/>
      <c r="K35" s="629"/>
      <c r="L35" s="629"/>
      <c r="M35" s="629"/>
      <c r="N35" s="629"/>
      <c r="O35" s="51" t="s">
        <v>11</v>
      </c>
    </row>
    <row r="37" spans="1:15" x14ac:dyDescent="0.2">
      <c r="A37" s="257"/>
    </row>
  </sheetData>
  <customSheetViews>
    <customSheetView guid="{EE916FE7-61FB-4021-ADDD-E082241FC03C}" scale="60" showPageBreaks="1" printArea="1" view="pageBreakPreview">
      <selection activeCell="D41" sqref="D41"/>
      <rowBreaks count="1" manualBreakCount="1">
        <brk id="22" max="13" man="1"/>
      </rowBreaks>
      <pageMargins left="0.7" right="0.7" top="0.75" bottom="0.75" header="0.3" footer="0.3"/>
      <printOptions horizontalCentered="1"/>
      <pageSetup scale="62" orientation="landscape" r:id="rId1"/>
      <headerFooter>
        <oddHeader>&amp;L&amp;"Arial,Bold"&amp;12D. Resources by DOJ Strategic Goal and Strategic Objective</oddHeader>
        <oddFooter>&amp;C&amp;"Arial,Regular"Exhibit D - Resources by DOJ Strategic Goal and Strategic Objective&amp;R&amp;"Arial,Regular"Juvenile Justice Programs</oddFooter>
      </headerFooter>
    </customSheetView>
    <customSheetView guid="{0BB5DC4B-BC2A-4489-BE17-5E267FA1EF63}" scale="60" showPageBreaks="1" printArea="1" view="pageBreakPreview">
      <selection activeCell="D41" sqref="D41"/>
      <rowBreaks count="1" manualBreakCount="1">
        <brk id="22" max="13" man="1"/>
      </rowBreaks>
      <pageMargins left="0.7" right="0.7" top="0.75" bottom="0.75" header="0.3" footer="0.3"/>
      <printOptions horizontalCentered="1"/>
      <pageSetup scale="62" orientation="landscape" r:id="rId2"/>
      <headerFooter>
        <oddHeader>&amp;L&amp;"Arial,Bold"&amp;12D. Resources by DOJ Strategic Goal and Strategic Objective</oddHeader>
        <oddFooter>&amp;C&amp;"Arial,Regular"Exhibit D - Resources by DOJ Strategic Goal and Strategic Objective&amp;R&amp;"Arial,Regular"Juvenile Justice Programs</oddFooter>
      </headerFooter>
    </customSheetView>
    <customSheetView guid="{6C58FFE1-D756-42C4-A1BC-AA7F1DC1E56F}" scale="60" showPageBreaks="1" printArea="1" view="pageBreakPreview" topLeftCell="A10">
      <selection activeCell="D16" sqref="D16"/>
      <rowBreaks count="1" manualBreakCount="1">
        <brk id="22" max="13" man="1"/>
      </rowBreaks>
      <pageMargins left="0.7" right="0.7" top="0.75" bottom="0.75" header="0.3" footer="0.3"/>
      <printOptions horizontalCentered="1"/>
      <pageSetup scale="62" orientation="landscape" r:id="rId3"/>
      <headerFooter>
        <oddHeader>&amp;L&amp;"Arial,Bold"&amp;12D. Resources by DOJ Strategic Goal and Strategic Objective</oddHeader>
        <oddFooter>&amp;C&amp;"Arial,Regular"Exhibit D - Resources by DOJ Strategic Goal and Strategic Objective&amp;R&amp;"Arial,Regular"Juvenile Justice Programs</oddFooter>
      </headerFooter>
    </customSheetView>
    <customSheetView guid="{CFA5D1C9-F4C9-4B8D-923D-4C71CB6E7D3B}" scale="60" showPageBreaks="1" printArea="1" view="pageBreakPreview">
      <selection activeCell="D41" sqref="D41"/>
      <rowBreaks count="1" manualBreakCount="1">
        <brk id="22" max="13" man="1"/>
      </rowBreaks>
      <pageMargins left="0.7" right="0.7" top="0.75" bottom="0.75" header="0.3" footer="0.3"/>
      <printOptions horizontalCentered="1"/>
      <pageSetup scale="62" orientation="landscape" r:id="rId4"/>
      <headerFooter>
        <oddHeader>&amp;L&amp;"Arial,Bold"&amp;12D. Resources by DOJ Strategic Goal and Strategic Objective</oddHeader>
        <oddFooter>&amp;C&amp;"Arial,Regular"Exhibit D - Resources by DOJ Strategic Goal and Strategic Objective&amp;R&amp;"Arial,Regular"Juvenile Justice Programs</oddFooter>
      </headerFooter>
    </customSheetView>
    <customSheetView guid="{A788DF77-74F1-49E4-8B34-BFBDB7664F30}" scale="60" showPageBreaks="1" printArea="1" view="pageBreakPreview" topLeftCell="A10">
      <selection activeCell="D16" sqref="D16"/>
      <rowBreaks count="1" manualBreakCount="1">
        <brk id="22" max="13" man="1"/>
      </rowBreaks>
      <pageMargins left="0.7" right="0.7" top="0.75" bottom="0.75" header="0.3" footer="0.3"/>
      <printOptions horizontalCentered="1"/>
      <pageSetup scale="62" orientation="landscape" r:id="rId5"/>
      <headerFooter>
        <oddHeader>&amp;L&amp;"Arial,Bold"&amp;12D. Resources by DOJ Strategic Goal and Strategic Objective</oddHeader>
        <oddFooter>&amp;C&amp;"Arial,Regular"Exhibit D - Resources by DOJ Strategic Goal and Strategic Objective&amp;R&amp;"Arial,Regular"Juvenile Justice Programs</oddFooter>
      </headerFooter>
    </customSheetView>
  </customSheetViews>
  <mergeCells count="14">
    <mergeCell ref="A35:N35"/>
    <mergeCell ref="M7:N7"/>
    <mergeCell ref="A7:B8"/>
    <mergeCell ref="A6:N6"/>
    <mergeCell ref="C7:D7"/>
    <mergeCell ref="E7:F7"/>
    <mergeCell ref="G7:H7"/>
    <mergeCell ref="I7:J7"/>
    <mergeCell ref="K7:L7"/>
    <mergeCell ref="A1:N1"/>
    <mergeCell ref="A2:N2"/>
    <mergeCell ref="A3:N3"/>
    <mergeCell ref="A4:N4"/>
    <mergeCell ref="A5:N5"/>
  </mergeCells>
  <printOptions horizontalCentered="1"/>
  <pageMargins left="0.7" right="0.7" top="0.75" bottom="0.75" header="0.3" footer="0.3"/>
  <pageSetup scale="62" orientation="landscape" r:id="rId6"/>
  <headerFooter>
    <oddHeader>&amp;L&amp;"Arial,Bold"&amp;12D. Resources by DOJ Strategic Goal and Strategic Objective</oddHeader>
    <oddFooter>&amp;C&amp;"Arial,Regular"Exhibit D - Resources by DOJ Strategic Goal and Strategic Objective&amp;R&amp;"Arial,Regular"Juvenile Justice Programs</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view="pageBreakPreview" topLeftCell="A22" zoomScaleNormal="100" zoomScaleSheetLayoutView="100" workbookViewId="0">
      <selection activeCell="N48" sqref="N48"/>
    </sheetView>
  </sheetViews>
  <sheetFormatPr defaultRowHeight="14.25" x14ac:dyDescent="0.2"/>
  <cols>
    <col min="1" max="1" width="37.140625" style="143" customWidth="1"/>
    <col min="2" max="3" width="8.28515625" style="143" customWidth="1"/>
    <col min="4" max="4" width="12.7109375" style="143" customWidth="1"/>
    <col min="5" max="5" width="7.140625" style="143" hidden="1" customWidth="1"/>
    <col min="6" max="7" width="8.7109375" style="143" hidden="1" customWidth="1"/>
    <col min="8" max="8" width="7.140625" style="143" hidden="1" customWidth="1"/>
    <col min="9" max="9" width="8.7109375" style="143" hidden="1" customWidth="1"/>
    <col min="10" max="10" width="13" style="143" bestFit="1" customWidth="1"/>
    <col min="11" max="11" width="7.140625" style="143" hidden="1" customWidth="1"/>
    <col min="12" max="12" width="8.7109375" style="143" hidden="1" customWidth="1"/>
    <col min="13" max="13" width="11" style="143" customWidth="1"/>
    <col min="14" max="15" width="8.28515625" style="143" customWidth="1"/>
    <col min="16" max="16" width="11.5703125" style="143" customWidth="1"/>
    <col min="17" max="17" width="11.28515625" style="143" bestFit="1" customWidth="1"/>
    <col min="18" max="18" width="12.7109375" style="143" customWidth="1"/>
    <col min="19" max="20" width="8.28515625" style="143" customWidth="1"/>
    <col min="21" max="21" width="13.85546875" style="143" customWidth="1"/>
    <col min="22" max="22" width="14" style="4" bestFit="1" customWidth="1"/>
    <col min="23" max="23" width="4.5703125" style="143" customWidth="1"/>
    <col min="24" max="25" width="8.28515625" style="143" customWidth="1"/>
    <col min="26" max="26" width="12.7109375" style="143" customWidth="1"/>
    <col min="27" max="28" width="8.28515625" style="143" customWidth="1"/>
    <col min="29" max="29" width="12.7109375" style="143" customWidth="1"/>
    <col min="30" max="16384" width="9.140625" style="143"/>
  </cols>
  <sheetData>
    <row r="1" spans="1:29" ht="18" x14ac:dyDescent="0.25">
      <c r="A1" s="577" t="s">
        <v>29</v>
      </c>
      <c r="B1" s="577"/>
      <c r="C1" s="577"/>
      <c r="D1" s="577"/>
      <c r="E1" s="577"/>
      <c r="F1" s="577"/>
      <c r="G1" s="577"/>
      <c r="H1" s="577"/>
      <c r="I1" s="577"/>
      <c r="J1" s="577"/>
      <c r="K1" s="577"/>
      <c r="L1" s="577"/>
      <c r="M1" s="577"/>
      <c r="N1" s="577"/>
      <c r="O1" s="577"/>
      <c r="P1" s="577"/>
      <c r="Q1" s="577"/>
      <c r="R1" s="577"/>
      <c r="S1" s="577"/>
      <c r="T1" s="577"/>
      <c r="U1" s="577"/>
      <c r="V1" s="51" t="s">
        <v>10</v>
      </c>
      <c r="W1" s="6"/>
      <c r="X1" s="6"/>
      <c r="Y1" s="6"/>
      <c r="Z1" s="6"/>
      <c r="AA1" s="6"/>
      <c r="AB1" s="6"/>
      <c r="AC1" s="6"/>
    </row>
    <row r="2" spans="1:29" ht="15" x14ac:dyDescent="0.2">
      <c r="A2" s="578" t="s">
        <v>152</v>
      </c>
      <c r="B2" s="578"/>
      <c r="C2" s="578"/>
      <c r="D2" s="578"/>
      <c r="E2" s="578"/>
      <c r="F2" s="578"/>
      <c r="G2" s="578"/>
      <c r="H2" s="578"/>
      <c r="I2" s="578"/>
      <c r="J2" s="578"/>
      <c r="K2" s="578"/>
      <c r="L2" s="578"/>
      <c r="M2" s="578"/>
      <c r="N2" s="578"/>
      <c r="O2" s="578"/>
      <c r="P2" s="578"/>
      <c r="Q2" s="578"/>
      <c r="R2" s="578"/>
      <c r="S2" s="578"/>
      <c r="T2" s="578"/>
      <c r="U2" s="578"/>
      <c r="V2" s="51" t="s">
        <v>10</v>
      </c>
      <c r="W2" s="7"/>
      <c r="X2" s="7"/>
      <c r="Y2" s="7"/>
      <c r="Z2" s="7"/>
      <c r="AA2" s="7"/>
      <c r="AB2" s="7"/>
      <c r="AC2" s="7"/>
    </row>
    <row r="3" spans="1:29" x14ac:dyDescent="0.2">
      <c r="A3" s="579" t="s">
        <v>399</v>
      </c>
      <c r="B3" s="579"/>
      <c r="C3" s="579"/>
      <c r="D3" s="579"/>
      <c r="E3" s="579"/>
      <c r="F3" s="579"/>
      <c r="G3" s="579"/>
      <c r="H3" s="579"/>
      <c r="I3" s="579"/>
      <c r="J3" s="579"/>
      <c r="K3" s="579"/>
      <c r="L3" s="579"/>
      <c r="M3" s="579"/>
      <c r="N3" s="579"/>
      <c r="O3" s="579"/>
      <c r="P3" s="579"/>
      <c r="Q3" s="579"/>
      <c r="R3" s="579"/>
      <c r="S3" s="579"/>
      <c r="T3" s="579"/>
      <c r="U3" s="579"/>
      <c r="V3" s="51" t="s">
        <v>10</v>
      </c>
      <c r="W3" s="163"/>
      <c r="X3" s="163"/>
      <c r="Y3" s="163"/>
      <c r="Z3" s="163"/>
      <c r="AA3" s="163"/>
      <c r="AB3" s="163"/>
      <c r="AC3" s="163"/>
    </row>
    <row r="4" spans="1:29" x14ac:dyDescent="0.2">
      <c r="A4" s="608" t="s">
        <v>1</v>
      </c>
      <c r="B4" s="608"/>
      <c r="C4" s="608"/>
      <c r="D4" s="608"/>
      <c r="E4" s="608"/>
      <c r="F4" s="608"/>
      <c r="G4" s="608"/>
      <c r="H4" s="608"/>
      <c r="I4" s="608"/>
      <c r="J4" s="608"/>
      <c r="K4" s="608"/>
      <c r="L4" s="608"/>
      <c r="M4" s="608"/>
      <c r="N4" s="608"/>
      <c r="O4" s="608"/>
      <c r="P4" s="608"/>
      <c r="Q4" s="608"/>
      <c r="R4" s="608"/>
      <c r="S4" s="608"/>
      <c r="T4" s="608"/>
      <c r="U4" s="608"/>
      <c r="V4" s="51" t="s">
        <v>10</v>
      </c>
      <c r="W4" s="162"/>
      <c r="X4" s="162"/>
      <c r="Y4" s="162"/>
      <c r="Z4" s="162"/>
      <c r="AA4" s="162"/>
      <c r="AB4" s="162"/>
      <c r="AC4" s="162"/>
    </row>
    <row r="5" spans="1:29" x14ac:dyDescent="0.2">
      <c r="A5" s="162"/>
      <c r="B5" s="162"/>
      <c r="C5" s="162"/>
      <c r="D5" s="162"/>
      <c r="E5" s="162"/>
      <c r="F5" s="162"/>
      <c r="G5" s="162"/>
      <c r="H5" s="162"/>
      <c r="I5" s="162"/>
      <c r="J5" s="162"/>
      <c r="K5" s="162"/>
      <c r="L5" s="162"/>
      <c r="M5" s="162"/>
      <c r="N5" s="162"/>
      <c r="O5" s="162"/>
      <c r="P5" s="162"/>
      <c r="Q5" s="162"/>
      <c r="R5" s="162"/>
      <c r="S5" s="162"/>
      <c r="T5" s="162"/>
      <c r="U5" s="162"/>
      <c r="V5" s="51" t="s">
        <v>10</v>
      </c>
      <c r="W5" s="162"/>
      <c r="X5" s="162"/>
      <c r="Y5" s="162"/>
      <c r="Z5" s="162"/>
      <c r="AA5" s="162"/>
      <c r="AB5" s="162"/>
      <c r="AC5" s="162"/>
    </row>
    <row r="6" spans="1:29" ht="15" thickBot="1" x14ac:dyDescent="0.25">
      <c r="A6" s="287"/>
      <c r="B6" s="287"/>
      <c r="C6" s="287"/>
      <c r="D6" s="287"/>
      <c r="E6" s="287"/>
      <c r="F6" s="287"/>
      <c r="G6" s="287"/>
      <c r="H6" s="287"/>
      <c r="I6" s="287"/>
      <c r="J6" s="287"/>
      <c r="K6" s="287"/>
      <c r="L6" s="287"/>
      <c r="M6" s="287"/>
      <c r="N6" s="287"/>
      <c r="O6" s="287"/>
      <c r="P6" s="287"/>
      <c r="Q6" s="287"/>
      <c r="R6" s="287"/>
      <c r="S6" s="287"/>
      <c r="T6" s="287"/>
      <c r="U6" s="287"/>
      <c r="V6" s="51" t="s">
        <v>10</v>
      </c>
      <c r="W6" s="162"/>
      <c r="X6" s="162"/>
      <c r="Y6" s="162"/>
      <c r="Z6" s="162"/>
      <c r="AA6" s="162"/>
      <c r="AB6" s="162"/>
      <c r="AC6" s="162"/>
    </row>
    <row r="7" spans="1:29" ht="45.75" customHeight="1" x14ac:dyDescent="0.2">
      <c r="A7" s="585" t="s">
        <v>101</v>
      </c>
      <c r="B7" s="588" t="s">
        <v>137</v>
      </c>
      <c r="C7" s="588"/>
      <c r="D7" s="588"/>
      <c r="E7" s="588" t="s">
        <v>139</v>
      </c>
      <c r="F7" s="618"/>
      <c r="G7" s="619"/>
      <c r="H7" s="588" t="s">
        <v>97</v>
      </c>
      <c r="I7" s="618"/>
      <c r="J7" s="619"/>
      <c r="K7" s="588" t="s">
        <v>132</v>
      </c>
      <c r="L7" s="618"/>
      <c r="M7" s="619"/>
      <c r="N7" s="588" t="s">
        <v>27</v>
      </c>
      <c r="O7" s="588"/>
      <c r="P7" s="588"/>
      <c r="Q7" s="180" t="s">
        <v>28</v>
      </c>
      <c r="R7" s="180" t="s">
        <v>104</v>
      </c>
      <c r="S7" s="588" t="s">
        <v>133</v>
      </c>
      <c r="T7" s="588"/>
      <c r="U7" s="589"/>
      <c r="V7" s="51" t="s">
        <v>10</v>
      </c>
    </row>
    <row r="8" spans="1:29" ht="39" customHeight="1" x14ac:dyDescent="0.2">
      <c r="A8" s="586"/>
      <c r="B8" s="235" t="s">
        <v>2</v>
      </c>
      <c r="C8" s="235" t="s">
        <v>95</v>
      </c>
      <c r="D8" s="235" t="s">
        <v>3</v>
      </c>
      <c r="E8" s="235" t="s">
        <v>2</v>
      </c>
      <c r="F8" s="235" t="s">
        <v>95</v>
      </c>
      <c r="G8" s="235" t="s">
        <v>3</v>
      </c>
      <c r="H8" s="235" t="s">
        <v>2</v>
      </c>
      <c r="I8" s="235" t="s">
        <v>95</v>
      </c>
      <c r="J8" s="235" t="s">
        <v>3</v>
      </c>
      <c r="K8" s="235" t="s">
        <v>2</v>
      </c>
      <c r="L8" s="235" t="s">
        <v>95</v>
      </c>
      <c r="M8" s="235" t="s">
        <v>3</v>
      </c>
      <c r="N8" s="235" t="s">
        <v>2</v>
      </c>
      <c r="O8" s="235" t="s">
        <v>95</v>
      </c>
      <c r="P8" s="235" t="s">
        <v>3</v>
      </c>
      <c r="Q8" s="235" t="s">
        <v>3</v>
      </c>
      <c r="R8" s="235" t="s">
        <v>3</v>
      </c>
      <c r="S8" s="235" t="s">
        <v>2</v>
      </c>
      <c r="T8" s="235" t="s">
        <v>95</v>
      </c>
      <c r="U8" s="234" t="s">
        <v>3</v>
      </c>
      <c r="V8" s="51" t="s">
        <v>10</v>
      </c>
    </row>
    <row r="9" spans="1:29" ht="42.75" x14ac:dyDescent="0.2">
      <c r="A9" s="178" t="s">
        <v>413</v>
      </c>
      <c r="B9" s="217">
        <v>0</v>
      </c>
      <c r="C9" s="217">
        <v>0</v>
      </c>
      <c r="D9" s="217">
        <v>1469</v>
      </c>
      <c r="E9" s="217">
        <v>0</v>
      </c>
      <c r="F9" s="217">
        <v>0</v>
      </c>
      <c r="G9" s="217">
        <v>0</v>
      </c>
      <c r="H9" s="217">
        <v>0</v>
      </c>
      <c r="I9" s="217">
        <v>0</v>
      </c>
      <c r="J9" s="217">
        <v>0</v>
      </c>
      <c r="K9" s="217">
        <v>0</v>
      </c>
      <c r="L9" s="217">
        <v>0</v>
      </c>
      <c r="M9" s="216">
        <v>-68</v>
      </c>
      <c r="N9" s="217">
        <v>0</v>
      </c>
      <c r="O9" s="217">
        <v>0</v>
      </c>
      <c r="P9" s="216">
        <v>-28.009</v>
      </c>
      <c r="Q9" s="217">
        <v>0.63900000000000001</v>
      </c>
      <c r="R9" s="217">
        <v>0</v>
      </c>
      <c r="S9" s="217">
        <f t="shared" ref="S9:S22" si="0">B9+N9</f>
        <v>0</v>
      </c>
      <c r="T9" s="217">
        <f t="shared" ref="T9:T22" si="1">C9+O9</f>
        <v>0</v>
      </c>
      <c r="U9" s="286">
        <f>D9+P9+Q9+R9+J9+M9+G9</f>
        <v>1373.6299999999999</v>
      </c>
      <c r="V9" s="51" t="s">
        <v>10</v>
      </c>
    </row>
    <row r="10" spans="1:29" ht="28.5" x14ac:dyDescent="0.2">
      <c r="A10" s="229" t="s">
        <v>396</v>
      </c>
      <c r="B10" s="154">
        <v>0</v>
      </c>
      <c r="C10" s="154">
        <v>0</v>
      </c>
      <c r="D10" s="154">
        <v>10772</v>
      </c>
      <c r="E10" s="154">
        <v>0</v>
      </c>
      <c r="F10" s="154">
        <v>0</v>
      </c>
      <c r="G10" s="154">
        <v>0</v>
      </c>
      <c r="H10" s="154">
        <v>0</v>
      </c>
      <c r="I10" s="154">
        <v>0</v>
      </c>
      <c r="J10" s="154">
        <v>0</v>
      </c>
      <c r="K10" s="154">
        <v>0</v>
      </c>
      <c r="L10" s="154">
        <v>0</v>
      </c>
      <c r="M10" s="268">
        <v>-502</v>
      </c>
      <c r="N10" s="154">
        <v>0</v>
      </c>
      <c r="O10" s="154">
        <v>0</v>
      </c>
      <c r="P10" s="268">
        <v>-205.399</v>
      </c>
      <c r="Q10" s="154">
        <v>1E-3</v>
      </c>
      <c r="R10" s="154">
        <v>0</v>
      </c>
      <c r="S10" s="154">
        <f t="shared" si="0"/>
        <v>0</v>
      </c>
      <c r="T10" s="154">
        <f t="shared" si="1"/>
        <v>0</v>
      </c>
      <c r="U10" s="151">
        <f t="shared" ref="U10:U22" si="2">D10+P10+Q10+R10+J10+M10+G10</f>
        <v>10064.602000000001</v>
      </c>
      <c r="V10" s="51" t="s">
        <v>10</v>
      </c>
    </row>
    <row r="11" spans="1:29" ht="57" x14ac:dyDescent="0.2">
      <c r="A11" s="229" t="s">
        <v>395</v>
      </c>
      <c r="B11" s="154">
        <v>0</v>
      </c>
      <c r="C11" s="154">
        <v>0</v>
      </c>
      <c r="D11" s="154">
        <v>19585</v>
      </c>
      <c r="E11" s="154">
        <v>0</v>
      </c>
      <c r="F11" s="154">
        <v>0</v>
      </c>
      <c r="G11" s="154">
        <v>0</v>
      </c>
      <c r="H11" s="154">
        <v>0</v>
      </c>
      <c r="I11" s="154">
        <v>0</v>
      </c>
      <c r="J11" s="268">
        <f>SUM(J12:J14)</f>
        <v>-1361.1133399999999</v>
      </c>
      <c r="K11" s="154">
        <v>0</v>
      </c>
      <c r="L11" s="154">
        <v>0</v>
      </c>
      <c r="M11" s="268">
        <v>-913</v>
      </c>
      <c r="N11" s="154">
        <v>0</v>
      </c>
      <c r="O11" s="154">
        <v>0</v>
      </c>
      <c r="P11" s="268">
        <f>SUM(P12:P14)</f>
        <v>-373.452</v>
      </c>
      <c r="Q11" s="154">
        <f t="shared" ref="Q11:R11" si="3">SUM(Q12:Q14)</f>
        <v>365.24850000000004</v>
      </c>
      <c r="R11" s="154">
        <f t="shared" si="3"/>
        <v>1343</v>
      </c>
      <c r="S11" s="154">
        <f t="shared" si="0"/>
        <v>0</v>
      </c>
      <c r="T11" s="154">
        <f t="shared" si="1"/>
        <v>0</v>
      </c>
      <c r="U11" s="151">
        <f>D11+P11+Q11+R11+J11+M11+G11</f>
        <v>18645.68316</v>
      </c>
      <c r="V11" s="51" t="s">
        <v>10</v>
      </c>
    </row>
    <row r="12" spans="1:29" ht="28.5" x14ac:dyDescent="0.2">
      <c r="A12" s="371" t="s">
        <v>411</v>
      </c>
      <c r="B12" s="154">
        <v>0</v>
      </c>
      <c r="C12" s="154">
        <v>0</v>
      </c>
      <c r="D12" s="439" t="s">
        <v>611</v>
      </c>
      <c r="E12" s="154">
        <v>0</v>
      </c>
      <c r="F12" s="154">
        <v>0</v>
      </c>
      <c r="G12" s="439" t="s">
        <v>480</v>
      </c>
      <c r="H12" s="154">
        <v>0</v>
      </c>
      <c r="I12" s="154">
        <v>0</v>
      </c>
      <c r="J12" s="268">
        <v>-635.41723999999999</v>
      </c>
      <c r="K12" s="154">
        <v>0</v>
      </c>
      <c r="L12" s="154">
        <v>0</v>
      </c>
      <c r="M12" s="268">
        <v>0</v>
      </c>
      <c r="N12" s="154">
        <v>0</v>
      </c>
      <c r="O12" s="154">
        <v>0</v>
      </c>
      <c r="P12" s="268">
        <v>-93.363</v>
      </c>
      <c r="Q12" s="154">
        <v>137.10462999999999</v>
      </c>
      <c r="R12" s="154">
        <v>635</v>
      </c>
      <c r="S12" s="154">
        <f t="shared" si="0"/>
        <v>0</v>
      </c>
      <c r="T12" s="154">
        <f t="shared" si="1"/>
        <v>0</v>
      </c>
      <c r="U12" s="438" t="s">
        <v>635</v>
      </c>
      <c r="V12" s="51" t="s">
        <v>10</v>
      </c>
    </row>
    <row r="13" spans="1:29" ht="42.75" x14ac:dyDescent="0.2">
      <c r="A13" s="371" t="s">
        <v>410</v>
      </c>
      <c r="B13" s="154">
        <v>0</v>
      </c>
      <c r="C13" s="154">
        <v>0</v>
      </c>
      <c r="D13" s="439" t="s">
        <v>611</v>
      </c>
      <c r="E13" s="154">
        <v>0</v>
      </c>
      <c r="F13" s="154">
        <v>0</v>
      </c>
      <c r="G13" s="439" t="s">
        <v>480</v>
      </c>
      <c r="H13" s="154">
        <v>0</v>
      </c>
      <c r="I13" s="154">
        <v>0</v>
      </c>
      <c r="J13" s="268">
        <v>-178.73133999999999</v>
      </c>
      <c r="K13" s="154">
        <v>0</v>
      </c>
      <c r="L13" s="154">
        <v>0</v>
      </c>
      <c r="M13" s="268">
        <v>0</v>
      </c>
      <c r="N13" s="154">
        <v>0</v>
      </c>
      <c r="O13" s="154">
        <v>0</v>
      </c>
      <c r="P13" s="268">
        <v>-93.363</v>
      </c>
      <c r="Q13" s="154">
        <v>210.33885000000001</v>
      </c>
      <c r="R13" s="154">
        <v>179</v>
      </c>
      <c r="S13" s="154">
        <f t="shared" si="0"/>
        <v>0</v>
      </c>
      <c r="T13" s="154">
        <f t="shared" si="1"/>
        <v>0</v>
      </c>
      <c r="U13" s="438" t="s">
        <v>634</v>
      </c>
      <c r="V13" s="51" t="s">
        <v>10</v>
      </c>
    </row>
    <row r="14" spans="1:29" x14ac:dyDescent="0.2">
      <c r="A14" s="371" t="s">
        <v>408</v>
      </c>
      <c r="B14" s="154">
        <v>0</v>
      </c>
      <c r="C14" s="154">
        <v>0</v>
      </c>
      <c r="D14" s="439" t="s">
        <v>614</v>
      </c>
      <c r="E14" s="154">
        <v>0</v>
      </c>
      <c r="F14" s="154">
        <v>0</v>
      </c>
      <c r="G14" s="439" t="s">
        <v>480</v>
      </c>
      <c r="H14" s="154">
        <v>0</v>
      </c>
      <c r="I14" s="154">
        <v>0</v>
      </c>
      <c r="J14" s="268">
        <v>-546.96475999999996</v>
      </c>
      <c r="K14" s="154">
        <v>0</v>
      </c>
      <c r="L14" s="154">
        <v>0</v>
      </c>
      <c r="M14" s="268">
        <v>0</v>
      </c>
      <c r="N14" s="154">
        <v>0</v>
      </c>
      <c r="O14" s="154">
        <v>0</v>
      </c>
      <c r="P14" s="268">
        <v>-186.726</v>
      </c>
      <c r="Q14" s="154">
        <v>17.805019999999999</v>
      </c>
      <c r="R14" s="154">
        <v>529</v>
      </c>
      <c r="S14" s="154">
        <f t="shared" si="0"/>
        <v>0</v>
      </c>
      <c r="T14" s="154">
        <f t="shared" si="1"/>
        <v>0</v>
      </c>
      <c r="U14" s="438" t="s">
        <v>633</v>
      </c>
      <c r="V14" s="51" t="s">
        <v>10</v>
      </c>
    </row>
    <row r="15" spans="1:29" ht="28.5" x14ac:dyDescent="0.2">
      <c r="A15" s="229" t="s">
        <v>405</v>
      </c>
      <c r="B15" s="154">
        <v>0</v>
      </c>
      <c r="C15" s="154">
        <v>0</v>
      </c>
      <c r="D15" s="154">
        <v>24482</v>
      </c>
      <c r="E15" s="154">
        <v>0</v>
      </c>
      <c r="F15" s="154">
        <v>0</v>
      </c>
      <c r="G15" s="154">
        <v>0</v>
      </c>
      <c r="H15" s="154">
        <v>0</v>
      </c>
      <c r="I15" s="154">
        <v>0</v>
      </c>
      <c r="J15" s="268">
        <f>-782.63893-0.165-12.08808</f>
        <v>-794.89200999999991</v>
      </c>
      <c r="K15" s="154">
        <v>0</v>
      </c>
      <c r="L15" s="154">
        <v>0</v>
      </c>
      <c r="M15" s="268">
        <v>-1141</v>
      </c>
      <c r="N15" s="154">
        <v>0</v>
      </c>
      <c r="O15" s="154">
        <v>0</v>
      </c>
      <c r="P15" s="268">
        <v>-466.81599999999997</v>
      </c>
      <c r="Q15" s="268">
        <f>73.86877-3.92652-602.18756</f>
        <v>-532.24531000000002</v>
      </c>
      <c r="R15" s="154">
        <v>1216</v>
      </c>
      <c r="S15" s="154">
        <f t="shared" si="0"/>
        <v>0</v>
      </c>
      <c r="T15" s="154">
        <f t="shared" si="1"/>
        <v>0</v>
      </c>
      <c r="U15" s="151">
        <f t="shared" si="2"/>
        <v>22763.046680000003</v>
      </c>
      <c r="V15" s="51" t="s">
        <v>10</v>
      </c>
    </row>
    <row r="16" spans="1:29" x14ac:dyDescent="0.2">
      <c r="A16" s="229" t="s">
        <v>403</v>
      </c>
      <c r="B16" s="154">
        <v>0</v>
      </c>
      <c r="C16" s="154">
        <v>0</v>
      </c>
      <c r="D16" s="154">
        <v>65611</v>
      </c>
      <c r="E16" s="154">
        <v>0</v>
      </c>
      <c r="F16" s="154">
        <v>0</v>
      </c>
      <c r="G16" s="154">
        <v>0</v>
      </c>
      <c r="H16" s="154">
        <v>0</v>
      </c>
      <c r="I16" s="154">
        <v>0</v>
      </c>
      <c r="J16" s="268">
        <v>0</v>
      </c>
      <c r="K16" s="154">
        <v>0</v>
      </c>
      <c r="L16" s="154">
        <v>0</v>
      </c>
      <c r="M16" s="268">
        <v>-3058</v>
      </c>
      <c r="N16" s="154">
        <v>0</v>
      </c>
      <c r="O16" s="154">
        <v>0</v>
      </c>
      <c r="P16" s="268">
        <v>-1251.068</v>
      </c>
      <c r="Q16" s="154">
        <v>0.27711000000000002</v>
      </c>
      <c r="R16" s="154">
        <v>0</v>
      </c>
      <c r="S16" s="154">
        <f t="shared" si="0"/>
        <v>0</v>
      </c>
      <c r="T16" s="154">
        <f t="shared" si="1"/>
        <v>0</v>
      </c>
      <c r="U16" s="151">
        <f t="shared" si="2"/>
        <v>61302.209110000003</v>
      </c>
      <c r="V16" s="51" t="s">
        <v>10</v>
      </c>
    </row>
    <row r="17" spans="1:22" ht="28.5" x14ac:dyDescent="0.2">
      <c r="A17" s="229" t="s">
        <v>390</v>
      </c>
      <c r="B17" s="154">
        <v>0</v>
      </c>
      <c r="C17" s="154">
        <v>0</v>
      </c>
      <c r="D17" s="154">
        <v>1959</v>
      </c>
      <c r="E17" s="154">
        <v>0</v>
      </c>
      <c r="F17" s="154">
        <v>0</v>
      </c>
      <c r="G17" s="154">
        <v>0</v>
      </c>
      <c r="H17" s="154">
        <v>0</v>
      </c>
      <c r="I17" s="154">
        <v>0</v>
      </c>
      <c r="J17" s="268">
        <v>0</v>
      </c>
      <c r="K17" s="154">
        <v>0</v>
      </c>
      <c r="L17" s="154">
        <v>0</v>
      </c>
      <c r="M17" s="268">
        <v>-91</v>
      </c>
      <c r="N17" s="154">
        <v>0</v>
      </c>
      <c r="O17" s="154">
        <v>0</v>
      </c>
      <c r="P17" s="268">
        <v>-37.344999999999999</v>
      </c>
      <c r="Q17" s="154">
        <v>6.0000000000000001E-3</v>
      </c>
      <c r="R17" s="154">
        <v>0</v>
      </c>
      <c r="S17" s="154">
        <f t="shared" si="0"/>
        <v>0</v>
      </c>
      <c r="T17" s="154">
        <f t="shared" si="1"/>
        <v>0</v>
      </c>
      <c r="U17" s="151">
        <f t="shared" si="2"/>
        <v>1830.6610000000001</v>
      </c>
      <c r="V17" s="51" t="s">
        <v>10</v>
      </c>
    </row>
    <row r="18" spans="1:22" x14ac:dyDescent="0.2">
      <c r="A18" s="229" t="s">
        <v>402</v>
      </c>
      <c r="B18" s="154">
        <v>0</v>
      </c>
      <c r="C18" s="154">
        <v>0</v>
      </c>
      <c r="D18" s="154">
        <v>43088</v>
      </c>
      <c r="E18" s="154">
        <v>0</v>
      </c>
      <c r="F18" s="154">
        <v>0</v>
      </c>
      <c r="G18" s="154">
        <v>0</v>
      </c>
      <c r="H18" s="154">
        <v>0</v>
      </c>
      <c r="I18" s="154">
        <v>0</v>
      </c>
      <c r="J18" s="268">
        <v>-543.73704999999995</v>
      </c>
      <c r="K18" s="154">
        <v>0</v>
      </c>
      <c r="L18" s="154">
        <v>0</v>
      </c>
      <c r="M18" s="268">
        <v>-2008</v>
      </c>
      <c r="N18" s="154">
        <v>0</v>
      </c>
      <c r="O18" s="154">
        <v>0</v>
      </c>
      <c r="P18" s="268">
        <f>-812.26-9.336</f>
        <v>-821.596</v>
      </c>
      <c r="Q18" s="154">
        <f>274.55235-16.5832</f>
        <v>257.96915000000001</v>
      </c>
      <c r="R18" s="154">
        <v>527</v>
      </c>
      <c r="S18" s="154">
        <f t="shared" si="0"/>
        <v>0</v>
      </c>
      <c r="T18" s="154">
        <f t="shared" si="1"/>
        <v>0</v>
      </c>
      <c r="U18" s="151">
        <f t="shared" si="2"/>
        <v>40499.636099999996</v>
      </c>
      <c r="V18" s="51" t="s">
        <v>10</v>
      </c>
    </row>
    <row r="19" spans="1:22" ht="28.5" x14ac:dyDescent="0.2">
      <c r="A19" s="371" t="s">
        <v>401</v>
      </c>
      <c r="B19" s="154">
        <v>0</v>
      </c>
      <c r="C19" s="154">
        <v>0</v>
      </c>
      <c r="D19" s="439" t="s">
        <v>607</v>
      </c>
      <c r="E19" s="154">
        <v>0</v>
      </c>
      <c r="F19" s="154">
        <v>0</v>
      </c>
      <c r="G19" s="439" t="s">
        <v>480</v>
      </c>
      <c r="H19" s="154">
        <v>0</v>
      </c>
      <c r="I19" s="154">
        <v>0</v>
      </c>
      <c r="J19" s="268">
        <v>0</v>
      </c>
      <c r="K19" s="154">
        <v>0</v>
      </c>
      <c r="L19" s="154">
        <v>0</v>
      </c>
      <c r="M19" s="268">
        <v>0</v>
      </c>
      <c r="N19" s="154">
        <v>0</v>
      </c>
      <c r="O19" s="154">
        <v>0</v>
      </c>
      <c r="P19" s="268">
        <v>-9.3360000000000003</v>
      </c>
      <c r="Q19" s="154">
        <v>0</v>
      </c>
      <c r="R19" s="154">
        <v>0</v>
      </c>
      <c r="S19" s="154">
        <f t="shared" si="0"/>
        <v>0</v>
      </c>
      <c r="T19" s="154">
        <f t="shared" si="1"/>
        <v>0</v>
      </c>
      <c r="U19" s="438" t="s">
        <v>608</v>
      </c>
      <c r="V19" s="51" t="s">
        <v>10</v>
      </c>
    </row>
    <row r="20" spans="1:22" ht="42.75" x14ac:dyDescent="0.2">
      <c r="A20" s="229" t="s">
        <v>388</v>
      </c>
      <c r="B20" s="154">
        <v>0</v>
      </c>
      <c r="C20" s="154">
        <v>0</v>
      </c>
      <c r="D20" s="154">
        <v>18605</v>
      </c>
      <c r="E20" s="154">
        <v>0</v>
      </c>
      <c r="F20" s="154">
        <v>0</v>
      </c>
      <c r="G20" s="154">
        <v>0</v>
      </c>
      <c r="H20" s="154">
        <v>0</v>
      </c>
      <c r="I20" s="154">
        <v>0</v>
      </c>
      <c r="J20" s="268">
        <v>-17.31504</v>
      </c>
      <c r="K20" s="154">
        <v>0</v>
      </c>
      <c r="L20" s="154">
        <v>0</v>
      </c>
      <c r="M20" s="268">
        <v>-867</v>
      </c>
      <c r="N20" s="154">
        <v>0</v>
      </c>
      <c r="O20" s="154">
        <v>0</v>
      </c>
      <c r="P20" s="268">
        <v>-354.78</v>
      </c>
      <c r="Q20" s="154">
        <v>0</v>
      </c>
      <c r="R20" s="154">
        <v>17</v>
      </c>
      <c r="S20" s="154">
        <f t="shared" si="0"/>
        <v>0</v>
      </c>
      <c r="T20" s="154">
        <f t="shared" si="1"/>
        <v>0</v>
      </c>
      <c r="U20" s="151">
        <f t="shared" si="2"/>
        <v>17382.90496</v>
      </c>
      <c r="V20" s="51" t="s">
        <v>10</v>
      </c>
    </row>
    <row r="21" spans="1:22" x14ac:dyDescent="0.2">
      <c r="A21" s="229" t="s">
        <v>387</v>
      </c>
      <c r="B21" s="154">
        <v>0</v>
      </c>
      <c r="C21" s="154">
        <v>0</v>
      </c>
      <c r="D21" s="154">
        <v>88134</v>
      </c>
      <c r="E21" s="154">
        <v>0</v>
      </c>
      <c r="F21" s="154">
        <v>0</v>
      </c>
      <c r="G21" s="154">
        <v>0</v>
      </c>
      <c r="H21" s="154">
        <v>0</v>
      </c>
      <c r="I21" s="154">
        <v>0</v>
      </c>
      <c r="J21" s="268">
        <v>-509.55516999999998</v>
      </c>
      <c r="K21" s="154">
        <v>0</v>
      </c>
      <c r="L21" s="154">
        <v>0</v>
      </c>
      <c r="M21" s="268">
        <v>-4107</v>
      </c>
      <c r="N21" s="154">
        <v>0</v>
      </c>
      <c r="O21" s="154">
        <v>0</v>
      </c>
      <c r="P21" s="268">
        <v>-1680.538</v>
      </c>
      <c r="Q21" s="154">
        <v>32.234409999999997</v>
      </c>
      <c r="R21" s="154">
        <v>510</v>
      </c>
      <c r="S21" s="154">
        <f t="shared" si="0"/>
        <v>0</v>
      </c>
      <c r="T21" s="154">
        <f t="shared" si="1"/>
        <v>0</v>
      </c>
      <c r="U21" s="151">
        <f t="shared" si="2"/>
        <v>82379.141239999997</v>
      </c>
      <c r="V21" s="51" t="s">
        <v>10</v>
      </c>
    </row>
    <row r="22" spans="1:22" x14ac:dyDescent="0.2">
      <c r="A22" s="229" t="s">
        <v>226</v>
      </c>
      <c r="B22" s="154">
        <v>0</v>
      </c>
      <c r="C22" s="154">
        <v>0</v>
      </c>
      <c r="D22" s="154">
        <v>0</v>
      </c>
      <c r="E22" s="154">
        <v>0</v>
      </c>
      <c r="F22" s="154">
        <v>0</v>
      </c>
      <c r="G22" s="154">
        <v>0</v>
      </c>
      <c r="H22" s="154">
        <v>0</v>
      </c>
      <c r="I22" s="154">
        <v>0</v>
      </c>
      <c r="J22" s="268">
        <f>-1691.76992-235.48938-2.31215-100-1.85555</f>
        <v>-2031.4269999999999</v>
      </c>
      <c r="K22" s="154">
        <v>0</v>
      </c>
      <c r="L22" s="154">
        <v>0</v>
      </c>
      <c r="M22" s="268">
        <v>0</v>
      </c>
      <c r="N22" s="154">
        <v>0</v>
      </c>
      <c r="O22" s="154">
        <v>0</v>
      </c>
      <c r="P22" s="268">
        <v>0</v>
      </c>
      <c r="Q22" s="154">
        <f>1440.23887+244.15959-63.6171+1084.77944-237.5</f>
        <v>2468.0608000000002</v>
      </c>
      <c r="R22" s="154">
        <v>2801</v>
      </c>
      <c r="S22" s="154">
        <f t="shared" si="0"/>
        <v>0</v>
      </c>
      <c r="T22" s="154">
        <f t="shared" si="1"/>
        <v>0</v>
      </c>
      <c r="U22" s="279">
        <f t="shared" si="2"/>
        <v>3237.6338000000005</v>
      </c>
      <c r="V22" s="51" t="s">
        <v>10</v>
      </c>
    </row>
    <row r="23" spans="1:22" ht="15" x14ac:dyDescent="0.25">
      <c r="A23" s="13" t="s">
        <v>98</v>
      </c>
      <c r="B23" s="118">
        <f>SUM(B9:B22)</f>
        <v>0</v>
      </c>
      <c r="C23" s="118">
        <f>SUM(C9:C22)</f>
        <v>0</v>
      </c>
      <c r="D23" s="118">
        <f>SUM(D9,D10,D11,D15,D16,D17,D18,D20,D21)</f>
        <v>273705</v>
      </c>
      <c r="E23" s="118">
        <f>SUM(E9:E22)</f>
        <v>0</v>
      </c>
      <c r="F23" s="118">
        <f>SUM(F9:F22)</f>
        <v>0</v>
      </c>
      <c r="G23" s="118">
        <f>SUM(G9,G10,G11,G15,G16,G17,G18,G20,G21)</f>
        <v>0</v>
      </c>
      <c r="H23" s="118">
        <f>SUM(H9:H22)</f>
        <v>0</v>
      </c>
      <c r="I23" s="118">
        <f>SUM(I9:I22)</f>
        <v>0</v>
      </c>
      <c r="J23" s="219">
        <f>SUM(J9:J22)-J11</f>
        <v>-5258.0396099999998</v>
      </c>
      <c r="K23" s="118">
        <f>SUM(K9:K22)</f>
        <v>0</v>
      </c>
      <c r="L23" s="118">
        <f>SUM(L9:L22)</f>
        <v>0</v>
      </c>
      <c r="M23" s="278">
        <f>SUM(M9,M10,M11,M15,M16,M17,M18,M20,M21)</f>
        <v>-12755</v>
      </c>
      <c r="N23" s="118">
        <f t="shared" ref="N23:T23" si="4">SUM(N9:N22)</f>
        <v>0</v>
      </c>
      <c r="O23" s="118">
        <f t="shared" si="4"/>
        <v>0</v>
      </c>
      <c r="P23" s="219">
        <f>SUM(P9:P22)-P11-P19</f>
        <v>-5219.0029999999988</v>
      </c>
      <c r="Q23" s="118">
        <f t="shared" ref="Q23:R23" si="5">SUM(Q9:Q22)-Q11</f>
        <v>2592.1906600000002</v>
      </c>
      <c r="R23" s="374">
        <f t="shared" si="5"/>
        <v>6414</v>
      </c>
      <c r="S23" s="118">
        <f t="shared" si="4"/>
        <v>0</v>
      </c>
      <c r="T23" s="118">
        <f t="shared" si="4"/>
        <v>0</v>
      </c>
      <c r="U23" s="119">
        <f>SUM(U9,U10,U11,U15,U16,U17,U18,U20,U21,U22)</f>
        <v>259479.14804999999</v>
      </c>
      <c r="V23" s="51" t="s">
        <v>10</v>
      </c>
    </row>
    <row r="24" spans="1:22" x14ac:dyDescent="0.2">
      <c r="A24" s="210" t="s">
        <v>13</v>
      </c>
      <c r="B24" s="209"/>
      <c r="C24" s="209">
        <v>0</v>
      </c>
      <c r="D24" s="209"/>
      <c r="E24" s="209"/>
      <c r="F24" s="209">
        <v>0</v>
      </c>
      <c r="G24" s="209"/>
      <c r="H24" s="209"/>
      <c r="I24" s="209">
        <v>0</v>
      </c>
      <c r="J24" s="209"/>
      <c r="K24" s="209"/>
      <c r="L24" s="209">
        <v>0</v>
      </c>
      <c r="M24" s="209"/>
      <c r="N24" s="209"/>
      <c r="O24" s="209">
        <v>0</v>
      </c>
      <c r="P24" s="209"/>
      <c r="Q24" s="209">
        <v>0</v>
      </c>
      <c r="R24" s="373"/>
      <c r="S24" s="209"/>
      <c r="T24" s="209">
        <f>C24+O24+I24</f>
        <v>0</v>
      </c>
      <c r="U24" s="208"/>
      <c r="V24" s="51" t="s">
        <v>10</v>
      </c>
    </row>
    <row r="25" spans="1:22" x14ac:dyDescent="0.2">
      <c r="A25" s="207" t="s">
        <v>99</v>
      </c>
      <c r="B25" s="154"/>
      <c r="C25" s="154">
        <f>C23+C24</f>
        <v>0</v>
      </c>
      <c r="D25" s="154"/>
      <c r="E25" s="154"/>
      <c r="F25" s="154">
        <f>F23+F24</f>
        <v>0</v>
      </c>
      <c r="G25" s="154"/>
      <c r="H25" s="154"/>
      <c r="I25" s="154">
        <f>I23+I24</f>
        <v>0</v>
      </c>
      <c r="J25" s="372"/>
      <c r="K25" s="154"/>
      <c r="L25" s="154">
        <f>L23+L24</f>
        <v>0</v>
      </c>
      <c r="M25" s="154"/>
      <c r="N25" s="154"/>
      <c r="O25" s="154">
        <f>O23+O24</f>
        <v>0</v>
      </c>
      <c r="P25" s="154"/>
      <c r="Q25" s="154">
        <v>0</v>
      </c>
      <c r="R25" s="372"/>
      <c r="S25" s="154"/>
      <c r="T25" s="209">
        <f>T23+T24</f>
        <v>0</v>
      </c>
      <c r="U25" s="151"/>
      <c r="V25" s="51" t="s">
        <v>10</v>
      </c>
    </row>
    <row r="26" spans="1:22" x14ac:dyDescent="0.2">
      <c r="A26" s="207"/>
      <c r="B26" s="154"/>
      <c r="C26" s="154"/>
      <c r="D26" s="154"/>
      <c r="E26" s="154"/>
      <c r="F26" s="154"/>
      <c r="G26" s="154"/>
      <c r="H26" s="154"/>
      <c r="I26" s="154"/>
      <c r="J26" s="154"/>
      <c r="K26" s="154"/>
      <c r="L26" s="154"/>
      <c r="M26" s="154"/>
      <c r="N26" s="154"/>
      <c r="O26" s="154"/>
      <c r="P26" s="154"/>
      <c r="Q26" s="154"/>
      <c r="R26" s="154"/>
      <c r="S26" s="154"/>
      <c r="T26" s="154"/>
      <c r="U26" s="151"/>
      <c r="V26" s="51" t="s">
        <v>10</v>
      </c>
    </row>
    <row r="27" spans="1:22" x14ac:dyDescent="0.2">
      <c r="A27" s="207" t="s">
        <v>14</v>
      </c>
      <c r="B27" s="154"/>
      <c r="C27" s="154"/>
      <c r="D27" s="154"/>
      <c r="E27" s="154"/>
      <c r="F27" s="154"/>
      <c r="G27" s="154"/>
      <c r="H27" s="154"/>
      <c r="I27" s="154"/>
      <c r="J27" s="154"/>
      <c r="K27" s="154"/>
      <c r="L27" s="154"/>
      <c r="M27" s="154"/>
      <c r="N27" s="154"/>
      <c r="O27" s="154"/>
      <c r="P27" s="154"/>
      <c r="Q27" s="154"/>
      <c r="R27" s="154"/>
      <c r="S27" s="154"/>
      <c r="T27" s="154"/>
      <c r="U27" s="151"/>
      <c r="V27" s="51" t="s">
        <v>10</v>
      </c>
    </row>
    <row r="28" spans="1:22" x14ac:dyDescent="0.2">
      <c r="A28" s="206" t="s">
        <v>15</v>
      </c>
      <c r="B28" s="154"/>
      <c r="C28" s="154">
        <v>0</v>
      </c>
      <c r="D28" s="154"/>
      <c r="E28" s="154"/>
      <c r="F28" s="154">
        <v>0</v>
      </c>
      <c r="G28" s="154"/>
      <c r="H28" s="154"/>
      <c r="I28" s="154">
        <v>0</v>
      </c>
      <c r="J28" s="154"/>
      <c r="K28" s="154"/>
      <c r="L28" s="154">
        <v>0</v>
      </c>
      <c r="M28" s="154"/>
      <c r="N28" s="154"/>
      <c r="O28" s="154">
        <v>0</v>
      </c>
      <c r="P28" s="154"/>
      <c r="Q28" s="154"/>
      <c r="R28" s="154"/>
      <c r="S28" s="154"/>
      <c r="T28" s="154">
        <f>C28+O28+I28</f>
        <v>0</v>
      </c>
      <c r="U28" s="151"/>
      <c r="V28" s="51" t="s">
        <v>10</v>
      </c>
    </row>
    <row r="29" spans="1:22" x14ac:dyDescent="0.2">
      <c r="A29" s="205" t="s">
        <v>16</v>
      </c>
      <c r="B29" s="204"/>
      <c r="C29" s="204">
        <v>0</v>
      </c>
      <c r="D29" s="204"/>
      <c r="E29" s="204"/>
      <c r="F29" s="204">
        <v>0</v>
      </c>
      <c r="G29" s="204"/>
      <c r="H29" s="204"/>
      <c r="I29" s="204">
        <v>0</v>
      </c>
      <c r="J29" s="204"/>
      <c r="K29" s="204"/>
      <c r="L29" s="204">
        <v>0</v>
      </c>
      <c r="M29" s="204"/>
      <c r="N29" s="204"/>
      <c r="O29" s="204">
        <v>0</v>
      </c>
      <c r="P29" s="204"/>
      <c r="Q29" s="204"/>
      <c r="R29" s="204"/>
      <c r="S29" s="204"/>
      <c r="T29" s="154">
        <f>C29+O29+I28</f>
        <v>0</v>
      </c>
      <c r="U29" s="203"/>
      <c r="V29" s="51" t="s">
        <v>10</v>
      </c>
    </row>
    <row r="30" spans="1:22" ht="15" thickBot="1" x14ac:dyDescent="0.25">
      <c r="A30" s="202" t="s">
        <v>100</v>
      </c>
      <c r="B30" s="201"/>
      <c r="C30" s="201">
        <f>C25+C28+C29</f>
        <v>0</v>
      </c>
      <c r="D30" s="201"/>
      <c r="E30" s="201"/>
      <c r="F30" s="201">
        <f>F25+F28+F29</f>
        <v>0</v>
      </c>
      <c r="G30" s="201"/>
      <c r="H30" s="201"/>
      <c r="I30" s="201">
        <f>I25+I28+I29</f>
        <v>0</v>
      </c>
      <c r="J30" s="201"/>
      <c r="K30" s="201"/>
      <c r="L30" s="201">
        <f>L25+L28+L29</f>
        <v>0</v>
      </c>
      <c r="M30" s="201"/>
      <c r="N30" s="201"/>
      <c r="O30" s="201">
        <f>O25+O28+O29</f>
        <v>0</v>
      </c>
      <c r="P30" s="201"/>
      <c r="Q30" s="201"/>
      <c r="R30" s="201"/>
      <c r="S30" s="201"/>
      <c r="T30" s="201">
        <f>SUM(T25,T28:T29)</f>
        <v>0</v>
      </c>
      <c r="U30" s="200"/>
      <c r="V30" s="51" t="s">
        <v>10</v>
      </c>
    </row>
    <row r="31" spans="1:22" ht="15" x14ac:dyDescent="0.25">
      <c r="A31" s="170" t="s">
        <v>138</v>
      </c>
      <c r="B31" s="277"/>
      <c r="C31" s="277"/>
      <c r="D31" s="277"/>
      <c r="E31" s="277"/>
      <c r="F31" s="277"/>
      <c r="G31" s="277"/>
      <c r="H31" s="277"/>
      <c r="I31" s="277"/>
      <c r="J31" s="277"/>
      <c r="K31" s="277"/>
      <c r="L31" s="277"/>
      <c r="M31" s="277"/>
      <c r="N31" s="277"/>
      <c r="O31" s="277"/>
      <c r="P31" s="277"/>
      <c r="Q31" s="277"/>
      <c r="R31" s="277"/>
      <c r="S31" s="277"/>
      <c r="T31" s="277"/>
      <c r="U31" s="277"/>
      <c r="V31" s="51"/>
    </row>
    <row r="32" spans="1:22" x14ac:dyDescent="0.2">
      <c r="A32" s="614" t="s">
        <v>140</v>
      </c>
      <c r="B32" s="614"/>
      <c r="C32" s="614"/>
      <c r="D32" s="614"/>
      <c r="E32" s="614"/>
      <c r="F32" s="614"/>
      <c r="G32" s="614"/>
      <c r="H32" s="614"/>
      <c r="I32" s="614"/>
      <c r="J32" s="614"/>
      <c r="K32" s="614"/>
      <c r="L32" s="614"/>
      <c r="M32" s="614"/>
      <c r="N32" s="614"/>
      <c r="O32" s="614"/>
      <c r="P32" s="614"/>
      <c r="Q32" s="614"/>
      <c r="R32" s="614"/>
      <c r="S32" s="614"/>
      <c r="T32" s="614"/>
      <c r="U32" s="614"/>
      <c r="V32" s="51" t="s">
        <v>10</v>
      </c>
    </row>
    <row r="33" spans="1:22" x14ac:dyDescent="0.2">
      <c r="V33" s="51"/>
    </row>
    <row r="34" spans="1:22" ht="15" x14ac:dyDescent="0.25">
      <c r="A34" s="5" t="s">
        <v>27</v>
      </c>
      <c r="V34" s="51" t="s">
        <v>10</v>
      </c>
    </row>
    <row r="35" spans="1:22" x14ac:dyDescent="0.2">
      <c r="A35" s="616" t="s">
        <v>416</v>
      </c>
      <c r="B35" s="616"/>
      <c r="C35" s="616"/>
      <c r="D35" s="616"/>
      <c r="E35" s="616"/>
      <c r="F35" s="616"/>
      <c r="G35" s="616"/>
      <c r="H35" s="616"/>
      <c r="I35" s="616"/>
      <c r="J35" s="616"/>
      <c r="K35" s="616"/>
      <c r="L35" s="616"/>
      <c r="M35" s="616"/>
      <c r="N35" s="616"/>
      <c r="O35" s="616"/>
      <c r="P35" s="616"/>
      <c r="Q35" s="616"/>
      <c r="R35" s="616"/>
      <c r="S35" s="616"/>
      <c r="T35" s="616"/>
      <c r="U35" s="616"/>
      <c r="V35" s="51" t="s">
        <v>10</v>
      </c>
    </row>
    <row r="36" spans="1:22" x14ac:dyDescent="0.2">
      <c r="A36" s="635"/>
      <c r="B36" s="635"/>
      <c r="C36" s="635"/>
      <c r="D36" s="635"/>
      <c r="E36" s="635"/>
      <c r="F36" s="635"/>
      <c r="G36" s="635"/>
      <c r="H36" s="635"/>
      <c r="I36" s="635"/>
      <c r="J36" s="635"/>
      <c r="K36" s="635"/>
      <c r="L36" s="635"/>
      <c r="M36" s="635"/>
      <c r="N36" s="635"/>
      <c r="O36" s="635"/>
      <c r="P36" s="635"/>
      <c r="Q36" s="635"/>
      <c r="R36" s="635"/>
      <c r="S36" s="635"/>
      <c r="T36" s="635"/>
      <c r="U36" s="635"/>
      <c r="V36" s="51" t="s">
        <v>10</v>
      </c>
    </row>
    <row r="37" spans="1:22" ht="15" x14ac:dyDescent="0.25">
      <c r="A37" s="5" t="s">
        <v>113</v>
      </c>
      <c r="V37" s="51" t="s">
        <v>10</v>
      </c>
    </row>
    <row r="38" spans="1:22" x14ac:dyDescent="0.2">
      <c r="A38" s="616" t="s">
        <v>415</v>
      </c>
      <c r="B38" s="616"/>
      <c r="C38" s="616"/>
      <c r="D38" s="616"/>
      <c r="E38" s="616"/>
      <c r="F38" s="616"/>
      <c r="G38" s="616"/>
      <c r="H38" s="616"/>
      <c r="I38" s="616"/>
      <c r="J38" s="616"/>
      <c r="K38" s="616"/>
      <c r="L38" s="616"/>
      <c r="M38" s="616"/>
      <c r="N38" s="616"/>
      <c r="O38" s="616"/>
      <c r="P38" s="616"/>
      <c r="Q38" s="616"/>
      <c r="R38" s="616"/>
      <c r="S38" s="616"/>
      <c r="T38" s="616"/>
      <c r="U38" s="616"/>
      <c r="V38" s="51" t="s">
        <v>10</v>
      </c>
    </row>
    <row r="39" spans="1:22" x14ac:dyDescent="0.2">
      <c r="A39" s="635"/>
      <c r="B39" s="635"/>
      <c r="C39" s="635"/>
      <c r="D39" s="635"/>
      <c r="E39" s="635"/>
      <c r="F39" s="635"/>
      <c r="G39" s="635"/>
      <c r="H39" s="635"/>
      <c r="I39" s="635"/>
      <c r="J39" s="635"/>
      <c r="K39" s="635"/>
      <c r="L39" s="635"/>
      <c r="M39" s="635"/>
      <c r="N39" s="635"/>
      <c r="O39" s="635"/>
      <c r="P39" s="635"/>
      <c r="Q39" s="635"/>
      <c r="R39" s="635"/>
      <c r="S39" s="635"/>
      <c r="T39" s="635"/>
      <c r="U39" s="635"/>
      <c r="V39" s="51" t="s">
        <v>10</v>
      </c>
    </row>
    <row r="40" spans="1:22" ht="15" x14ac:dyDescent="0.25">
      <c r="A40" s="5" t="s">
        <v>114</v>
      </c>
      <c r="V40" s="51" t="s">
        <v>10</v>
      </c>
    </row>
    <row r="41" spans="1:22" x14ac:dyDescent="0.2">
      <c r="A41" s="616" t="s">
        <v>499</v>
      </c>
      <c r="B41" s="616"/>
      <c r="C41" s="616"/>
      <c r="D41" s="616"/>
      <c r="E41" s="616"/>
      <c r="F41" s="616"/>
      <c r="G41" s="616"/>
      <c r="H41" s="616"/>
      <c r="I41" s="616"/>
      <c r="J41" s="616"/>
      <c r="K41" s="616"/>
      <c r="L41" s="616"/>
      <c r="M41" s="616"/>
      <c r="N41" s="616"/>
      <c r="O41" s="616"/>
      <c r="P41" s="616"/>
      <c r="Q41" s="616"/>
      <c r="R41" s="616"/>
      <c r="S41" s="616"/>
      <c r="T41" s="616"/>
      <c r="U41" s="616"/>
      <c r="V41" s="51" t="s">
        <v>10</v>
      </c>
    </row>
    <row r="42" spans="1:22" x14ac:dyDescent="0.2">
      <c r="A42" s="635"/>
      <c r="B42" s="635"/>
      <c r="C42" s="635"/>
      <c r="D42" s="635"/>
      <c r="E42" s="635"/>
      <c r="F42" s="635"/>
      <c r="G42" s="635"/>
      <c r="H42" s="635"/>
      <c r="I42" s="635"/>
      <c r="J42" s="635"/>
      <c r="K42" s="635"/>
      <c r="L42" s="635"/>
      <c r="M42" s="635"/>
      <c r="N42" s="635"/>
      <c r="O42" s="635"/>
      <c r="P42" s="635"/>
      <c r="Q42" s="635"/>
      <c r="R42" s="635"/>
      <c r="S42" s="635"/>
      <c r="T42" s="635"/>
      <c r="U42" s="635"/>
      <c r="V42" s="51" t="s">
        <v>10</v>
      </c>
    </row>
    <row r="43" spans="1:22" x14ac:dyDescent="0.2">
      <c r="A43" s="143" t="s">
        <v>414</v>
      </c>
      <c r="V43" s="51" t="s">
        <v>10</v>
      </c>
    </row>
    <row r="44" spans="1:22" x14ac:dyDescent="0.2">
      <c r="V44" s="4" t="s">
        <v>11</v>
      </c>
    </row>
  </sheetData>
  <customSheetViews>
    <customSheetView guid="{EE916FE7-61FB-4021-ADDD-E082241FC03C}" scale="71" showPageBreaks="1" printArea="1" view="pageBreakPreview">
      <selection activeCell="U25" sqref="U25"/>
      <pageMargins left="0.7" right="0.7" top="0.64" bottom="0.61" header="0.3" footer="0.3"/>
      <printOptions horizontalCentered="1"/>
      <pageSetup scale="53" orientation="landscape" r:id="rId1"/>
      <headerFooter>
        <oddHeader>&amp;L&amp;"Arial,Bold"&amp;12F. Crosswalk of 2013 Availability</oddHeader>
        <oddFooter>&amp;C&amp;"Arial,Regular"Exhibit F - Crosswalk of 2013 Availability&amp;R&amp;"Arial,Regular"Juvenile Justice Programs</oddFooter>
      </headerFooter>
    </customSheetView>
    <customSheetView guid="{0BB5DC4B-BC2A-4489-BE17-5E267FA1EF63}" scale="71" showPageBreaks="1" printArea="1" view="pageBreakPreview">
      <selection activeCell="U25" sqref="U25"/>
      <pageMargins left="0.7" right="0.7" top="0.64" bottom="0.61" header="0.3" footer="0.3"/>
      <printOptions horizontalCentered="1"/>
      <pageSetup scale="53" orientation="landscape" r:id="rId2"/>
      <headerFooter>
        <oddHeader>&amp;L&amp;"Arial,Bold"&amp;12F. Crosswalk of 2013 Availability</oddHeader>
        <oddFooter>&amp;C&amp;"Arial,Regular"Exhibit F - Crosswalk of 2013 Availability&amp;R&amp;"Arial,Regular"Juvenile Justice Programs</oddFooter>
      </headerFooter>
    </customSheetView>
    <customSheetView guid="{6C58FFE1-D756-42C4-A1BC-AA7F1DC1E56F}" scale="71" showPageBreaks="1" printArea="1" view="pageBreakPreview">
      <selection activeCell="A42" sqref="A42:U42"/>
      <pageMargins left="0.7" right="0.7" top="0.64" bottom="0.61" header="0.3" footer="0.3"/>
      <printOptions horizontalCentered="1"/>
      <pageSetup scale="53" orientation="landscape" r:id="rId3"/>
      <headerFooter>
        <oddHeader>&amp;L&amp;"Arial,Bold"&amp;12F. Crosswalk of 2013 Availability</oddHeader>
        <oddFooter>&amp;C&amp;"Arial,Regular"Exhibit F - Crosswalk of 2013 Availability&amp;R&amp;"Arial,Regular"Juvenile Justice Programs</oddFooter>
      </headerFooter>
    </customSheetView>
    <customSheetView guid="{CFA5D1C9-F4C9-4B8D-923D-4C71CB6E7D3B}" scale="71" showPageBreaks="1" printArea="1" view="pageBreakPreview">
      <selection activeCell="U25" sqref="U25"/>
      <pageMargins left="0.7" right="0.7" top="0.64" bottom="0.61" header="0.3" footer="0.3"/>
      <printOptions horizontalCentered="1"/>
      <pageSetup scale="53" orientation="landscape" r:id="rId4"/>
      <headerFooter>
        <oddHeader>&amp;L&amp;"Arial,Bold"&amp;12F. Crosswalk of 2013 Availability</oddHeader>
        <oddFooter>&amp;C&amp;"Arial,Regular"Exhibit F - Crosswalk of 2013 Availability&amp;R&amp;"Arial,Regular"Juvenile Justice Programs</oddFooter>
      </headerFooter>
    </customSheetView>
    <customSheetView guid="{A788DF77-74F1-49E4-8B34-BFBDB7664F30}" scale="71" showPageBreaks="1" printArea="1" view="pageBreakPreview">
      <selection activeCell="A42" sqref="A42:U42"/>
      <pageMargins left="0.7" right="0.7" top="0.64" bottom="0.61" header="0.3" footer="0.3"/>
      <printOptions horizontalCentered="1"/>
      <pageSetup scale="53" orientation="landscape" r:id="rId5"/>
      <headerFooter>
        <oddHeader>&amp;L&amp;"Arial,Bold"&amp;12F. Crosswalk of 2013 Availability</oddHeader>
        <oddFooter>&amp;C&amp;"Arial,Regular"Exhibit F - Crosswalk of 2013 Availability&amp;R&amp;"Arial,Regular"Juvenile Justice Programs</oddFooter>
      </headerFooter>
    </customSheetView>
  </customSheetViews>
  <mergeCells count="18">
    <mergeCell ref="A1:U1"/>
    <mergeCell ref="A2:U2"/>
    <mergeCell ref="A3:U3"/>
    <mergeCell ref="A4:U4"/>
    <mergeCell ref="H7:J7"/>
    <mergeCell ref="K7:M7"/>
    <mergeCell ref="E7:G7"/>
    <mergeCell ref="A7:A8"/>
    <mergeCell ref="B7:D7"/>
    <mergeCell ref="N7:P7"/>
    <mergeCell ref="S7:U7"/>
    <mergeCell ref="A32:U32"/>
    <mergeCell ref="A42:U42"/>
    <mergeCell ref="A35:U35"/>
    <mergeCell ref="A36:U36"/>
    <mergeCell ref="A38:U38"/>
    <mergeCell ref="A39:U39"/>
    <mergeCell ref="A41:U41"/>
  </mergeCells>
  <printOptions horizontalCentered="1"/>
  <pageMargins left="0.5" right="0.5" top="0.5" bottom="0.5" header="0.3" footer="0.3"/>
  <pageSetup scale="62" orientation="landscape" r:id="rId6"/>
  <headerFooter>
    <oddHeader>&amp;L&amp;"Arial,Bold"&amp;12F. Crosswalk of 2013 Availability</oddHeader>
    <oddFooter>&amp;C&amp;"Arial,Regular"Exhibit F - Crosswalk of 2013 Availability&amp;R&amp;"Arial,Regular"Juvenile Justice Programs</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view="pageBreakPreview" topLeftCell="A13" zoomScale="110" zoomScaleNormal="100" zoomScaleSheetLayoutView="110" workbookViewId="0">
      <selection activeCell="N21" sqref="N21"/>
    </sheetView>
  </sheetViews>
  <sheetFormatPr defaultRowHeight="14.25" x14ac:dyDescent="0.2"/>
  <cols>
    <col min="1" max="1" width="37.140625" style="143" customWidth="1"/>
    <col min="2" max="3" width="8.28515625" style="143" customWidth="1"/>
    <col min="4" max="4" width="12.7109375" style="143" customWidth="1"/>
    <col min="5" max="5" width="15" style="143" customWidth="1"/>
    <col min="6" max="6" width="8.28515625" style="143" customWidth="1"/>
    <col min="7" max="7" width="9.85546875" style="143" customWidth="1"/>
    <col min="8" max="10" width="12.7109375" style="143" customWidth="1"/>
    <col min="11" max="11" width="8.28515625" style="143" customWidth="1"/>
    <col min="12" max="12" width="9.85546875" style="143" customWidth="1"/>
    <col min="13" max="13" width="17" style="143" customWidth="1"/>
    <col min="14" max="14" width="14" style="4" bestFit="1" customWidth="1"/>
    <col min="15" max="15" width="4.5703125" style="143" customWidth="1"/>
    <col min="16" max="17" width="8.28515625" style="143" customWidth="1"/>
    <col min="18" max="18" width="12.7109375" style="143" customWidth="1"/>
    <col min="19" max="20" width="8.28515625" style="143" customWidth="1"/>
    <col min="21" max="21" width="12.7109375" style="143" customWidth="1"/>
    <col min="22" max="16384" width="9.140625" style="143"/>
  </cols>
  <sheetData>
    <row r="1" spans="1:21" ht="18" x14ac:dyDescent="0.25">
      <c r="A1" s="577" t="s">
        <v>134</v>
      </c>
      <c r="B1" s="577"/>
      <c r="C1" s="577"/>
      <c r="D1" s="577"/>
      <c r="E1" s="577"/>
      <c r="F1" s="577"/>
      <c r="G1" s="577"/>
      <c r="H1" s="577"/>
      <c r="I1" s="577"/>
      <c r="J1" s="577"/>
      <c r="K1" s="577"/>
      <c r="L1" s="577"/>
      <c r="M1" s="577"/>
      <c r="N1" s="51" t="s">
        <v>10</v>
      </c>
      <c r="O1" s="6"/>
      <c r="P1" s="6"/>
      <c r="Q1" s="6"/>
      <c r="R1" s="6"/>
      <c r="S1" s="6"/>
      <c r="T1" s="6"/>
      <c r="U1" s="6"/>
    </row>
    <row r="2" spans="1:21" ht="15" x14ac:dyDescent="0.2">
      <c r="A2" s="578" t="s">
        <v>152</v>
      </c>
      <c r="B2" s="578"/>
      <c r="C2" s="578"/>
      <c r="D2" s="578"/>
      <c r="E2" s="578"/>
      <c r="F2" s="578"/>
      <c r="G2" s="578"/>
      <c r="H2" s="578"/>
      <c r="I2" s="578"/>
      <c r="J2" s="578"/>
      <c r="K2" s="578"/>
      <c r="L2" s="578"/>
      <c r="M2" s="578"/>
      <c r="N2" s="51" t="s">
        <v>10</v>
      </c>
      <c r="O2" s="7"/>
      <c r="P2" s="7"/>
      <c r="Q2" s="7"/>
      <c r="R2" s="7"/>
      <c r="S2" s="7"/>
      <c r="T2" s="7"/>
      <c r="U2" s="7"/>
    </row>
    <row r="3" spans="1:21" x14ac:dyDescent="0.2">
      <c r="A3" s="579" t="s">
        <v>399</v>
      </c>
      <c r="B3" s="579"/>
      <c r="C3" s="579"/>
      <c r="D3" s="579"/>
      <c r="E3" s="579"/>
      <c r="F3" s="579"/>
      <c r="G3" s="579"/>
      <c r="H3" s="579"/>
      <c r="I3" s="579"/>
      <c r="J3" s="579"/>
      <c r="K3" s="579"/>
      <c r="L3" s="579"/>
      <c r="M3" s="579"/>
      <c r="N3" s="51" t="s">
        <v>10</v>
      </c>
      <c r="O3" s="163"/>
      <c r="P3" s="163"/>
      <c r="Q3" s="163"/>
      <c r="R3" s="163"/>
      <c r="S3" s="163"/>
      <c r="T3" s="163"/>
      <c r="U3" s="163"/>
    </row>
    <row r="4" spans="1:21" x14ac:dyDescent="0.2">
      <c r="A4" s="655" t="s">
        <v>1</v>
      </c>
      <c r="B4" s="655"/>
      <c r="C4" s="655"/>
      <c r="D4" s="655"/>
      <c r="E4" s="655"/>
      <c r="F4" s="655"/>
      <c r="G4" s="655"/>
      <c r="H4" s="655"/>
      <c r="I4" s="655"/>
      <c r="J4" s="655"/>
      <c r="K4" s="655"/>
      <c r="L4" s="655"/>
      <c r="M4" s="655"/>
      <c r="N4" s="51" t="s">
        <v>10</v>
      </c>
      <c r="O4" s="162"/>
      <c r="P4" s="162"/>
      <c r="Q4" s="162"/>
      <c r="R4" s="162"/>
      <c r="S4" s="162"/>
      <c r="T4" s="162"/>
      <c r="U4" s="162"/>
    </row>
    <row r="5" spans="1:21" x14ac:dyDescent="0.2">
      <c r="A5" s="162"/>
      <c r="B5" s="162"/>
      <c r="C5" s="162"/>
      <c r="D5" s="162"/>
      <c r="E5" s="162"/>
      <c r="F5" s="162"/>
      <c r="G5" s="162"/>
      <c r="H5" s="162"/>
      <c r="I5" s="162"/>
      <c r="J5" s="162"/>
      <c r="K5" s="162"/>
      <c r="L5" s="162"/>
      <c r="M5" s="51" t="s">
        <v>10</v>
      </c>
      <c r="N5" s="51"/>
      <c r="O5" s="162"/>
      <c r="P5" s="162"/>
      <c r="Q5" s="162"/>
      <c r="R5" s="162"/>
      <c r="S5" s="162"/>
      <c r="T5" s="162"/>
      <c r="U5" s="162"/>
    </row>
    <row r="6" spans="1:21" ht="15" thickBot="1" x14ac:dyDescent="0.25">
      <c r="A6" s="287"/>
      <c r="B6" s="287"/>
      <c r="C6" s="287"/>
      <c r="D6" s="287"/>
      <c r="E6" s="287"/>
      <c r="F6" s="287"/>
      <c r="G6" s="287"/>
      <c r="H6" s="287"/>
      <c r="I6" s="287"/>
      <c r="J6" s="287"/>
      <c r="K6" s="287"/>
      <c r="L6" s="287"/>
      <c r="M6" s="51" t="s">
        <v>10</v>
      </c>
      <c r="N6" s="51"/>
      <c r="O6" s="162"/>
      <c r="P6" s="162"/>
      <c r="Q6" s="162"/>
      <c r="R6" s="162"/>
      <c r="S6" s="162"/>
      <c r="T6" s="162"/>
      <c r="U6" s="162"/>
    </row>
    <row r="7" spans="1:21" ht="47.25" customHeight="1" x14ac:dyDescent="0.25">
      <c r="A7" s="585" t="s">
        <v>101</v>
      </c>
      <c r="B7" s="588" t="s">
        <v>150</v>
      </c>
      <c r="C7" s="588"/>
      <c r="D7" s="588"/>
      <c r="E7" s="588" t="s">
        <v>27</v>
      </c>
      <c r="F7" s="588"/>
      <c r="G7" s="588"/>
      <c r="H7" s="180" t="s">
        <v>28</v>
      </c>
      <c r="I7" s="180" t="s">
        <v>104</v>
      </c>
      <c r="J7" s="588" t="s">
        <v>135</v>
      </c>
      <c r="K7" s="588"/>
      <c r="L7" s="589"/>
      <c r="M7" s="51" t="s">
        <v>10</v>
      </c>
      <c r="N7" s="143"/>
      <c r="O7" s="5"/>
    </row>
    <row r="8" spans="1:21" ht="28.5" x14ac:dyDescent="0.25">
      <c r="A8" s="586"/>
      <c r="B8" s="235" t="s">
        <v>2</v>
      </c>
      <c r="C8" s="235" t="s">
        <v>96</v>
      </c>
      <c r="D8" s="235" t="s">
        <v>3</v>
      </c>
      <c r="E8" s="235" t="s">
        <v>2</v>
      </c>
      <c r="F8" s="235" t="s">
        <v>96</v>
      </c>
      <c r="G8" s="235" t="s">
        <v>3</v>
      </c>
      <c r="H8" s="235" t="s">
        <v>3</v>
      </c>
      <c r="I8" s="235" t="s">
        <v>3</v>
      </c>
      <c r="J8" s="235" t="s">
        <v>2</v>
      </c>
      <c r="K8" s="235" t="s">
        <v>96</v>
      </c>
      <c r="L8" s="234" t="s">
        <v>3</v>
      </c>
      <c r="M8" s="51" t="s">
        <v>10</v>
      </c>
      <c r="N8" s="143"/>
      <c r="O8" s="5"/>
    </row>
    <row r="9" spans="1:21" ht="42.75" x14ac:dyDescent="0.2">
      <c r="A9" s="178" t="str">
        <f>'B. Summ of Req. by DU - JJ'!A9</f>
        <v xml:space="preserve">Child Abuse Training Programs for Judicial Personnel and Practitioners </v>
      </c>
      <c r="B9" s="217">
        <v>0</v>
      </c>
      <c r="C9" s="217">
        <v>0</v>
      </c>
      <c r="D9" s="217">
        <v>1500</v>
      </c>
      <c r="E9" s="217">
        <v>0</v>
      </c>
      <c r="F9" s="217">
        <v>0</v>
      </c>
      <c r="G9" s="217">
        <v>0</v>
      </c>
      <c r="H9" s="217">
        <v>0.63936000000000004</v>
      </c>
      <c r="I9" s="217">
        <v>0</v>
      </c>
      <c r="J9" s="217">
        <f t="shared" ref="J9:J26" si="0">B9+E9</f>
        <v>0</v>
      </c>
      <c r="K9" s="217">
        <f t="shared" ref="K9:K26" si="1">C9+F9</f>
        <v>0</v>
      </c>
      <c r="L9" s="286">
        <f t="shared" ref="L9:L28" si="2">D9+G9+H9+I9</f>
        <v>1500.6393599999999</v>
      </c>
      <c r="M9" s="51" t="s">
        <v>10</v>
      </c>
      <c r="N9" s="143"/>
      <c r="O9" s="284"/>
    </row>
    <row r="10" spans="1:21" ht="28.5" x14ac:dyDescent="0.2">
      <c r="A10" s="229" t="str">
        <f>'B. Summ of Req. by DU - JJ'!A10</f>
        <v xml:space="preserve">Children of Incarcerated Parents (COIP) Web Portal </v>
      </c>
      <c r="B10" s="154">
        <v>0</v>
      </c>
      <c r="C10" s="154">
        <v>0</v>
      </c>
      <c r="D10" s="154">
        <v>500</v>
      </c>
      <c r="E10" s="154">
        <v>0</v>
      </c>
      <c r="F10" s="154">
        <v>0</v>
      </c>
      <c r="G10" s="154">
        <v>0</v>
      </c>
      <c r="H10" s="154">
        <v>0</v>
      </c>
      <c r="I10" s="154">
        <v>0</v>
      </c>
      <c r="J10" s="154">
        <f t="shared" si="0"/>
        <v>0</v>
      </c>
      <c r="K10" s="154">
        <f t="shared" si="1"/>
        <v>0</v>
      </c>
      <c r="L10" s="151">
        <f t="shared" si="2"/>
        <v>500</v>
      </c>
      <c r="M10" s="51" t="s">
        <v>10</v>
      </c>
      <c r="N10" s="143"/>
      <c r="O10" s="284"/>
    </row>
    <row r="11" spans="1:21" ht="28.5" x14ac:dyDescent="0.2">
      <c r="A11" s="229" t="str">
        <f>'B. Summ of Req. by DU - JJ'!A11</f>
        <v>Community-Based Violence Prevention Initiative</v>
      </c>
      <c r="B11" s="154">
        <v>0</v>
      </c>
      <c r="C11" s="154">
        <v>0</v>
      </c>
      <c r="D11" s="154">
        <v>5500</v>
      </c>
      <c r="E11" s="154">
        <v>0</v>
      </c>
      <c r="F11" s="154">
        <v>0</v>
      </c>
      <c r="G11" s="154">
        <v>0</v>
      </c>
      <c r="H11" s="154">
        <v>0</v>
      </c>
      <c r="I11" s="154">
        <v>0</v>
      </c>
      <c r="J11" s="154">
        <f t="shared" si="0"/>
        <v>0</v>
      </c>
      <c r="K11" s="154">
        <f t="shared" si="1"/>
        <v>0</v>
      </c>
      <c r="L11" s="151">
        <f t="shared" si="2"/>
        <v>5500</v>
      </c>
      <c r="M11" s="51" t="s">
        <v>10</v>
      </c>
      <c r="N11" s="143"/>
      <c r="O11" s="284"/>
    </row>
    <row r="12" spans="1:21" ht="57" x14ac:dyDescent="0.2">
      <c r="A12" s="229" t="str">
        <f>'B. Summ of Req. by DU - JJ'!A12</f>
        <v>Delinquency Prevention Program (formerly Title V: Local Delinquency Prevention Incentive Grants)</v>
      </c>
      <c r="B12" s="154">
        <v>0</v>
      </c>
      <c r="C12" s="154">
        <v>0</v>
      </c>
      <c r="D12" s="154">
        <v>15000</v>
      </c>
      <c r="E12" s="154">
        <v>0</v>
      </c>
      <c r="F12" s="154">
        <v>0</v>
      </c>
      <c r="G12" s="154">
        <v>0</v>
      </c>
      <c r="H12" s="154">
        <v>0</v>
      </c>
      <c r="I12" s="154">
        <v>0</v>
      </c>
      <c r="J12" s="154">
        <f t="shared" si="0"/>
        <v>0</v>
      </c>
      <c r="K12" s="154">
        <f t="shared" si="1"/>
        <v>0</v>
      </c>
      <c r="L12" s="151">
        <f t="shared" si="2"/>
        <v>15000</v>
      </c>
      <c r="M12" s="51" t="s">
        <v>10</v>
      </c>
      <c r="N12" s="143"/>
      <c r="O12" s="284"/>
    </row>
    <row r="13" spans="1:21" ht="28.5" x14ac:dyDescent="0.2">
      <c r="A13" s="371" t="str">
        <f>'B. Summ of Req. by DU - JJ'!A13</f>
        <v>Enforcing Underage Drinking Laws</v>
      </c>
      <c r="B13" s="154">
        <v>0</v>
      </c>
      <c r="C13" s="154">
        <v>0</v>
      </c>
      <c r="D13" s="439" t="s">
        <v>489</v>
      </c>
      <c r="E13" s="154">
        <v>0</v>
      </c>
      <c r="F13" s="154">
        <v>0</v>
      </c>
      <c r="G13" s="439">
        <v>0</v>
      </c>
      <c r="H13" s="154">
        <v>46.068440000000002</v>
      </c>
      <c r="I13" s="154">
        <v>276</v>
      </c>
      <c r="J13" s="154">
        <f t="shared" si="0"/>
        <v>0</v>
      </c>
      <c r="K13" s="154">
        <f t="shared" si="1"/>
        <v>0</v>
      </c>
      <c r="L13" s="438" t="s">
        <v>489</v>
      </c>
      <c r="M13" s="51" t="s">
        <v>10</v>
      </c>
      <c r="N13" s="143"/>
      <c r="O13" s="284"/>
    </row>
    <row r="14" spans="1:21" ht="42.75" x14ac:dyDescent="0.2">
      <c r="A14" s="371" t="str">
        <f>'B. Summ of Req. by DU - JJ'!A14</f>
        <v>Gang Prevention/Gang and Youth Violence Prevention and Intervention Initiatives</v>
      </c>
      <c r="B14" s="154">
        <v>0</v>
      </c>
      <c r="C14" s="154">
        <v>0</v>
      </c>
      <c r="D14" s="439" t="s">
        <v>489</v>
      </c>
      <c r="E14" s="154">
        <v>0</v>
      </c>
      <c r="F14" s="154">
        <v>0</v>
      </c>
      <c r="G14" s="439">
        <v>0</v>
      </c>
      <c r="H14" s="154">
        <v>50.001730000000002</v>
      </c>
      <c r="I14" s="154">
        <v>0</v>
      </c>
      <c r="J14" s="154">
        <f t="shared" si="0"/>
        <v>0</v>
      </c>
      <c r="K14" s="154">
        <f t="shared" si="1"/>
        <v>0</v>
      </c>
      <c r="L14" s="438" t="s">
        <v>489</v>
      </c>
      <c r="M14" s="51" t="s">
        <v>10</v>
      </c>
      <c r="N14" s="143"/>
      <c r="O14" s="284"/>
    </row>
    <row r="15" spans="1:21" ht="28.5" x14ac:dyDescent="0.2">
      <c r="A15" s="371" t="str">
        <f>'B. Summ of Req. by DU - JJ'!A15</f>
        <v xml:space="preserve">Juvenile Justice and Education Collaboration Assistance </v>
      </c>
      <c r="B15" s="154">
        <v>0</v>
      </c>
      <c r="C15" s="154">
        <v>0</v>
      </c>
      <c r="D15" s="439" t="s">
        <v>488</v>
      </c>
      <c r="E15" s="154">
        <v>0</v>
      </c>
      <c r="F15" s="154">
        <v>0</v>
      </c>
      <c r="G15" s="439">
        <v>0</v>
      </c>
      <c r="H15" s="154">
        <v>0</v>
      </c>
      <c r="I15" s="154">
        <v>52</v>
      </c>
      <c r="J15" s="154">
        <f t="shared" si="0"/>
        <v>0</v>
      </c>
      <c r="K15" s="154">
        <f t="shared" si="1"/>
        <v>0</v>
      </c>
      <c r="L15" s="438" t="s">
        <v>488</v>
      </c>
      <c r="M15" s="51" t="s">
        <v>10</v>
      </c>
      <c r="N15" s="143"/>
      <c r="O15" s="284"/>
    </row>
    <row r="16" spans="1:21" x14ac:dyDescent="0.2">
      <c r="A16" s="371" t="str">
        <f>'B. Summ of Req. by DU - JJ'!A16</f>
        <v>Tribal Youth Program</v>
      </c>
      <c r="B16" s="154">
        <v>0</v>
      </c>
      <c r="C16" s="154">
        <v>0</v>
      </c>
      <c r="D16" s="439" t="s">
        <v>488</v>
      </c>
      <c r="E16" s="154">
        <v>0</v>
      </c>
      <c r="F16" s="154">
        <v>0</v>
      </c>
      <c r="G16" s="439">
        <v>0</v>
      </c>
      <c r="H16" s="154">
        <v>0</v>
      </c>
      <c r="I16" s="154">
        <v>26</v>
      </c>
      <c r="J16" s="154">
        <f t="shared" si="0"/>
        <v>0</v>
      </c>
      <c r="K16" s="154">
        <f t="shared" si="1"/>
        <v>0</v>
      </c>
      <c r="L16" s="438" t="s">
        <v>488</v>
      </c>
      <c r="M16" s="51" t="s">
        <v>10</v>
      </c>
      <c r="N16" s="143"/>
      <c r="O16" s="284"/>
    </row>
    <row r="17" spans="1:15" ht="28.5" x14ac:dyDescent="0.2">
      <c r="A17" s="229" t="str">
        <f>'B. Summ of Req. by DU - JJ'!A17</f>
        <v>Girls in the Juvenile Justice System</v>
      </c>
      <c r="B17" s="154">
        <v>0</v>
      </c>
      <c r="C17" s="154">
        <v>0</v>
      </c>
      <c r="D17" s="154">
        <v>1000</v>
      </c>
      <c r="E17" s="154">
        <v>0</v>
      </c>
      <c r="F17" s="154">
        <v>0</v>
      </c>
      <c r="G17" s="154">
        <v>0</v>
      </c>
      <c r="H17" s="154">
        <v>0</v>
      </c>
      <c r="I17" s="154">
        <v>0</v>
      </c>
      <c r="J17" s="154">
        <f t="shared" si="0"/>
        <v>0</v>
      </c>
      <c r="K17" s="154">
        <f t="shared" si="1"/>
        <v>0</v>
      </c>
      <c r="L17" s="151">
        <f t="shared" si="2"/>
        <v>1000</v>
      </c>
      <c r="M17" s="51" t="s">
        <v>10</v>
      </c>
      <c r="N17" s="143"/>
      <c r="O17" s="284"/>
    </row>
    <row r="18" spans="1:15" ht="28.5" x14ac:dyDescent="0.2">
      <c r="A18" s="229" t="str">
        <f>'B. Summ of Req. by DU - JJ'!A19</f>
        <v>Juvenile Accountability Block Grant (JABG) Program</v>
      </c>
      <c r="B18" s="154">
        <v>0</v>
      </c>
      <c r="C18" s="154">
        <v>0</v>
      </c>
      <c r="D18" s="154">
        <v>0</v>
      </c>
      <c r="E18" s="154">
        <v>0</v>
      </c>
      <c r="F18" s="154">
        <v>0</v>
      </c>
      <c r="G18" s="154">
        <v>0</v>
      </c>
      <c r="H18" s="154">
        <v>0</v>
      </c>
      <c r="I18" s="154">
        <v>291</v>
      </c>
      <c r="J18" s="154">
        <f t="shared" si="0"/>
        <v>0</v>
      </c>
      <c r="K18" s="154">
        <f t="shared" si="1"/>
        <v>0</v>
      </c>
      <c r="L18" s="151">
        <f t="shared" si="2"/>
        <v>291</v>
      </c>
      <c r="M18" s="51" t="s">
        <v>10</v>
      </c>
      <c r="N18" s="143"/>
      <c r="O18" s="284"/>
    </row>
    <row r="19" spans="1:15" x14ac:dyDescent="0.2">
      <c r="A19" s="229" t="str">
        <f>'B. Summ of Req. by DU - JJ'!A21</f>
        <v xml:space="preserve">Missing and Exploited Children </v>
      </c>
      <c r="B19" s="154">
        <v>0</v>
      </c>
      <c r="C19" s="154">
        <v>0</v>
      </c>
      <c r="D19" s="154">
        <v>67000</v>
      </c>
      <c r="E19" s="154">
        <v>0</v>
      </c>
      <c r="F19" s="154">
        <v>0</v>
      </c>
      <c r="G19" s="154">
        <v>0</v>
      </c>
      <c r="H19" s="154">
        <v>0.28058</v>
      </c>
      <c r="I19" s="154">
        <v>0</v>
      </c>
      <c r="J19" s="154">
        <f t="shared" si="0"/>
        <v>0</v>
      </c>
      <c r="K19" s="154">
        <f t="shared" si="1"/>
        <v>0</v>
      </c>
      <c r="L19" s="151">
        <f t="shared" si="2"/>
        <v>67000.280580000006</v>
      </c>
      <c r="M19" s="51" t="s">
        <v>10</v>
      </c>
      <c r="N19" s="143"/>
      <c r="O19" s="284"/>
    </row>
    <row r="20" spans="1:15" ht="28.5" x14ac:dyDescent="0.2">
      <c r="A20" s="229" t="str">
        <f>'B. Summ of Req. by DU - JJ'!A22</f>
        <v>National Forum on Youth Violence Prevention</v>
      </c>
      <c r="B20" s="154">
        <v>0</v>
      </c>
      <c r="C20" s="154">
        <v>0</v>
      </c>
      <c r="D20" s="154">
        <v>1000</v>
      </c>
      <c r="E20" s="154">
        <v>0</v>
      </c>
      <c r="F20" s="154">
        <v>0</v>
      </c>
      <c r="G20" s="154">
        <v>0</v>
      </c>
      <c r="H20" s="154">
        <v>0</v>
      </c>
      <c r="I20" s="154">
        <v>0</v>
      </c>
      <c r="J20" s="154">
        <f t="shared" si="0"/>
        <v>0</v>
      </c>
      <c r="K20" s="154">
        <f t="shared" si="1"/>
        <v>0</v>
      </c>
      <c r="L20" s="151">
        <f t="shared" si="2"/>
        <v>1000</v>
      </c>
      <c r="M20" s="51" t="s">
        <v>10</v>
      </c>
      <c r="N20" s="143"/>
      <c r="O20" s="284"/>
    </row>
    <row r="21" spans="1:15" x14ac:dyDescent="0.2">
      <c r="A21" s="229" t="str">
        <f>'B. Summ of Req. by DU - JJ'!A23</f>
        <v xml:space="preserve">Part B: Formula Grants </v>
      </c>
      <c r="B21" s="154">
        <v>0</v>
      </c>
      <c r="C21" s="154">
        <v>0</v>
      </c>
      <c r="D21" s="154">
        <v>55500</v>
      </c>
      <c r="E21" s="154">
        <v>0</v>
      </c>
      <c r="F21" s="154">
        <v>0</v>
      </c>
      <c r="G21" s="154">
        <v>0</v>
      </c>
      <c r="H21" s="154">
        <v>64.960300000000004</v>
      </c>
      <c r="I21" s="154">
        <v>29</v>
      </c>
      <c r="J21" s="154">
        <f t="shared" si="0"/>
        <v>0</v>
      </c>
      <c r="K21" s="154">
        <f t="shared" si="1"/>
        <v>0</v>
      </c>
      <c r="L21" s="151">
        <f t="shared" si="2"/>
        <v>55593.960299999999</v>
      </c>
      <c r="M21" s="51" t="s">
        <v>10</v>
      </c>
      <c r="N21" s="143"/>
      <c r="O21" s="284"/>
    </row>
    <row r="22" spans="1:15" ht="28.5" x14ac:dyDescent="0.2">
      <c r="A22" s="371" t="str">
        <f>'B. Summ of Req. by DU - JJ'!A24</f>
        <v>Emergency Planning - Juvenile Detention Facilities</v>
      </c>
      <c r="B22" s="154">
        <v>0</v>
      </c>
      <c r="C22" s="154">
        <v>0</v>
      </c>
      <c r="D22" s="439" t="s">
        <v>609</v>
      </c>
      <c r="E22" s="154">
        <v>0</v>
      </c>
      <c r="F22" s="154">
        <v>0</v>
      </c>
      <c r="G22" s="439">
        <v>0</v>
      </c>
      <c r="H22" s="154">
        <v>0</v>
      </c>
      <c r="I22" s="154">
        <v>0</v>
      </c>
      <c r="J22" s="154">
        <f t="shared" si="0"/>
        <v>0</v>
      </c>
      <c r="K22" s="154">
        <f t="shared" si="1"/>
        <v>0</v>
      </c>
      <c r="L22" s="438" t="s">
        <v>609</v>
      </c>
      <c r="M22" s="51" t="s">
        <v>10</v>
      </c>
      <c r="N22" s="143"/>
      <c r="O22" s="284"/>
    </row>
    <row r="23" spans="1:15" x14ac:dyDescent="0.2">
      <c r="A23" s="371" t="str">
        <f>'B. Summ of Req. by DU - JJ'!A25</f>
        <v>JABG Activities</v>
      </c>
      <c r="B23" s="154">
        <v>0</v>
      </c>
      <c r="C23" s="154">
        <v>0</v>
      </c>
      <c r="D23" s="439" t="s">
        <v>495</v>
      </c>
      <c r="E23" s="154">
        <v>0</v>
      </c>
      <c r="F23" s="154">
        <v>0</v>
      </c>
      <c r="G23" s="439">
        <v>0</v>
      </c>
      <c r="H23" s="154">
        <v>0</v>
      </c>
      <c r="I23" s="154">
        <v>0</v>
      </c>
      <c r="J23" s="154">
        <f t="shared" si="0"/>
        <v>0</v>
      </c>
      <c r="K23" s="154">
        <f t="shared" si="1"/>
        <v>0</v>
      </c>
      <c r="L23" s="438" t="s">
        <v>495</v>
      </c>
      <c r="M23" s="51" t="s">
        <v>10</v>
      </c>
      <c r="N23" s="143"/>
      <c r="O23" s="284"/>
    </row>
    <row r="24" spans="1:15" ht="42.75" x14ac:dyDescent="0.2">
      <c r="A24" s="229" t="str">
        <f>'B. Summ of Req. by DU - JJ'!A26</f>
        <v>VOCA - Improving Investigation and Prosecution of Child Abuse Program</v>
      </c>
      <c r="B24" s="154">
        <v>0</v>
      </c>
      <c r="C24" s="154">
        <v>0</v>
      </c>
      <c r="D24" s="154">
        <v>19000</v>
      </c>
      <c r="E24" s="154">
        <v>0</v>
      </c>
      <c r="F24" s="154">
        <v>0</v>
      </c>
      <c r="G24" s="154">
        <v>0</v>
      </c>
      <c r="H24" s="154">
        <v>0.94494</v>
      </c>
      <c r="I24" s="154">
        <v>0</v>
      </c>
      <c r="J24" s="154">
        <f t="shared" si="0"/>
        <v>0</v>
      </c>
      <c r="K24" s="154">
        <f t="shared" si="1"/>
        <v>0</v>
      </c>
      <c r="L24" s="151">
        <f t="shared" si="2"/>
        <v>19000.944940000001</v>
      </c>
      <c r="M24" s="51" t="s">
        <v>10</v>
      </c>
      <c r="N24" s="143"/>
      <c r="O24" s="284"/>
    </row>
    <row r="25" spans="1:15" x14ac:dyDescent="0.2">
      <c r="A25" s="229" t="str">
        <f>'B. Summ of Req. by DU - JJ'!A27</f>
        <v>Youth Mentoring</v>
      </c>
      <c r="B25" s="154">
        <v>0</v>
      </c>
      <c r="C25" s="154">
        <v>0</v>
      </c>
      <c r="D25" s="154">
        <v>88500</v>
      </c>
      <c r="E25" s="154">
        <v>0</v>
      </c>
      <c r="F25" s="154">
        <v>0</v>
      </c>
      <c r="G25" s="154">
        <v>0</v>
      </c>
      <c r="H25" s="154">
        <v>32.304490000000001</v>
      </c>
      <c r="I25" s="154">
        <v>142</v>
      </c>
      <c r="J25" s="154">
        <f t="shared" si="0"/>
        <v>0</v>
      </c>
      <c r="K25" s="154">
        <f t="shared" si="1"/>
        <v>0</v>
      </c>
      <c r="L25" s="151">
        <f t="shared" si="2"/>
        <v>88674.304489999995</v>
      </c>
      <c r="M25" s="51" t="s">
        <v>10</v>
      </c>
      <c r="N25" s="143"/>
      <c r="O25" s="284"/>
    </row>
    <row r="26" spans="1:15" x14ac:dyDescent="0.2">
      <c r="A26" s="229" t="s">
        <v>226</v>
      </c>
      <c r="B26" s="154">
        <v>0</v>
      </c>
      <c r="C26" s="154">
        <v>0</v>
      </c>
      <c r="D26" s="154">
        <v>0</v>
      </c>
      <c r="E26" s="154">
        <v>0</v>
      </c>
      <c r="F26" s="154">
        <v>0</v>
      </c>
      <c r="G26" s="154">
        <v>0</v>
      </c>
      <c r="H26" s="154">
        <f>373.53433+50.02812+875.41388</f>
        <v>1298.97633</v>
      </c>
      <c r="I26" s="154">
        <v>353</v>
      </c>
      <c r="J26" s="154">
        <f t="shared" si="0"/>
        <v>0</v>
      </c>
      <c r="K26" s="154">
        <f t="shared" si="1"/>
        <v>0</v>
      </c>
      <c r="L26" s="151">
        <f t="shared" si="2"/>
        <v>1651.97633</v>
      </c>
      <c r="M26" s="51" t="s">
        <v>10</v>
      </c>
      <c r="N26" s="143"/>
      <c r="O26" s="284"/>
    </row>
    <row r="27" spans="1:15" ht="15" x14ac:dyDescent="0.25">
      <c r="A27" s="13" t="s">
        <v>98</v>
      </c>
      <c r="B27" s="118">
        <f>SUM(B9:B26)</f>
        <v>0</v>
      </c>
      <c r="C27" s="118">
        <f>SUM(C9:C26)</f>
        <v>0</v>
      </c>
      <c r="D27" s="118">
        <f>SUM(D9,D10,D11,D12,D17,D19,D20,D21,D24,D25)</f>
        <v>254500</v>
      </c>
      <c r="E27" s="118">
        <f t="shared" ref="E27:K27" si="3">SUM(E9:E26)</f>
        <v>0</v>
      </c>
      <c r="F27" s="118">
        <f t="shared" si="3"/>
        <v>0</v>
      </c>
      <c r="G27" s="118">
        <f t="shared" si="3"/>
        <v>0</v>
      </c>
      <c r="H27" s="118">
        <f t="shared" si="3"/>
        <v>1494.17617</v>
      </c>
      <c r="I27" s="118">
        <f t="shared" si="3"/>
        <v>1169</v>
      </c>
      <c r="J27" s="118">
        <f t="shared" si="3"/>
        <v>0</v>
      </c>
      <c r="K27" s="118">
        <f t="shared" si="3"/>
        <v>0</v>
      </c>
      <c r="L27" s="119">
        <f t="shared" si="2"/>
        <v>257163.17616999999</v>
      </c>
      <c r="M27" s="51" t="s">
        <v>10</v>
      </c>
      <c r="N27" s="143"/>
      <c r="O27" s="5"/>
    </row>
    <row r="28" spans="1:15" x14ac:dyDescent="0.2">
      <c r="A28" s="290" t="s">
        <v>97</v>
      </c>
      <c r="B28" s="217"/>
      <c r="C28" s="217"/>
      <c r="D28" s="216">
        <v>-10000</v>
      </c>
      <c r="E28" s="217"/>
      <c r="F28" s="217"/>
      <c r="G28" s="217"/>
      <c r="H28" s="217"/>
      <c r="I28" s="217"/>
      <c r="J28" s="217"/>
      <c r="K28" s="217"/>
      <c r="L28" s="215">
        <f t="shared" si="2"/>
        <v>-10000</v>
      </c>
      <c r="M28" s="51" t="s">
        <v>10</v>
      </c>
      <c r="N28" s="143"/>
    </row>
    <row r="29" spans="1:15" ht="15" x14ac:dyDescent="0.25">
      <c r="A29" s="289" t="s">
        <v>111</v>
      </c>
      <c r="B29" s="213"/>
      <c r="C29" s="213"/>
      <c r="D29" s="213">
        <f>SUM(D27:D28)</f>
        <v>244500</v>
      </c>
      <c r="E29" s="213"/>
      <c r="F29" s="213"/>
      <c r="G29" s="213"/>
      <c r="H29" s="213"/>
      <c r="I29" s="213"/>
      <c r="J29" s="213"/>
      <c r="K29" s="213"/>
      <c r="L29" s="211">
        <f>L27+L28</f>
        <v>247163.17616999999</v>
      </c>
      <c r="M29" s="51" t="s">
        <v>10</v>
      </c>
      <c r="N29" s="143"/>
      <c r="O29" s="240"/>
    </row>
    <row r="30" spans="1:15" x14ac:dyDescent="0.2">
      <c r="A30" s="210" t="s">
        <v>13</v>
      </c>
      <c r="B30" s="209"/>
      <c r="C30" s="209">
        <v>0</v>
      </c>
      <c r="D30" s="209"/>
      <c r="E30" s="209"/>
      <c r="F30" s="209">
        <v>0</v>
      </c>
      <c r="G30" s="209"/>
      <c r="H30" s="209">
        <v>0</v>
      </c>
      <c r="I30" s="209"/>
      <c r="J30" s="209"/>
      <c r="K30" s="209">
        <f>C30+F30</f>
        <v>0</v>
      </c>
      <c r="L30" s="208"/>
      <c r="M30" s="51" t="s">
        <v>10</v>
      </c>
      <c r="N30" s="143"/>
    </row>
    <row r="31" spans="1:15" x14ac:dyDescent="0.2">
      <c r="A31" s="207" t="s">
        <v>99</v>
      </c>
      <c r="B31" s="154"/>
      <c r="C31" s="154">
        <f>C27+C30</f>
        <v>0</v>
      </c>
      <c r="D31" s="154"/>
      <c r="E31" s="154"/>
      <c r="F31" s="154">
        <f>F27+F30</f>
        <v>0</v>
      </c>
      <c r="G31" s="154"/>
      <c r="H31" s="154">
        <f>H27+H30</f>
        <v>1494.17617</v>
      </c>
      <c r="I31" s="154"/>
      <c r="J31" s="154"/>
      <c r="K31" s="154">
        <f>K27+K30</f>
        <v>0</v>
      </c>
      <c r="L31" s="151"/>
      <c r="M31" s="51" t="s">
        <v>10</v>
      </c>
      <c r="N31" s="143"/>
    </row>
    <row r="32" spans="1:15" x14ac:dyDescent="0.2">
      <c r="A32" s="207"/>
      <c r="B32" s="154"/>
      <c r="C32" s="154"/>
      <c r="D32" s="154"/>
      <c r="E32" s="154"/>
      <c r="F32" s="154"/>
      <c r="G32" s="154"/>
      <c r="H32" s="154"/>
      <c r="I32" s="154"/>
      <c r="J32" s="154"/>
      <c r="K32" s="154"/>
      <c r="L32" s="151"/>
      <c r="M32" s="51" t="s">
        <v>10</v>
      </c>
      <c r="N32" s="143"/>
    </row>
    <row r="33" spans="1:14" x14ac:dyDescent="0.2">
      <c r="A33" s="207" t="s">
        <v>14</v>
      </c>
      <c r="B33" s="154"/>
      <c r="C33" s="154"/>
      <c r="D33" s="154"/>
      <c r="E33" s="154"/>
      <c r="F33" s="154"/>
      <c r="G33" s="154"/>
      <c r="H33" s="154"/>
      <c r="I33" s="154"/>
      <c r="J33" s="154"/>
      <c r="K33" s="154"/>
      <c r="L33" s="151"/>
      <c r="M33" s="51" t="s">
        <v>10</v>
      </c>
      <c r="N33" s="143"/>
    </row>
    <row r="34" spans="1:14" x14ac:dyDescent="0.2">
      <c r="A34" s="206" t="s">
        <v>15</v>
      </c>
      <c r="B34" s="154"/>
      <c r="C34" s="154">
        <v>0</v>
      </c>
      <c r="D34" s="154"/>
      <c r="E34" s="154"/>
      <c r="F34" s="154">
        <v>0</v>
      </c>
      <c r="G34" s="154"/>
      <c r="H34" s="154">
        <v>0</v>
      </c>
      <c r="I34" s="154"/>
      <c r="J34" s="154"/>
      <c r="K34" s="154">
        <f>C34+F34</f>
        <v>0</v>
      </c>
      <c r="L34" s="151"/>
      <c r="M34" s="51" t="s">
        <v>10</v>
      </c>
      <c r="N34" s="143"/>
    </row>
    <row r="35" spans="1:14" x14ac:dyDescent="0.2">
      <c r="A35" s="205" t="s">
        <v>16</v>
      </c>
      <c r="B35" s="204"/>
      <c r="C35" s="204">
        <v>0</v>
      </c>
      <c r="D35" s="204"/>
      <c r="E35" s="204"/>
      <c r="F35" s="204">
        <v>0</v>
      </c>
      <c r="G35" s="204"/>
      <c r="H35" s="204">
        <v>0</v>
      </c>
      <c r="I35" s="204"/>
      <c r="J35" s="204"/>
      <c r="K35" s="204">
        <f>C35+F35</f>
        <v>0</v>
      </c>
      <c r="L35" s="203"/>
      <c r="M35" s="51" t="s">
        <v>10</v>
      </c>
      <c r="N35" s="143"/>
    </row>
    <row r="36" spans="1:14" ht="15" thickBot="1" x14ac:dyDescent="0.25">
      <c r="A36" s="202" t="s">
        <v>100</v>
      </c>
      <c r="B36" s="201"/>
      <c r="C36" s="201">
        <f>C31+C34+C35</f>
        <v>0</v>
      </c>
      <c r="D36" s="201"/>
      <c r="E36" s="201"/>
      <c r="F36" s="201">
        <f>F31+F34+F35</f>
        <v>0</v>
      </c>
      <c r="G36" s="201"/>
      <c r="H36" s="201">
        <f>H31+H34+H35</f>
        <v>1494.17617</v>
      </c>
      <c r="I36" s="201"/>
      <c r="J36" s="201"/>
      <c r="K36" s="201">
        <f>SUM(K31,K34:K35)</f>
        <v>0</v>
      </c>
      <c r="L36" s="200"/>
      <c r="M36" s="51" t="s">
        <v>10</v>
      </c>
      <c r="N36" s="143"/>
    </row>
    <row r="37" spans="1:14" x14ac:dyDescent="0.2">
      <c r="M37" s="51" t="s">
        <v>10</v>
      </c>
    </row>
    <row r="38" spans="1:14" x14ac:dyDescent="0.2">
      <c r="M38" s="51" t="s">
        <v>10</v>
      </c>
    </row>
    <row r="39" spans="1:14" ht="15" x14ac:dyDescent="0.25">
      <c r="A39" s="5" t="s">
        <v>27</v>
      </c>
      <c r="M39" s="51" t="s">
        <v>10</v>
      </c>
    </row>
    <row r="40" spans="1:14" x14ac:dyDescent="0.2">
      <c r="A40" s="176"/>
      <c r="B40" s="176"/>
      <c r="C40" s="176"/>
      <c r="D40" s="176"/>
      <c r="E40" s="176"/>
      <c r="F40" s="176"/>
      <c r="G40" s="176"/>
      <c r="H40" s="176"/>
      <c r="I40" s="176"/>
      <c r="J40" s="176"/>
      <c r="K40" s="176"/>
      <c r="L40" s="176"/>
      <c r="M40" s="51" t="s">
        <v>10</v>
      </c>
    </row>
    <row r="41" spans="1:14" x14ac:dyDescent="0.2">
      <c r="A41" s="176"/>
      <c r="B41" s="176"/>
      <c r="C41" s="176"/>
      <c r="D41" s="176"/>
      <c r="E41" s="176"/>
      <c r="F41" s="176"/>
      <c r="G41" s="176"/>
      <c r="H41" s="176"/>
      <c r="I41" s="176"/>
      <c r="J41" s="176"/>
      <c r="K41" s="176"/>
      <c r="L41" s="176"/>
      <c r="M41" s="51" t="s">
        <v>10</v>
      </c>
    </row>
    <row r="42" spans="1:14" ht="15" x14ac:dyDescent="0.25">
      <c r="A42" s="5" t="s">
        <v>113</v>
      </c>
      <c r="M42" s="51" t="s">
        <v>10</v>
      </c>
    </row>
    <row r="43" spans="1:14" x14ac:dyDescent="0.2">
      <c r="A43" s="616" t="s">
        <v>471</v>
      </c>
      <c r="B43" s="616"/>
      <c r="C43" s="616"/>
      <c r="D43" s="616"/>
      <c r="E43" s="616"/>
      <c r="F43" s="616"/>
      <c r="G43" s="616"/>
      <c r="H43" s="616"/>
      <c r="I43" s="616"/>
      <c r="J43" s="616"/>
      <c r="K43" s="616"/>
      <c r="L43" s="616"/>
      <c r="M43" s="51" t="s">
        <v>10</v>
      </c>
    </row>
    <row r="44" spans="1:14" x14ac:dyDescent="0.2">
      <c r="A44" s="288"/>
      <c r="B44" s="288"/>
      <c r="C44" s="288"/>
      <c r="D44" s="288"/>
      <c r="E44" s="288"/>
      <c r="F44" s="288"/>
      <c r="G44" s="288"/>
      <c r="H44" s="288"/>
      <c r="I44" s="288"/>
      <c r="J44" s="288"/>
      <c r="K44" s="288"/>
      <c r="L44" s="288"/>
      <c r="M44" s="51" t="s">
        <v>10</v>
      </c>
    </row>
    <row r="45" spans="1:14" ht="15" x14ac:dyDescent="0.25">
      <c r="A45" s="5" t="s">
        <v>114</v>
      </c>
      <c r="M45" s="51" t="s">
        <v>10</v>
      </c>
    </row>
    <row r="46" spans="1:14" x14ac:dyDescent="0.2">
      <c r="A46" s="616" t="s">
        <v>417</v>
      </c>
      <c r="B46" s="616"/>
      <c r="C46" s="616"/>
      <c r="D46" s="616"/>
      <c r="E46" s="616"/>
      <c r="F46" s="616"/>
      <c r="G46" s="616"/>
      <c r="H46" s="616"/>
      <c r="I46" s="616"/>
      <c r="J46" s="616"/>
      <c r="K46" s="616"/>
      <c r="L46" s="616"/>
      <c r="M46" s="51" t="s">
        <v>10</v>
      </c>
    </row>
    <row r="47" spans="1:14" x14ac:dyDescent="0.2">
      <c r="M47" s="4" t="s">
        <v>11</v>
      </c>
    </row>
    <row r="48" spans="1:14" x14ac:dyDescent="0.2">
      <c r="M48" s="4"/>
      <c r="N48" s="51"/>
    </row>
  </sheetData>
  <customSheetViews>
    <customSheetView guid="{EE916FE7-61FB-4021-ADDD-E082241FC03C}" scale="80" showPageBreaks="1" printArea="1" view="pageBreakPreview">
      <selection activeCell="D41" sqref="D41"/>
      <pageMargins left="0.7" right="0.7" top="0.66" bottom="0.66" header="0.3" footer="0.3"/>
      <printOptions horizontalCentered="1"/>
      <pageSetup scale="63" orientation="landscape" r:id="rId1"/>
      <headerFooter>
        <oddHeader>&amp;L&amp;"Arial,Bold"&amp;12G. Crosswalk of 2014 Availability</oddHeader>
        <oddFooter>&amp;C&amp;"Arial,Regular"Exhibit G - Crosswalk of 2014 Availability&amp;R&amp;"Arial,Regular"Juvenile Justice Programs</oddFooter>
      </headerFooter>
    </customSheetView>
    <customSheetView guid="{0BB5DC4B-BC2A-4489-BE17-5E267FA1EF63}" scale="80" showPageBreaks="1" printArea="1" view="pageBreakPreview">
      <selection activeCell="D41" sqref="D41"/>
      <pageMargins left="0.7" right="0.7" top="0.66" bottom="0.66" header="0.3" footer="0.3"/>
      <printOptions horizontalCentered="1"/>
      <pageSetup scale="63" orientation="landscape" r:id="rId2"/>
      <headerFooter>
        <oddHeader>&amp;L&amp;"Arial,Bold"&amp;12G. Crosswalk of 2014 Availability</oddHeader>
        <oddFooter>&amp;C&amp;"Arial,Regular"Exhibit G - Crosswalk of 2014 Availability&amp;R&amp;"Arial,Regular"Juvenile Justice Programs</oddFooter>
      </headerFooter>
    </customSheetView>
    <customSheetView guid="{6C58FFE1-D756-42C4-A1BC-AA7F1DC1E56F}" scale="80" showPageBreaks="1" printArea="1" view="pageBreakPreview">
      <selection activeCell="M43" sqref="M43"/>
      <pageMargins left="0.7" right="0.7" top="0.66" bottom="0.66" header="0.3" footer="0.3"/>
      <printOptions horizontalCentered="1"/>
      <pageSetup scale="63" orientation="landscape" r:id="rId3"/>
      <headerFooter>
        <oddHeader>&amp;L&amp;"Arial,Bold"&amp;12G. Crosswalk of 2014 Availability</oddHeader>
        <oddFooter>&amp;C&amp;"Arial,Regular"Exhibit G - Crosswalk of 2014 Availability&amp;R&amp;"Arial,Regular"Juvenile Justice Programs</oddFooter>
      </headerFooter>
    </customSheetView>
    <customSheetView guid="{CFA5D1C9-F4C9-4B8D-923D-4C71CB6E7D3B}" scale="80" showPageBreaks="1" printArea="1" view="pageBreakPreview">
      <selection activeCell="D41" sqref="D41"/>
      <pageMargins left="0.7" right="0.7" top="0.66" bottom="0.66" header="0.3" footer="0.3"/>
      <printOptions horizontalCentered="1"/>
      <pageSetup scale="63" orientation="landscape" r:id="rId4"/>
      <headerFooter>
        <oddHeader>&amp;L&amp;"Arial,Bold"&amp;12G. Crosswalk of 2014 Availability</oddHeader>
        <oddFooter>&amp;C&amp;"Arial,Regular"Exhibit G - Crosswalk of 2014 Availability&amp;R&amp;"Arial,Regular"Juvenile Justice Programs</oddFooter>
      </headerFooter>
    </customSheetView>
    <customSheetView guid="{A788DF77-74F1-49E4-8B34-BFBDB7664F30}" scale="80" showPageBreaks="1" printArea="1" view="pageBreakPreview">
      <selection activeCell="M43" sqref="M43"/>
      <pageMargins left="0.7" right="0.7" top="0.66" bottom="0.66" header="0.3" footer="0.3"/>
      <printOptions horizontalCentered="1"/>
      <pageSetup scale="63" orientation="landscape" r:id="rId5"/>
      <headerFooter>
        <oddHeader>&amp;L&amp;"Arial,Bold"&amp;12G. Crosswalk of 2014 Availability</oddHeader>
        <oddFooter>&amp;C&amp;"Arial,Regular"Exhibit G - Crosswalk of 2014 Availability&amp;R&amp;"Arial,Regular"Juvenile Justice Programs</oddFooter>
      </headerFooter>
    </customSheetView>
  </customSheetViews>
  <mergeCells count="10">
    <mergeCell ref="A1:M1"/>
    <mergeCell ref="A46:L46"/>
    <mergeCell ref="A2:M2"/>
    <mergeCell ref="A3:M3"/>
    <mergeCell ref="A4:M4"/>
    <mergeCell ref="A7:A8"/>
    <mergeCell ref="B7:D7"/>
    <mergeCell ref="E7:G7"/>
    <mergeCell ref="J7:L7"/>
    <mergeCell ref="A43:L43"/>
  </mergeCells>
  <printOptions horizontalCentered="1"/>
  <pageMargins left="0.5" right="0.5" top="0.5" bottom="0.5" header="0.5" footer="0.3"/>
  <pageSetup scale="58" orientation="landscape" r:id="rId6"/>
  <headerFooter>
    <oddHeader>&amp;L&amp;"Arial,Bold"&amp;12G. Crosswalk of 2014 Availability</oddHeader>
    <oddFooter>&amp;C&amp;"Arial,Regular"Exhibit G - Crosswalk of 2014 Availability&amp;R&amp;"Arial,Regular"Juvenile Justice Programs</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view="pageBreakPreview" zoomScale="80" zoomScaleNormal="100" zoomScaleSheetLayoutView="80" workbookViewId="0">
      <selection activeCell="M27" sqref="M27"/>
    </sheetView>
  </sheetViews>
  <sheetFormatPr defaultRowHeight="14.25" x14ac:dyDescent="0.2"/>
  <cols>
    <col min="1" max="1" width="37.140625" style="143" customWidth="1"/>
    <col min="2" max="3" width="8.28515625" style="143" customWidth="1"/>
    <col min="4" max="4" width="12.7109375" style="143" customWidth="1"/>
    <col min="5" max="6" width="8.28515625" style="143" customWidth="1"/>
    <col min="7" max="7" width="12.7109375" style="143" customWidth="1"/>
    <col min="8" max="9" width="8.28515625" style="143" customWidth="1"/>
    <col min="10" max="10" width="12.7109375" style="143" customWidth="1"/>
    <col min="11" max="12" width="8.28515625" style="143" customWidth="1"/>
    <col min="13" max="13" width="12.7109375" style="143" customWidth="1"/>
    <col min="14" max="14" width="14" style="4" bestFit="1" customWidth="1"/>
    <col min="15" max="16" width="8.28515625" style="143" customWidth="1"/>
    <col min="17" max="17" width="12.7109375" style="143" customWidth="1"/>
    <col min="18" max="16384" width="9.140625" style="143"/>
  </cols>
  <sheetData>
    <row r="1" spans="1:17" ht="18" x14ac:dyDescent="0.25">
      <c r="A1" s="577" t="s">
        <v>30</v>
      </c>
      <c r="B1" s="577"/>
      <c r="C1" s="577"/>
      <c r="D1" s="577"/>
      <c r="E1" s="577"/>
      <c r="F1" s="577"/>
      <c r="G1" s="577"/>
      <c r="H1" s="577"/>
      <c r="I1" s="577"/>
      <c r="J1" s="577"/>
      <c r="K1" s="577"/>
      <c r="L1" s="577"/>
      <c r="M1" s="577"/>
      <c r="N1" s="51" t="s">
        <v>10</v>
      </c>
      <c r="O1" s="6"/>
      <c r="P1" s="6"/>
      <c r="Q1" s="6"/>
    </row>
    <row r="2" spans="1:17" ht="15" x14ac:dyDescent="0.2">
      <c r="A2" s="578" t="s">
        <v>152</v>
      </c>
      <c r="B2" s="578"/>
      <c r="C2" s="578"/>
      <c r="D2" s="578"/>
      <c r="E2" s="578"/>
      <c r="F2" s="578"/>
      <c r="G2" s="578"/>
      <c r="H2" s="578"/>
      <c r="I2" s="578"/>
      <c r="J2" s="578"/>
      <c r="K2" s="578"/>
      <c r="L2" s="578"/>
      <c r="M2" s="578"/>
      <c r="N2" s="51" t="s">
        <v>10</v>
      </c>
      <c r="O2" s="7"/>
      <c r="P2" s="7"/>
      <c r="Q2" s="7"/>
    </row>
    <row r="3" spans="1:17" x14ac:dyDescent="0.2">
      <c r="A3" s="579" t="s">
        <v>399</v>
      </c>
      <c r="B3" s="579"/>
      <c r="C3" s="579"/>
      <c r="D3" s="579"/>
      <c r="E3" s="579"/>
      <c r="F3" s="579"/>
      <c r="G3" s="579"/>
      <c r="H3" s="579"/>
      <c r="I3" s="579"/>
      <c r="J3" s="579"/>
      <c r="K3" s="579"/>
      <c r="L3" s="579"/>
      <c r="M3" s="579"/>
      <c r="N3" s="51" t="s">
        <v>10</v>
      </c>
      <c r="O3" s="163"/>
      <c r="P3" s="163"/>
      <c r="Q3" s="163"/>
    </row>
    <row r="4" spans="1:17" x14ac:dyDescent="0.2">
      <c r="A4" s="608" t="s">
        <v>1</v>
      </c>
      <c r="B4" s="608"/>
      <c r="C4" s="608"/>
      <c r="D4" s="608"/>
      <c r="E4" s="608"/>
      <c r="F4" s="608"/>
      <c r="G4" s="608"/>
      <c r="H4" s="608"/>
      <c r="I4" s="608"/>
      <c r="J4" s="608"/>
      <c r="K4" s="608"/>
      <c r="L4" s="608"/>
      <c r="M4" s="608"/>
      <c r="N4" s="51" t="s">
        <v>10</v>
      </c>
      <c r="O4" s="162"/>
      <c r="P4" s="162"/>
      <c r="Q4" s="162"/>
    </row>
    <row r="5" spans="1:17" x14ac:dyDescent="0.2">
      <c r="A5" s="608"/>
      <c r="B5" s="608"/>
      <c r="C5" s="608"/>
      <c r="D5" s="608"/>
      <c r="E5" s="608"/>
      <c r="F5" s="608"/>
      <c r="G5" s="608"/>
      <c r="H5" s="608"/>
      <c r="I5" s="608"/>
      <c r="J5" s="608"/>
      <c r="K5" s="608"/>
      <c r="L5" s="608"/>
      <c r="M5" s="608"/>
      <c r="N5" s="51" t="s">
        <v>10</v>
      </c>
      <c r="O5" s="162"/>
      <c r="P5" s="162"/>
      <c r="Q5" s="162"/>
    </row>
    <row r="6" spans="1:17" ht="15" thickBot="1" x14ac:dyDescent="0.25">
      <c r="A6" s="608"/>
      <c r="B6" s="608"/>
      <c r="C6" s="608"/>
      <c r="D6" s="608"/>
      <c r="E6" s="608"/>
      <c r="F6" s="608"/>
      <c r="G6" s="608"/>
      <c r="H6" s="608"/>
      <c r="I6" s="608"/>
      <c r="J6" s="608"/>
      <c r="K6" s="608"/>
      <c r="L6" s="608"/>
      <c r="M6" s="608"/>
      <c r="N6" s="51" t="s">
        <v>10</v>
      </c>
      <c r="O6" s="162"/>
      <c r="P6" s="162"/>
      <c r="Q6" s="162"/>
    </row>
    <row r="7" spans="1:17" ht="15" x14ac:dyDescent="0.2">
      <c r="A7" s="585" t="s">
        <v>116</v>
      </c>
      <c r="B7" s="588" t="s">
        <v>133</v>
      </c>
      <c r="C7" s="588"/>
      <c r="D7" s="588"/>
      <c r="E7" s="588" t="s">
        <v>136</v>
      </c>
      <c r="F7" s="588"/>
      <c r="G7" s="588"/>
      <c r="H7" s="588" t="s">
        <v>130</v>
      </c>
      <c r="I7" s="588"/>
      <c r="J7" s="588"/>
      <c r="K7" s="588" t="s">
        <v>31</v>
      </c>
      <c r="L7" s="588"/>
      <c r="M7" s="589"/>
      <c r="N7" s="51" t="s">
        <v>10</v>
      </c>
    </row>
    <row r="8" spans="1:17" ht="28.5" x14ac:dyDescent="0.2">
      <c r="A8" s="586"/>
      <c r="B8" s="235" t="s">
        <v>32</v>
      </c>
      <c r="C8" s="235" t="s">
        <v>33</v>
      </c>
      <c r="D8" s="235" t="s">
        <v>3</v>
      </c>
      <c r="E8" s="235" t="s">
        <v>32</v>
      </c>
      <c r="F8" s="235" t="s">
        <v>33</v>
      </c>
      <c r="G8" s="235" t="s">
        <v>3</v>
      </c>
      <c r="H8" s="235" t="s">
        <v>32</v>
      </c>
      <c r="I8" s="235" t="s">
        <v>33</v>
      </c>
      <c r="J8" s="235" t="s">
        <v>3</v>
      </c>
      <c r="K8" s="235" t="s">
        <v>32</v>
      </c>
      <c r="L8" s="235" t="s">
        <v>33</v>
      </c>
      <c r="M8" s="234" t="s">
        <v>3</v>
      </c>
      <c r="N8" s="51" t="s">
        <v>10</v>
      </c>
    </row>
    <row r="9" spans="1:17" ht="28.5" x14ac:dyDescent="0.2">
      <c r="A9" s="178" t="s">
        <v>421</v>
      </c>
      <c r="B9" s="414">
        <v>0</v>
      </c>
      <c r="C9" s="414">
        <v>0</v>
      </c>
      <c r="D9" s="414">
        <v>30</v>
      </c>
      <c r="E9" s="414">
        <v>0</v>
      </c>
      <c r="F9" s="414">
        <v>0</v>
      </c>
      <c r="G9" s="414">
        <v>30</v>
      </c>
      <c r="H9" s="414">
        <v>0</v>
      </c>
      <c r="I9" s="414">
        <v>0</v>
      </c>
      <c r="J9" s="414">
        <v>30</v>
      </c>
      <c r="K9" s="414">
        <f t="shared" ref="K9:M11" si="0">H9-E9</f>
        <v>0</v>
      </c>
      <c r="L9" s="414">
        <f t="shared" si="0"/>
        <v>0</v>
      </c>
      <c r="M9" s="415">
        <f t="shared" si="0"/>
        <v>0</v>
      </c>
      <c r="N9" s="51" t="s">
        <v>10</v>
      </c>
    </row>
    <row r="10" spans="1:17" x14ac:dyDescent="0.2">
      <c r="A10" s="207" t="s">
        <v>420</v>
      </c>
      <c r="B10" s="154">
        <v>0</v>
      </c>
      <c r="C10" s="154">
        <v>0</v>
      </c>
      <c r="D10" s="154">
        <v>6572</v>
      </c>
      <c r="E10" s="154">
        <v>0</v>
      </c>
      <c r="F10" s="154">
        <v>0</v>
      </c>
      <c r="G10" s="154">
        <v>6824</v>
      </c>
      <c r="H10" s="154">
        <v>0</v>
      </c>
      <c r="I10" s="154">
        <v>0</v>
      </c>
      <c r="J10" s="154">
        <v>6824</v>
      </c>
      <c r="K10" s="154">
        <f t="shared" si="0"/>
        <v>0</v>
      </c>
      <c r="L10" s="154">
        <f t="shared" si="0"/>
        <v>0</v>
      </c>
      <c r="M10" s="151">
        <f t="shared" si="0"/>
        <v>0</v>
      </c>
      <c r="N10" s="51" t="s">
        <v>10</v>
      </c>
    </row>
    <row r="11" spans="1:17" x14ac:dyDescent="0.2">
      <c r="A11" s="207" t="s">
        <v>419</v>
      </c>
      <c r="B11" s="154">
        <v>0</v>
      </c>
      <c r="C11" s="154">
        <v>0</v>
      </c>
      <c r="D11" s="154">
        <v>1893</v>
      </c>
      <c r="E11" s="154">
        <v>0</v>
      </c>
      <c r="F11" s="154">
        <v>0</v>
      </c>
      <c r="G11" s="154">
        <v>2146</v>
      </c>
      <c r="H11" s="154">
        <v>0</v>
      </c>
      <c r="I11" s="154">
        <v>0</v>
      </c>
      <c r="J11" s="154">
        <v>2146</v>
      </c>
      <c r="K11" s="154">
        <f t="shared" si="0"/>
        <v>0</v>
      </c>
      <c r="L11" s="154">
        <f t="shared" si="0"/>
        <v>0</v>
      </c>
      <c r="M11" s="151">
        <f t="shared" si="0"/>
        <v>0</v>
      </c>
      <c r="N11" s="51" t="s">
        <v>10</v>
      </c>
    </row>
    <row r="12" spans="1:17" ht="15.75" thickBot="1" x14ac:dyDescent="0.3">
      <c r="A12" s="21" t="s">
        <v>109</v>
      </c>
      <c r="B12" s="27">
        <f t="shared" ref="B12:M12" si="1">SUM(B9:B11)</f>
        <v>0</v>
      </c>
      <c r="C12" s="27">
        <f t="shared" si="1"/>
        <v>0</v>
      </c>
      <c r="D12" s="27">
        <f t="shared" si="1"/>
        <v>8495</v>
      </c>
      <c r="E12" s="27">
        <f t="shared" si="1"/>
        <v>0</v>
      </c>
      <c r="F12" s="27">
        <f t="shared" si="1"/>
        <v>0</v>
      </c>
      <c r="G12" s="27">
        <f t="shared" si="1"/>
        <v>9000</v>
      </c>
      <c r="H12" s="27">
        <f t="shared" si="1"/>
        <v>0</v>
      </c>
      <c r="I12" s="27">
        <f t="shared" si="1"/>
        <v>0</v>
      </c>
      <c r="J12" s="27">
        <f t="shared" si="1"/>
        <v>9000</v>
      </c>
      <c r="K12" s="27">
        <f t="shared" si="1"/>
        <v>0</v>
      </c>
      <c r="L12" s="27">
        <f t="shared" si="1"/>
        <v>0</v>
      </c>
      <c r="M12" s="251">
        <f t="shared" si="1"/>
        <v>0</v>
      </c>
      <c r="N12" s="51" t="s">
        <v>10</v>
      </c>
    </row>
    <row r="13" spans="1:17" ht="15" thickBot="1" x14ac:dyDescent="0.25">
      <c r="N13" s="51" t="s">
        <v>10</v>
      </c>
    </row>
    <row r="14" spans="1:17" ht="18" customHeight="1" x14ac:dyDescent="0.2">
      <c r="A14" s="585" t="s">
        <v>105</v>
      </c>
      <c r="B14" s="588" t="s">
        <v>133</v>
      </c>
      <c r="C14" s="588"/>
      <c r="D14" s="588"/>
      <c r="E14" s="588" t="s">
        <v>136</v>
      </c>
      <c r="F14" s="588"/>
      <c r="G14" s="588"/>
      <c r="H14" s="588" t="s">
        <v>130</v>
      </c>
      <c r="I14" s="588"/>
      <c r="J14" s="588"/>
      <c r="K14" s="588" t="s">
        <v>31</v>
      </c>
      <c r="L14" s="588"/>
      <c r="M14" s="589"/>
      <c r="N14" s="51" t="s">
        <v>10</v>
      </c>
    </row>
    <row r="15" spans="1:17" ht="28.5" x14ac:dyDescent="0.2">
      <c r="A15" s="586"/>
      <c r="B15" s="235" t="s">
        <v>32</v>
      </c>
      <c r="C15" s="235" t="s">
        <v>33</v>
      </c>
      <c r="D15" s="235" t="s">
        <v>3</v>
      </c>
      <c r="E15" s="235" t="s">
        <v>32</v>
      </c>
      <c r="F15" s="235" t="s">
        <v>33</v>
      </c>
      <c r="G15" s="235" t="s">
        <v>3</v>
      </c>
      <c r="H15" s="235" t="s">
        <v>32</v>
      </c>
      <c r="I15" s="235" t="s">
        <v>33</v>
      </c>
      <c r="J15" s="235" t="s">
        <v>3</v>
      </c>
      <c r="K15" s="235" t="s">
        <v>32</v>
      </c>
      <c r="L15" s="235" t="s">
        <v>33</v>
      </c>
      <c r="M15" s="234" t="s">
        <v>3</v>
      </c>
      <c r="N15" s="51" t="s">
        <v>10</v>
      </c>
    </row>
    <row r="16" spans="1:17" ht="42.75" x14ac:dyDescent="0.2">
      <c r="A16" s="178" t="s">
        <v>418</v>
      </c>
      <c r="B16" s="414">
        <v>0</v>
      </c>
      <c r="C16" s="414">
        <v>0</v>
      </c>
      <c r="D16" s="414">
        <v>30</v>
      </c>
      <c r="E16" s="414">
        <v>0</v>
      </c>
      <c r="F16" s="414">
        <v>0</v>
      </c>
      <c r="G16" s="414">
        <v>30</v>
      </c>
      <c r="H16" s="414">
        <v>0</v>
      </c>
      <c r="I16" s="414">
        <v>0</v>
      </c>
      <c r="J16" s="414">
        <v>30</v>
      </c>
      <c r="K16" s="414">
        <f t="shared" ref="K16:M18" si="2">H16-E16</f>
        <v>0</v>
      </c>
      <c r="L16" s="414">
        <f t="shared" si="2"/>
        <v>0</v>
      </c>
      <c r="M16" s="415">
        <f t="shared" si="2"/>
        <v>0</v>
      </c>
      <c r="N16" s="51" t="s">
        <v>10</v>
      </c>
    </row>
    <row r="17" spans="1:14" x14ac:dyDescent="0.2">
      <c r="A17" s="207" t="s">
        <v>229</v>
      </c>
      <c r="B17" s="154">
        <v>0</v>
      </c>
      <c r="C17" s="154">
        <v>0</v>
      </c>
      <c r="D17" s="154">
        <v>6572</v>
      </c>
      <c r="E17" s="154">
        <v>0</v>
      </c>
      <c r="F17" s="154">
        <v>0</v>
      </c>
      <c r="G17" s="154">
        <v>6824</v>
      </c>
      <c r="H17" s="154">
        <v>0</v>
      </c>
      <c r="I17" s="154">
        <v>0</v>
      </c>
      <c r="J17" s="154">
        <v>6824</v>
      </c>
      <c r="K17" s="154">
        <f t="shared" si="2"/>
        <v>0</v>
      </c>
      <c r="L17" s="154">
        <f t="shared" si="2"/>
        <v>0</v>
      </c>
      <c r="M17" s="151">
        <f t="shared" si="2"/>
        <v>0</v>
      </c>
      <c r="N17" s="51" t="s">
        <v>10</v>
      </c>
    </row>
    <row r="18" spans="1:14" ht="28.5" x14ac:dyDescent="0.2">
      <c r="A18" s="229" t="s">
        <v>390</v>
      </c>
      <c r="B18" s="154">
        <v>0</v>
      </c>
      <c r="C18" s="154">
        <v>0</v>
      </c>
      <c r="D18" s="154">
        <v>1893</v>
      </c>
      <c r="E18" s="154">
        <v>0</v>
      </c>
      <c r="F18" s="154">
        <v>0</v>
      </c>
      <c r="G18" s="154">
        <v>2146</v>
      </c>
      <c r="H18" s="154">
        <v>0</v>
      </c>
      <c r="I18" s="154">
        <v>0</v>
      </c>
      <c r="J18" s="154">
        <v>2146</v>
      </c>
      <c r="K18" s="154">
        <f t="shared" si="2"/>
        <v>0</v>
      </c>
      <c r="L18" s="154">
        <f t="shared" si="2"/>
        <v>0</v>
      </c>
      <c r="M18" s="151">
        <f t="shared" si="2"/>
        <v>0</v>
      </c>
      <c r="N18" s="51" t="s">
        <v>10</v>
      </c>
    </row>
    <row r="19" spans="1:14" ht="15.75" thickBot="1" x14ac:dyDescent="0.3">
      <c r="A19" s="21" t="s">
        <v>109</v>
      </c>
      <c r="B19" s="27">
        <f t="shared" ref="B19:M19" si="3">SUM(B16:B18)</f>
        <v>0</v>
      </c>
      <c r="C19" s="27">
        <f t="shared" si="3"/>
        <v>0</v>
      </c>
      <c r="D19" s="27">
        <f t="shared" si="3"/>
        <v>8495</v>
      </c>
      <c r="E19" s="27">
        <f t="shared" si="3"/>
        <v>0</v>
      </c>
      <c r="F19" s="27">
        <f t="shared" si="3"/>
        <v>0</v>
      </c>
      <c r="G19" s="27">
        <f t="shared" si="3"/>
        <v>9000</v>
      </c>
      <c r="H19" s="27">
        <f t="shared" si="3"/>
        <v>0</v>
      </c>
      <c r="I19" s="27">
        <f t="shared" si="3"/>
        <v>0</v>
      </c>
      <c r="J19" s="27">
        <f t="shared" si="3"/>
        <v>9000</v>
      </c>
      <c r="K19" s="27">
        <f t="shared" si="3"/>
        <v>0</v>
      </c>
      <c r="L19" s="27">
        <f t="shared" si="3"/>
        <v>0</v>
      </c>
      <c r="M19" s="251">
        <f t="shared" si="3"/>
        <v>0</v>
      </c>
      <c r="N19" s="51" t="s">
        <v>10</v>
      </c>
    </row>
    <row r="20" spans="1:14" x14ac:dyDescent="0.2">
      <c r="N20" s="51" t="s">
        <v>10</v>
      </c>
    </row>
    <row r="21" spans="1:14" x14ac:dyDescent="0.2">
      <c r="N21" s="51" t="s">
        <v>11</v>
      </c>
    </row>
  </sheetData>
  <customSheetViews>
    <customSheetView guid="{EE916FE7-61FB-4021-ADDD-E082241FC03C}" scale="80" showPageBreaks="1" printArea="1" view="pageBreakPreview">
      <selection activeCell="D41" sqref="D41"/>
      <pageMargins left="0.7" right="0.7" top="0.75" bottom="0.75" header="0.3" footer="0.3"/>
      <printOptions horizontalCentered="1"/>
      <pageSetup scale="79" orientation="landscape" r:id="rId1"/>
      <headerFooter>
        <oddHeader>&amp;L&amp;"Arial,Bold"&amp;12H. Summary of Reimbursable Resources</oddHeader>
        <oddFooter>&amp;C&amp;"Arial,Regular"Exhibit H - Summary of Reimbursable Resources&amp;R&amp;"Arial,Regular"Juvenile Justice Programs</oddFooter>
      </headerFooter>
    </customSheetView>
    <customSheetView guid="{0BB5DC4B-BC2A-4489-BE17-5E267FA1EF63}" scale="80" showPageBreaks="1" printArea="1" view="pageBreakPreview">
      <selection activeCell="D41" sqref="D41"/>
      <pageMargins left="0.7" right="0.7" top="0.75" bottom="0.75" header="0.3" footer="0.3"/>
      <printOptions horizontalCentered="1"/>
      <pageSetup scale="79" orientation="landscape" r:id="rId2"/>
      <headerFooter>
        <oddHeader>&amp;L&amp;"Arial,Bold"&amp;12H. Summary of Reimbursable Resources</oddHeader>
        <oddFooter>&amp;C&amp;"Arial,Regular"Exhibit H - Summary of Reimbursable Resources&amp;R&amp;"Arial,Regular"Juvenile Justice Programs</oddFooter>
      </headerFooter>
    </customSheetView>
    <customSheetView guid="{6C58FFE1-D756-42C4-A1BC-AA7F1DC1E56F}" scale="80" showPageBreaks="1" printArea="1" view="pageBreakPreview" topLeftCell="C1">
      <selection activeCell="O33" sqref="O33"/>
      <pageMargins left="0.7" right="0.7" top="0.75" bottom="0.75" header="0.3" footer="0.3"/>
      <printOptions horizontalCentered="1"/>
      <pageSetup scale="79" orientation="landscape" r:id="rId3"/>
      <headerFooter>
        <oddHeader>&amp;L&amp;"Arial,Bold"&amp;12H. Summary of Reimbursable Resources</oddHeader>
        <oddFooter>&amp;C&amp;"Arial,Regular"Exhibit H - Summary of Reimbursable Resources&amp;R&amp;"Arial,Regular"Juvenile Justice Programs</oddFooter>
      </headerFooter>
    </customSheetView>
    <customSheetView guid="{CFA5D1C9-F4C9-4B8D-923D-4C71CB6E7D3B}" scale="80" showPageBreaks="1" printArea="1" view="pageBreakPreview">
      <selection activeCell="D41" sqref="D41"/>
      <pageMargins left="0.7" right="0.7" top="0.75" bottom="0.75" header="0.3" footer="0.3"/>
      <printOptions horizontalCentered="1"/>
      <pageSetup scale="79" orientation="landscape" r:id="rId4"/>
      <headerFooter>
        <oddHeader>&amp;L&amp;"Arial,Bold"&amp;12H. Summary of Reimbursable Resources</oddHeader>
        <oddFooter>&amp;C&amp;"Arial,Regular"Exhibit H - Summary of Reimbursable Resources&amp;R&amp;"Arial,Regular"Juvenile Justice Programs</oddFooter>
      </headerFooter>
    </customSheetView>
    <customSheetView guid="{A788DF77-74F1-49E4-8B34-BFBDB7664F30}" scale="80" showPageBreaks="1" printArea="1" view="pageBreakPreview" topLeftCell="C1">
      <selection activeCell="O33" sqref="O33"/>
      <pageMargins left="0.7" right="0.7" top="0.75" bottom="0.75" header="0.3" footer="0.3"/>
      <printOptions horizontalCentered="1"/>
      <pageSetup scale="79" orientation="landscape" r:id="rId5"/>
      <headerFooter>
        <oddHeader>&amp;L&amp;"Arial,Bold"&amp;12H. Summary of Reimbursable Resources</oddHeader>
        <oddFooter>&amp;C&amp;"Arial,Regular"Exhibit H - Summary of Reimbursable Resources&amp;R&amp;"Arial,Regular"Juvenile Justice Programs</oddFooter>
      </headerFooter>
    </customSheetView>
  </customSheetViews>
  <mergeCells count="16">
    <mergeCell ref="A6:M6"/>
    <mergeCell ref="A1:M1"/>
    <mergeCell ref="A2:M2"/>
    <mergeCell ref="A3:M3"/>
    <mergeCell ref="A4:M4"/>
    <mergeCell ref="A5:M5"/>
    <mergeCell ref="A14:A15"/>
    <mergeCell ref="B14:D14"/>
    <mergeCell ref="E14:G14"/>
    <mergeCell ref="H14:J14"/>
    <mergeCell ref="K14:M14"/>
    <mergeCell ref="A7:A8"/>
    <mergeCell ref="B7:D7"/>
    <mergeCell ref="E7:G7"/>
    <mergeCell ref="H7:J7"/>
    <mergeCell ref="K7:M7"/>
  </mergeCells>
  <printOptions horizontalCentered="1"/>
  <pageMargins left="0.7" right="0.7" top="0.75" bottom="0.75" header="0.3" footer="0.3"/>
  <pageSetup scale="79" orientation="landscape" r:id="rId6"/>
  <headerFooter>
    <oddHeader>&amp;L&amp;"Arial,Bold"&amp;12H. Summary of Reimbursable Resources</oddHeader>
    <oddFooter>&amp;C&amp;"Arial,Regular"Exhibit H - Summary of Reimbursable Resources&amp;R&amp;"Arial,Regular"Juvenile Justice Programs</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view="pageBreakPreview" zoomScale="80" zoomScaleNormal="100" zoomScaleSheetLayoutView="80" workbookViewId="0">
      <selection activeCell="J31" sqref="J31"/>
    </sheetView>
  </sheetViews>
  <sheetFormatPr defaultRowHeight="14.25" x14ac:dyDescent="0.2"/>
  <cols>
    <col min="1" max="1" width="63.5703125" style="143" customWidth="1"/>
    <col min="2" max="2" width="8.7109375" style="143" customWidth="1"/>
    <col min="3" max="3" width="12.7109375" style="143" customWidth="1"/>
    <col min="4" max="4" width="8.7109375" style="143" customWidth="1"/>
    <col min="5" max="5" width="12.7109375" style="143" customWidth="1"/>
    <col min="6" max="6" width="8.7109375" style="143" customWidth="1"/>
    <col min="7" max="7" width="12.7109375" style="143" customWidth="1"/>
    <col min="8" max="8" width="8.7109375" style="143" customWidth="1"/>
    <col min="9" max="9" width="12.7109375" style="143" customWidth="1"/>
    <col min="10" max="10" width="8.7109375" style="143" customWidth="1"/>
    <col min="11" max="11" width="12.7109375" style="143" customWidth="1"/>
    <col min="12" max="12" width="8.7109375" style="143" customWidth="1"/>
    <col min="13" max="13" width="12.7109375" style="143" customWidth="1"/>
    <col min="14" max="14" width="14" style="4" bestFit="1" customWidth="1"/>
    <col min="15" max="15" width="4.5703125" style="143" customWidth="1"/>
    <col min="16" max="17" width="8.28515625" style="143" customWidth="1"/>
    <col min="18" max="18" width="12.7109375" style="143" customWidth="1"/>
    <col min="19" max="20" width="8.28515625" style="143" customWidth="1"/>
    <col min="21" max="21" width="12.7109375" style="143" customWidth="1"/>
    <col min="22" max="16384" width="9.140625" style="143"/>
  </cols>
  <sheetData>
    <row r="1" spans="1:21" ht="18" x14ac:dyDescent="0.25">
      <c r="A1" s="577" t="s">
        <v>253</v>
      </c>
      <c r="B1" s="577"/>
      <c r="C1" s="577"/>
      <c r="D1" s="577"/>
      <c r="E1" s="577"/>
      <c r="F1" s="577"/>
      <c r="G1" s="577"/>
      <c r="H1" s="577"/>
      <c r="I1" s="577"/>
      <c r="J1" s="577"/>
      <c r="K1" s="577"/>
      <c r="L1" s="577"/>
      <c r="M1" s="577"/>
      <c r="N1" s="51" t="s">
        <v>10</v>
      </c>
      <c r="O1" s="6"/>
      <c r="P1" s="6"/>
      <c r="Q1" s="6"/>
      <c r="R1" s="6"/>
      <c r="S1" s="6"/>
      <c r="T1" s="6"/>
      <c r="U1" s="6"/>
    </row>
    <row r="2" spans="1:21" ht="15" x14ac:dyDescent="0.2">
      <c r="A2" s="578" t="s">
        <v>152</v>
      </c>
      <c r="B2" s="578"/>
      <c r="C2" s="578"/>
      <c r="D2" s="578"/>
      <c r="E2" s="578"/>
      <c r="F2" s="578"/>
      <c r="G2" s="578"/>
      <c r="H2" s="578"/>
      <c r="I2" s="578"/>
      <c r="J2" s="578"/>
      <c r="K2" s="578"/>
      <c r="L2" s="578"/>
      <c r="M2" s="578"/>
      <c r="N2" s="51" t="s">
        <v>10</v>
      </c>
      <c r="O2" s="7"/>
      <c r="P2" s="7"/>
      <c r="Q2" s="7"/>
      <c r="R2" s="7"/>
      <c r="S2" s="7"/>
      <c r="T2" s="7"/>
      <c r="U2" s="7"/>
    </row>
    <row r="3" spans="1:21" x14ac:dyDescent="0.2">
      <c r="A3" s="579" t="s">
        <v>399</v>
      </c>
      <c r="B3" s="579"/>
      <c r="C3" s="579"/>
      <c r="D3" s="579"/>
      <c r="E3" s="579"/>
      <c r="F3" s="579"/>
      <c r="G3" s="579"/>
      <c r="H3" s="579"/>
      <c r="I3" s="579"/>
      <c r="J3" s="579"/>
      <c r="K3" s="579"/>
      <c r="L3" s="579"/>
      <c r="M3" s="579"/>
      <c r="N3" s="51" t="s">
        <v>10</v>
      </c>
      <c r="O3" s="163"/>
      <c r="P3" s="163"/>
      <c r="Q3" s="163"/>
      <c r="R3" s="163"/>
      <c r="S3" s="163"/>
      <c r="T3" s="163"/>
      <c r="U3" s="163"/>
    </row>
    <row r="4" spans="1:21" x14ac:dyDescent="0.2">
      <c r="A4" s="608" t="s">
        <v>1</v>
      </c>
      <c r="B4" s="608"/>
      <c r="C4" s="608"/>
      <c r="D4" s="608"/>
      <c r="E4" s="608"/>
      <c r="F4" s="608"/>
      <c r="G4" s="608"/>
      <c r="H4" s="608"/>
      <c r="I4" s="608"/>
      <c r="J4" s="608"/>
      <c r="K4" s="608"/>
      <c r="L4" s="608"/>
      <c r="M4" s="608"/>
      <c r="N4" s="51" t="s">
        <v>10</v>
      </c>
      <c r="O4" s="162"/>
      <c r="P4" s="162"/>
      <c r="Q4" s="162"/>
      <c r="R4" s="162"/>
      <c r="S4" s="162"/>
      <c r="T4" s="162"/>
      <c r="U4" s="162"/>
    </row>
    <row r="5" spans="1:21" ht="15" thickBot="1" x14ac:dyDescent="0.25">
      <c r="A5" s="608"/>
      <c r="B5" s="608"/>
      <c r="C5" s="608"/>
      <c r="D5" s="608"/>
      <c r="E5" s="608"/>
      <c r="F5" s="608"/>
      <c r="G5" s="608"/>
      <c r="H5" s="608"/>
      <c r="I5" s="608"/>
      <c r="J5" s="608"/>
      <c r="K5" s="608"/>
      <c r="L5" s="608"/>
      <c r="M5" s="608"/>
      <c r="N5" s="51" t="s">
        <v>10</v>
      </c>
      <c r="O5" s="162"/>
      <c r="P5" s="162"/>
      <c r="Q5" s="162"/>
      <c r="R5" s="162"/>
      <c r="S5" s="162"/>
      <c r="T5" s="162"/>
      <c r="U5" s="162"/>
    </row>
    <row r="6" spans="1:21" ht="15" x14ac:dyDescent="0.2">
      <c r="A6" s="585"/>
      <c r="B6" s="621" t="s">
        <v>399</v>
      </c>
      <c r="C6" s="618"/>
      <c r="D6" s="618"/>
      <c r="E6" s="618"/>
      <c r="F6" s="618"/>
      <c r="G6" s="618"/>
      <c r="H6" s="646"/>
      <c r="I6" s="646"/>
      <c r="J6" s="646"/>
      <c r="K6" s="646"/>
      <c r="L6" s="646"/>
      <c r="M6" s="656"/>
      <c r="N6" s="51" t="s">
        <v>10</v>
      </c>
    </row>
    <row r="7" spans="1:21" ht="15" customHeight="1" x14ac:dyDescent="0.2">
      <c r="A7" s="638"/>
      <c r="B7" s="636" t="s">
        <v>378</v>
      </c>
      <c r="C7" s="639"/>
      <c r="D7" s="636" t="s">
        <v>378</v>
      </c>
      <c r="E7" s="639"/>
      <c r="F7" s="636" t="s">
        <v>378</v>
      </c>
      <c r="G7" s="639"/>
      <c r="H7" s="636" t="s">
        <v>378</v>
      </c>
      <c r="I7" s="639"/>
      <c r="J7" s="636" t="s">
        <v>378</v>
      </c>
      <c r="K7" s="639"/>
      <c r="L7" s="636" t="s">
        <v>378</v>
      </c>
      <c r="M7" s="657"/>
      <c r="N7" s="51"/>
    </row>
    <row r="8" spans="1:21" ht="66" customHeight="1" x14ac:dyDescent="0.2">
      <c r="A8" s="638"/>
      <c r="B8" s="636" t="s">
        <v>396</v>
      </c>
      <c r="C8" s="637"/>
      <c r="D8" s="636" t="s">
        <v>422</v>
      </c>
      <c r="E8" s="637"/>
      <c r="F8" s="636" t="s">
        <v>407</v>
      </c>
      <c r="G8" s="637"/>
      <c r="H8" s="636" t="s">
        <v>406</v>
      </c>
      <c r="I8" s="637"/>
      <c r="J8" s="636" t="s">
        <v>405</v>
      </c>
      <c r="K8" s="637"/>
      <c r="L8" s="636" t="s">
        <v>404</v>
      </c>
      <c r="M8" s="659"/>
      <c r="N8" s="51" t="s">
        <v>10</v>
      </c>
    </row>
    <row r="9" spans="1:21" ht="28.5" x14ac:dyDescent="0.2">
      <c r="A9" s="586"/>
      <c r="B9" s="235" t="s">
        <v>2</v>
      </c>
      <c r="C9" s="235" t="s">
        <v>3</v>
      </c>
      <c r="D9" s="235" t="s">
        <v>2</v>
      </c>
      <c r="E9" s="235" t="s">
        <v>3</v>
      </c>
      <c r="F9" s="235" t="s">
        <v>2</v>
      </c>
      <c r="G9" s="235" t="s">
        <v>3</v>
      </c>
      <c r="H9" s="235" t="s">
        <v>2</v>
      </c>
      <c r="I9" s="235" t="s">
        <v>3</v>
      </c>
      <c r="J9" s="235" t="s">
        <v>2</v>
      </c>
      <c r="K9" s="235" t="s">
        <v>3</v>
      </c>
      <c r="L9" s="235" t="s">
        <v>2</v>
      </c>
      <c r="M9" s="234" t="s">
        <v>3</v>
      </c>
      <c r="N9" s="51" t="s">
        <v>10</v>
      </c>
    </row>
    <row r="10" spans="1:21" x14ac:dyDescent="0.2">
      <c r="A10" s="525" t="s">
        <v>72</v>
      </c>
      <c r="B10" s="209"/>
      <c r="C10" s="209">
        <v>2</v>
      </c>
      <c r="D10" s="209"/>
      <c r="E10" s="209">
        <v>4</v>
      </c>
      <c r="F10" s="209"/>
      <c r="G10" s="209">
        <v>0</v>
      </c>
      <c r="H10" s="209"/>
      <c r="I10" s="209">
        <v>1</v>
      </c>
      <c r="J10" s="209"/>
      <c r="K10" s="209">
        <v>4</v>
      </c>
      <c r="L10" s="209"/>
      <c r="M10" s="208">
        <v>1</v>
      </c>
      <c r="N10" s="51" t="s">
        <v>10</v>
      </c>
    </row>
    <row r="11" spans="1:21" x14ac:dyDescent="0.2">
      <c r="A11" s="525" t="s">
        <v>73</v>
      </c>
      <c r="B11" s="209"/>
      <c r="C11" s="209">
        <v>246</v>
      </c>
      <c r="D11" s="209"/>
      <c r="E11" s="209">
        <v>532</v>
      </c>
      <c r="F11" s="209"/>
      <c r="G11" s="209">
        <v>20</v>
      </c>
      <c r="H11" s="209"/>
      <c r="I11" s="209">
        <v>106</v>
      </c>
      <c r="J11" s="209"/>
      <c r="K11" s="209">
        <v>592</v>
      </c>
      <c r="L11" s="209"/>
      <c r="M11" s="208">
        <v>197</v>
      </c>
      <c r="N11" s="51" t="s">
        <v>10</v>
      </c>
    </row>
    <row r="12" spans="1:21" x14ac:dyDescent="0.2">
      <c r="A12" s="525" t="s">
        <v>74</v>
      </c>
      <c r="B12" s="209"/>
      <c r="C12" s="209">
        <v>35</v>
      </c>
      <c r="D12" s="209"/>
      <c r="E12" s="209">
        <v>76</v>
      </c>
      <c r="F12" s="209"/>
      <c r="G12" s="209">
        <v>3</v>
      </c>
      <c r="H12" s="209"/>
      <c r="I12" s="209">
        <v>15</v>
      </c>
      <c r="J12" s="209"/>
      <c r="K12" s="209">
        <v>84</v>
      </c>
      <c r="L12" s="209"/>
      <c r="M12" s="208">
        <v>28</v>
      </c>
      <c r="N12" s="51" t="s">
        <v>10</v>
      </c>
    </row>
    <row r="13" spans="1:21" x14ac:dyDescent="0.2">
      <c r="A13" s="525" t="s">
        <v>75</v>
      </c>
      <c r="B13" s="209"/>
      <c r="C13" s="209">
        <v>1144</v>
      </c>
      <c r="D13" s="209"/>
      <c r="E13" s="209">
        <v>2470</v>
      </c>
      <c r="F13" s="209"/>
      <c r="G13" s="209">
        <v>91</v>
      </c>
      <c r="H13" s="209"/>
      <c r="I13" s="209">
        <v>494</v>
      </c>
      <c r="J13" s="209"/>
      <c r="K13" s="209">
        <v>2744</v>
      </c>
      <c r="L13" s="209"/>
      <c r="M13" s="208">
        <v>915</v>
      </c>
      <c r="N13" s="51" t="s">
        <v>10</v>
      </c>
    </row>
    <row r="14" spans="1:21" x14ac:dyDescent="0.2">
      <c r="A14" s="525" t="s">
        <v>77</v>
      </c>
      <c r="B14" s="209"/>
      <c r="C14" s="209">
        <v>0</v>
      </c>
      <c r="D14" s="209"/>
      <c r="E14" s="209">
        <v>0</v>
      </c>
      <c r="F14" s="209"/>
      <c r="G14" s="209">
        <v>0</v>
      </c>
      <c r="H14" s="209"/>
      <c r="I14" s="209">
        <v>0</v>
      </c>
      <c r="J14" s="209"/>
      <c r="K14" s="209">
        <v>0</v>
      </c>
      <c r="L14" s="209"/>
      <c r="M14" s="208">
        <v>0</v>
      </c>
      <c r="N14" s="51" t="s">
        <v>10</v>
      </c>
    </row>
    <row r="15" spans="1:21" x14ac:dyDescent="0.2">
      <c r="A15" s="525" t="s">
        <v>78</v>
      </c>
      <c r="B15" s="209"/>
      <c r="C15" s="209">
        <v>0</v>
      </c>
      <c r="D15" s="209"/>
      <c r="E15" s="209">
        <v>0</v>
      </c>
      <c r="F15" s="209"/>
      <c r="G15" s="209">
        <v>0</v>
      </c>
      <c r="H15" s="209"/>
      <c r="I15" s="209">
        <v>0</v>
      </c>
      <c r="J15" s="209"/>
      <c r="K15" s="209">
        <v>0</v>
      </c>
      <c r="L15" s="209"/>
      <c r="M15" s="208">
        <v>0</v>
      </c>
      <c r="N15" s="51" t="s">
        <v>10</v>
      </c>
    </row>
    <row r="16" spans="1:21" x14ac:dyDescent="0.2">
      <c r="A16" s="525" t="s">
        <v>80</v>
      </c>
      <c r="B16" s="209"/>
      <c r="C16" s="209">
        <v>0</v>
      </c>
      <c r="D16" s="209"/>
      <c r="E16" s="209">
        <v>0</v>
      </c>
      <c r="F16" s="209"/>
      <c r="G16" s="209">
        <v>0</v>
      </c>
      <c r="H16" s="209"/>
      <c r="I16" s="209">
        <v>0</v>
      </c>
      <c r="J16" s="209"/>
      <c r="K16" s="209">
        <v>0</v>
      </c>
      <c r="L16" s="209"/>
      <c r="M16" s="208">
        <v>0</v>
      </c>
      <c r="N16" s="51" t="s">
        <v>10</v>
      </c>
    </row>
    <row r="17" spans="1:14" x14ac:dyDescent="0.2">
      <c r="A17" s="525" t="s">
        <v>81</v>
      </c>
      <c r="B17" s="209"/>
      <c r="C17" s="209">
        <v>0</v>
      </c>
      <c r="D17" s="209"/>
      <c r="E17" s="209">
        <v>0</v>
      </c>
      <c r="F17" s="209"/>
      <c r="G17" s="209">
        <v>0</v>
      </c>
      <c r="H17" s="209"/>
      <c r="I17" s="209">
        <v>0</v>
      </c>
      <c r="J17" s="209"/>
      <c r="K17" s="209">
        <v>0</v>
      </c>
      <c r="L17" s="209"/>
      <c r="M17" s="208">
        <v>0</v>
      </c>
      <c r="N17" s="51" t="s">
        <v>10</v>
      </c>
    </row>
    <row r="18" spans="1:14" x14ac:dyDescent="0.2">
      <c r="A18" s="534" t="s">
        <v>83</v>
      </c>
      <c r="B18" s="238"/>
      <c r="C18" s="238">
        <v>11073</v>
      </c>
      <c r="D18" s="238"/>
      <c r="E18" s="238">
        <v>23918</v>
      </c>
      <c r="F18" s="238"/>
      <c r="G18" s="238">
        <v>886</v>
      </c>
      <c r="H18" s="238"/>
      <c r="I18" s="238">
        <v>4784</v>
      </c>
      <c r="J18" s="238"/>
      <c r="K18" s="238">
        <v>26576</v>
      </c>
      <c r="L18" s="238"/>
      <c r="M18" s="237">
        <v>8859</v>
      </c>
      <c r="N18" s="51" t="s">
        <v>10</v>
      </c>
    </row>
    <row r="19" spans="1:14" ht="15.75" thickBot="1" x14ac:dyDescent="0.3">
      <c r="A19" s="526" t="s">
        <v>250</v>
      </c>
      <c r="B19" s="27">
        <f t="shared" ref="B19:M19" si="0">SUM(B10:B18)</f>
        <v>0</v>
      </c>
      <c r="C19" s="27">
        <f t="shared" si="0"/>
        <v>12500</v>
      </c>
      <c r="D19" s="27">
        <f t="shared" si="0"/>
        <v>0</v>
      </c>
      <c r="E19" s="27">
        <f t="shared" si="0"/>
        <v>27000</v>
      </c>
      <c r="F19" s="27">
        <f t="shared" si="0"/>
        <v>0</v>
      </c>
      <c r="G19" s="27">
        <f t="shared" si="0"/>
        <v>1000</v>
      </c>
      <c r="H19" s="27">
        <f t="shared" si="0"/>
        <v>0</v>
      </c>
      <c r="I19" s="27">
        <f t="shared" si="0"/>
        <v>5400</v>
      </c>
      <c r="J19" s="27">
        <f t="shared" si="0"/>
        <v>0</v>
      </c>
      <c r="K19" s="27">
        <f t="shared" si="0"/>
        <v>30000</v>
      </c>
      <c r="L19" s="27">
        <f t="shared" si="0"/>
        <v>0</v>
      </c>
      <c r="M19" s="251">
        <f t="shared" si="0"/>
        <v>10000</v>
      </c>
      <c r="N19" s="51" t="s">
        <v>10</v>
      </c>
    </row>
    <row r="20" spans="1:14" ht="15" x14ac:dyDescent="0.25">
      <c r="A20" s="294"/>
      <c r="B20" s="244"/>
      <c r="C20" s="244"/>
      <c r="D20" s="244"/>
      <c r="E20" s="244"/>
      <c r="F20" s="244"/>
      <c r="G20" s="244"/>
      <c r="H20" s="244"/>
      <c r="I20" s="244"/>
      <c r="J20" s="244"/>
      <c r="K20" s="244"/>
      <c r="L20" s="244"/>
      <c r="M20" s="244"/>
      <c r="N20" s="51" t="s">
        <v>10</v>
      </c>
    </row>
    <row r="21" spans="1:14" ht="15" thickBot="1" x14ac:dyDescent="0.25">
      <c r="A21" s="247"/>
      <c r="B21" s="247"/>
      <c r="C21" s="247"/>
      <c r="D21" s="247"/>
      <c r="E21" s="247"/>
      <c r="F21" s="247"/>
      <c r="G21" s="247"/>
      <c r="H21" s="247"/>
      <c r="I21" s="247"/>
      <c r="J21" s="247"/>
      <c r="K21" s="247"/>
      <c r="L21" s="247"/>
      <c r="M21" s="247"/>
      <c r="N21" s="51" t="s">
        <v>10</v>
      </c>
    </row>
    <row r="22" spans="1:14" ht="15" customHeight="1" x14ac:dyDescent="0.2">
      <c r="A22" s="585"/>
      <c r="B22" s="621" t="s">
        <v>399</v>
      </c>
      <c r="C22" s="618"/>
      <c r="D22" s="618"/>
      <c r="E22" s="618"/>
      <c r="F22" s="618"/>
      <c r="G22" s="618"/>
      <c r="H22" s="646"/>
      <c r="I22" s="647"/>
      <c r="J22" s="620" t="s">
        <v>9</v>
      </c>
      <c r="K22" s="641"/>
      <c r="L22" s="249"/>
      <c r="M22" s="249"/>
      <c r="N22" s="51" t="s">
        <v>10</v>
      </c>
    </row>
    <row r="23" spans="1:14" ht="15" customHeight="1" x14ac:dyDescent="0.2">
      <c r="A23" s="638"/>
      <c r="B23" s="636" t="s">
        <v>378</v>
      </c>
      <c r="C23" s="639"/>
      <c r="D23" s="636" t="s">
        <v>376</v>
      </c>
      <c r="E23" s="639"/>
      <c r="F23" s="636" t="s">
        <v>376</v>
      </c>
      <c r="G23" s="639"/>
      <c r="H23" s="636" t="s">
        <v>376</v>
      </c>
      <c r="I23" s="639"/>
      <c r="J23" s="642"/>
      <c r="K23" s="643"/>
      <c r="L23" s="249"/>
      <c r="M23" s="249"/>
      <c r="N23" s="51"/>
    </row>
    <row r="24" spans="1:14" ht="45.75" customHeight="1" x14ac:dyDescent="0.2">
      <c r="A24" s="638"/>
      <c r="B24" s="636" t="s">
        <v>390</v>
      </c>
      <c r="C24" s="637"/>
      <c r="D24" s="636" t="s">
        <v>389</v>
      </c>
      <c r="E24" s="637"/>
      <c r="F24" s="636" t="s">
        <v>388</v>
      </c>
      <c r="G24" s="637"/>
      <c r="H24" s="636" t="s">
        <v>387</v>
      </c>
      <c r="I24" s="637"/>
      <c r="J24" s="644"/>
      <c r="K24" s="645"/>
      <c r="L24" s="658"/>
      <c r="M24" s="658"/>
      <c r="N24" s="51" t="s">
        <v>10</v>
      </c>
    </row>
    <row r="25" spans="1:14" ht="28.5" x14ac:dyDescent="0.2">
      <c r="A25" s="586"/>
      <c r="B25" s="235" t="s">
        <v>2</v>
      </c>
      <c r="C25" s="235" t="s">
        <v>3</v>
      </c>
      <c r="D25" s="235" t="s">
        <v>2</v>
      </c>
      <c r="E25" s="235" t="s">
        <v>3</v>
      </c>
      <c r="F25" s="235" t="s">
        <v>2</v>
      </c>
      <c r="G25" s="235" t="s">
        <v>3</v>
      </c>
      <c r="H25" s="235" t="s">
        <v>2</v>
      </c>
      <c r="I25" s="235" t="s">
        <v>3</v>
      </c>
      <c r="J25" s="235" t="s">
        <v>2</v>
      </c>
      <c r="K25" s="234" t="s">
        <v>3</v>
      </c>
      <c r="L25" s="250"/>
      <c r="M25" s="250"/>
      <c r="N25" s="51" t="s">
        <v>10</v>
      </c>
    </row>
    <row r="26" spans="1:14" x14ac:dyDescent="0.2">
      <c r="A26" s="525" t="s">
        <v>72</v>
      </c>
      <c r="B26" s="209"/>
      <c r="C26" s="209">
        <v>0</v>
      </c>
      <c r="D26" s="209"/>
      <c r="E26" s="296">
        <v>-1</v>
      </c>
      <c r="F26" s="209"/>
      <c r="G26" s="296">
        <v>-1</v>
      </c>
      <c r="H26" s="209"/>
      <c r="I26" s="296">
        <v>-4</v>
      </c>
      <c r="J26" s="209"/>
      <c r="K26" s="208">
        <f t="shared" ref="K26:K32" si="1">SUM(C10,E10,G10,I10,K10,M10,C26,E26,G26,I26)</f>
        <v>6</v>
      </c>
      <c r="L26" s="277"/>
      <c r="M26" s="277"/>
      <c r="N26" s="51" t="s">
        <v>10</v>
      </c>
    </row>
    <row r="27" spans="1:14" x14ac:dyDescent="0.2">
      <c r="A27" s="525" t="s">
        <v>73</v>
      </c>
      <c r="B27" s="209"/>
      <c r="C27" s="209">
        <v>59</v>
      </c>
      <c r="D27" s="209"/>
      <c r="E27" s="296">
        <v>-109</v>
      </c>
      <c r="F27" s="209"/>
      <c r="G27" s="296">
        <v>-158</v>
      </c>
      <c r="H27" s="209"/>
      <c r="I27" s="296">
        <v>-601</v>
      </c>
      <c r="J27" s="209"/>
      <c r="K27" s="208">
        <f t="shared" si="1"/>
        <v>884</v>
      </c>
      <c r="L27" s="277"/>
      <c r="M27" s="277"/>
      <c r="N27" s="51" t="s">
        <v>10</v>
      </c>
    </row>
    <row r="28" spans="1:14" x14ac:dyDescent="0.2">
      <c r="A28" s="525" t="s">
        <v>74</v>
      </c>
      <c r="B28" s="209"/>
      <c r="C28" s="209">
        <v>8</v>
      </c>
      <c r="D28" s="209"/>
      <c r="E28" s="296">
        <v>-15</v>
      </c>
      <c r="F28" s="209"/>
      <c r="G28" s="296">
        <v>-22</v>
      </c>
      <c r="H28" s="209"/>
      <c r="I28" s="296">
        <v>-86</v>
      </c>
      <c r="J28" s="209"/>
      <c r="K28" s="208">
        <f t="shared" si="1"/>
        <v>126</v>
      </c>
      <c r="L28" s="277"/>
      <c r="M28" s="277"/>
      <c r="N28" s="51" t="s">
        <v>10</v>
      </c>
    </row>
    <row r="29" spans="1:14" x14ac:dyDescent="0.2">
      <c r="A29" s="525" t="s">
        <v>75</v>
      </c>
      <c r="B29" s="209"/>
      <c r="C29" s="209">
        <v>275</v>
      </c>
      <c r="D29" s="209"/>
      <c r="E29" s="296">
        <v>-503</v>
      </c>
      <c r="F29" s="209"/>
      <c r="G29" s="296">
        <v>-732</v>
      </c>
      <c r="H29" s="209"/>
      <c r="I29" s="296">
        <v>-2790</v>
      </c>
      <c r="J29" s="209"/>
      <c r="K29" s="208">
        <f t="shared" si="1"/>
        <v>4108</v>
      </c>
      <c r="L29" s="277"/>
      <c r="M29" s="277"/>
      <c r="N29" s="51" t="s">
        <v>10</v>
      </c>
    </row>
    <row r="30" spans="1:14" x14ac:dyDescent="0.2">
      <c r="A30" s="525" t="s">
        <v>77</v>
      </c>
      <c r="B30" s="209"/>
      <c r="C30" s="209">
        <v>0</v>
      </c>
      <c r="D30" s="209"/>
      <c r="E30" s="296">
        <v>0</v>
      </c>
      <c r="F30" s="209"/>
      <c r="G30" s="296">
        <v>0</v>
      </c>
      <c r="H30" s="209"/>
      <c r="I30" s="296">
        <v>0</v>
      </c>
      <c r="J30" s="209"/>
      <c r="K30" s="208">
        <f t="shared" si="1"/>
        <v>0</v>
      </c>
      <c r="L30" s="277"/>
      <c r="M30" s="277"/>
      <c r="N30" s="51" t="s">
        <v>10</v>
      </c>
    </row>
    <row r="31" spans="1:14" x14ac:dyDescent="0.2">
      <c r="A31" s="525" t="s">
        <v>78</v>
      </c>
      <c r="B31" s="209"/>
      <c r="C31" s="209">
        <v>0</v>
      </c>
      <c r="D31" s="209"/>
      <c r="E31" s="296">
        <v>0</v>
      </c>
      <c r="F31" s="209"/>
      <c r="G31" s="296">
        <v>0</v>
      </c>
      <c r="H31" s="209"/>
      <c r="I31" s="296">
        <v>0</v>
      </c>
      <c r="J31" s="209"/>
      <c r="K31" s="208">
        <f t="shared" si="1"/>
        <v>0</v>
      </c>
      <c r="L31" s="277"/>
      <c r="M31" s="277"/>
      <c r="N31" s="51" t="s">
        <v>10</v>
      </c>
    </row>
    <row r="32" spans="1:14" x14ac:dyDescent="0.2">
      <c r="A32" s="525" t="s">
        <v>80</v>
      </c>
      <c r="B32" s="209"/>
      <c r="C32" s="209">
        <v>0</v>
      </c>
      <c r="D32" s="209"/>
      <c r="E32" s="296">
        <v>0</v>
      </c>
      <c r="F32" s="209"/>
      <c r="G32" s="296">
        <v>0</v>
      </c>
      <c r="H32" s="209"/>
      <c r="I32" s="296">
        <v>0</v>
      </c>
      <c r="J32" s="209"/>
      <c r="K32" s="208">
        <f t="shared" si="1"/>
        <v>0</v>
      </c>
      <c r="L32" s="277"/>
      <c r="M32" s="277"/>
      <c r="N32" s="51" t="s">
        <v>10</v>
      </c>
    </row>
    <row r="33" spans="1:14" x14ac:dyDescent="0.2">
      <c r="A33" s="534" t="s">
        <v>81</v>
      </c>
      <c r="B33" s="238"/>
      <c r="C33" s="238">
        <v>0</v>
      </c>
      <c r="D33" s="238"/>
      <c r="E33" s="291">
        <v>0</v>
      </c>
      <c r="F33" s="238"/>
      <c r="G33" s="291">
        <v>0</v>
      </c>
      <c r="H33" s="238"/>
      <c r="I33" s="291">
        <v>0</v>
      </c>
      <c r="J33" s="238"/>
      <c r="K33" s="208">
        <f>SUM(C16,E16,G16,I16,K16,M16,C33,E33,G33,I33)</f>
        <v>0</v>
      </c>
      <c r="L33" s="277"/>
      <c r="M33" s="277"/>
      <c r="N33" s="51" t="s">
        <v>10</v>
      </c>
    </row>
    <row r="34" spans="1:14" x14ac:dyDescent="0.2">
      <c r="A34" s="534" t="s">
        <v>83</v>
      </c>
      <c r="B34" s="238"/>
      <c r="C34" s="238">
        <v>2658</v>
      </c>
      <c r="D34" s="238"/>
      <c r="E34" s="291">
        <v>-4872</v>
      </c>
      <c r="F34" s="238"/>
      <c r="G34" s="291">
        <v>-7087</v>
      </c>
      <c r="H34" s="238"/>
      <c r="I34" s="291">
        <v>-27019</v>
      </c>
      <c r="J34" s="238"/>
      <c r="K34" s="208">
        <f>SUM(C18,E18,G18,I18,K18,M18,C34,E34,G34,I34)</f>
        <v>39776</v>
      </c>
      <c r="L34" s="277"/>
      <c r="M34" s="277"/>
      <c r="N34" s="51" t="s">
        <v>10</v>
      </c>
    </row>
    <row r="35" spans="1:14" ht="15.75" thickBot="1" x14ac:dyDescent="0.3">
      <c r="A35" s="526" t="s">
        <v>250</v>
      </c>
      <c r="B35" s="27">
        <f t="shared" ref="B35:K35" si="2">SUM(B26:B34)</f>
        <v>0</v>
      </c>
      <c r="C35" s="27">
        <f t="shared" si="2"/>
        <v>3000</v>
      </c>
      <c r="D35" s="27">
        <f t="shared" si="2"/>
        <v>0</v>
      </c>
      <c r="E35" s="246">
        <f t="shared" si="2"/>
        <v>-5500</v>
      </c>
      <c r="F35" s="27">
        <f t="shared" si="2"/>
        <v>0</v>
      </c>
      <c r="G35" s="246">
        <f t="shared" si="2"/>
        <v>-8000</v>
      </c>
      <c r="H35" s="27">
        <f t="shared" si="2"/>
        <v>0</v>
      </c>
      <c r="I35" s="246">
        <f t="shared" si="2"/>
        <v>-30500</v>
      </c>
      <c r="J35" s="27">
        <f t="shared" si="2"/>
        <v>0</v>
      </c>
      <c r="K35" s="251">
        <f t="shared" si="2"/>
        <v>44900</v>
      </c>
      <c r="L35" s="360"/>
      <c r="M35" s="360"/>
      <c r="N35" s="51" t="s">
        <v>10</v>
      </c>
    </row>
    <row r="36" spans="1:14" x14ac:dyDescent="0.2">
      <c r="N36" s="51" t="s">
        <v>11</v>
      </c>
    </row>
  </sheetData>
  <customSheetViews>
    <customSheetView guid="{EE916FE7-61FB-4021-ADDD-E082241FC03C}" scale="80" showPageBreaks="1" printArea="1" view="pageBreakPreview">
      <selection activeCell="D41" sqref="D41"/>
      <rowBreaks count="1" manualBreakCount="1">
        <brk id="20" max="14" man="1"/>
      </rowBreaks>
      <pageMargins left="0.7" right="0.7" top="0.52" bottom="0.39" header="0.3" footer="0.23"/>
      <printOptions horizontalCentered="1"/>
      <pageSetup scale="56" fitToHeight="2" orientation="landscape" r:id="rId1"/>
      <headerFooter>
        <oddHeader xml:space="preserve">&amp;L&amp;"Arial,Bold"&amp;12J. Financial Analysis of Program Changes
</oddHeader>
        <oddFooter>&amp;C&amp;"Arial,Regular"Exhibit J - Financial Analysis of Program Changes&amp;R&amp;"Arial,Regular"Juvenile Justice Programs</oddFooter>
      </headerFooter>
    </customSheetView>
    <customSheetView guid="{0BB5DC4B-BC2A-4489-BE17-5E267FA1EF63}" scale="80" showPageBreaks="1" printArea="1" view="pageBreakPreview">
      <selection activeCell="D41" sqref="D41"/>
      <rowBreaks count="1" manualBreakCount="1">
        <brk id="20" max="14" man="1"/>
      </rowBreaks>
      <pageMargins left="0.7" right="0.7" top="0.52" bottom="0.39" header="0.3" footer="0.23"/>
      <printOptions horizontalCentered="1"/>
      <pageSetup scale="56" fitToHeight="2" orientation="landscape" r:id="rId2"/>
      <headerFooter>
        <oddHeader xml:space="preserve">&amp;L&amp;"Arial,Bold"&amp;12J. Financial Analysis of Program Changes
</oddHeader>
        <oddFooter>&amp;C&amp;"Arial,Regular"Exhibit J - Financial Analysis of Program Changes&amp;R&amp;"Arial,Regular"Juvenile Justice Programs</oddFooter>
      </headerFooter>
    </customSheetView>
    <customSheetView guid="{6C58FFE1-D756-42C4-A1BC-AA7F1DC1E56F}" scale="80" showPageBreaks="1" printArea="1" view="pageBreakPreview" topLeftCell="D1">
      <selection activeCell="A14" sqref="A14"/>
      <rowBreaks count="1" manualBreakCount="1">
        <brk id="20" max="14" man="1"/>
      </rowBreaks>
      <pageMargins left="0.7" right="0.7" top="0.52" bottom="0.39" header="0.3" footer="0.23"/>
      <printOptions horizontalCentered="1"/>
      <pageSetup scale="56" fitToHeight="2" orientation="landscape" r:id="rId3"/>
      <headerFooter>
        <oddHeader xml:space="preserve">&amp;L&amp;"Arial,Bold"&amp;12J. Financial Analysis of Program Changes
</oddHeader>
        <oddFooter>&amp;C&amp;"Arial,Regular"Exhibit J - Financial Analysis of Program Changes&amp;R&amp;"Arial,Regular"Juvenile Justice Programs</oddFooter>
      </headerFooter>
    </customSheetView>
    <customSheetView guid="{CFA5D1C9-F4C9-4B8D-923D-4C71CB6E7D3B}" scale="80" showPageBreaks="1" printArea="1" view="pageBreakPreview">
      <selection activeCell="D41" sqref="D41"/>
      <rowBreaks count="1" manualBreakCount="1">
        <brk id="20" max="14" man="1"/>
      </rowBreaks>
      <pageMargins left="0.7" right="0.7" top="0.52" bottom="0.39" header="0.3" footer="0.23"/>
      <printOptions horizontalCentered="1"/>
      <pageSetup scale="56" fitToHeight="2" orientation="landscape" r:id="rId4"/>
      <headerFooter>
        <oddHeader xml:space="preserve">&amp;L&amp;"Arial,Bold"&amp;12J. Financial Analysis of Program Changes
</oddHeader>
        <oddFooter>&amp;C&amp;"Arial,Regular"Exhibit J - Financial Analysis of Program Changes&amp;R&amp;"Arial,Regular"Juvenile Justice Programs</oddFooter>
      </headerFooter>
    </customSheetView>
    <customSheetView guid="{A788DF77-74F1-49E4-8B34-BFBDB7664F30}" scale="80" showPageBreaks="1" printArea="1" view="pageBreakPreview" topLeftCell="D1">
      <selection activeCell="A14" sqref="A14"/>
      <rowBreaks count="1" manualBreakCount="1">
        <brk id="20" max="14" man="1"/>
      </rowBreaks>
      <pageMargins left="0.7" right="0.7" top="0.52" bottom="0.39" header="0.3" footer="0.23"/>
      <printOptions horizontalCentered="1"/>
      <pageSetup scale="56" fitToHeight="2" orientation="landscape" r:id="rId5"/>
      <headerFooter>
        <oddHeader xml:space="preserve">&amp;L&amp;"Arial,Bold"&amp;12J. Financial Analysis of Program Changes
</oddHeader>
        <oddFooter>&amp;C&amp;"Arial,Regular"Exhibit J - Financial Analysis of Program Changes&amp;R&amp;"Arial,Regular"Juvenile Justice Programs</oddFooter>
      </headerFooter>
    </customSheetView>
  </customSheetViews>
  <mergeCells count="31">
    <mergeCell ref="B22:I22"/>
    <mergeCell ref="J22:K24"/>
    <mergeCell ref="F24:G24"/>
    <mergeCell ref="H24:I24"/>
    <mergeCell ref="B23:C23"/>
    <mergeCell ref="D23:E23"/>
    <mergeCell ref="F23:G23"/>
    <mergeCell ref="H23:I23"/>
    <mergeCell ref="A22:A25"/>
    <mergeCell ref="A1:M1"/>
    <mergeCell ref="A2:M2"/>
    <mergeCell ref="A3:M3"/>
    <mergeCell ref="A4:M4"/>
    <mergeCell ref="A5:M5"/>
    <mergeCell ref="A6:A9"/>
    <mergeCell ref="B8:C8"/>
    <mergeCell ref="D8:E8"/>
    <mergeCell ref="B24:C24"/>
    <mergeCell ref="L24:M24"/>
    <mergeCell ref="F8:G8"/>
    <mergeCell ref="H8:I8"/>
    <mergeCell ref="J8:K8"/>
    <mergeCell ref="L8:M8"/>
    <mergeCell ref="D24:E24"/>
    <mergeCell ref="B6:M6"/>
    <mergeCell ref="B7:C7"/>
    <mergeCell ref="D7:E7"/>
    <mergeCell ref="F7:G7"/>
    <mergeCell ref="H7:I7"/>
    <mergeCell ref="J7:K7"/>
    <mergeCell ref="L7:M7"/>
  </mergeCells>
  <printOptions horizontalCentered="1"/>
  <pageMargins left="0.5" right="0.5" top="0.5" bottom="0.5" header="0.3" footer="0.23"/>
  <pageSetup scale="62" fitToHeight="2" orientation="landscape" r:id="rId6"/>
  <headerFooter>
    <oddHeader xml:space="preserve">&amp;L&amp;"Arial,Bold"&amp;12J. Financial Analysis of Program Changes
</oddHeader>
    <oddFooter>&amp;C&amp;"Arial,Regular"Exhibit J - Financial Analysis of Program Changes&amp;R&amp;"Arial,Regular"Juvenile Justice Programs</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view="pageBreakPreview" zoomScale="80" zoomScaleNormal="100" zoomScaleSheetLayoutView="80" workbookViewId="0">
      <pane xSplit="1" ySplit="7" topLeftCell="B23" activePane="bottomRight" state="frozen"/>
      <selection pane="topRight" activeCell="B1" sqref="B1"/>
      <selection pane="bottomLeft" activeCell="A8" sqref="A8"/>
      <selection pane="bottomRight" activeCell="K28" sqref="K28"/>
    </sheetView>
  </sheetViews>
  <sheetFormatPr defaultRowHeight="14.25" x14ac:dyDescent="0.2"/>
  <cols>
    <col min="1" max="1" width="86.5703125" style="143" customWidth="1"/>
    <col min="2" max="2" width="8.28515625" style="143" customWidth="1"/>
    <col min="3" max="3" width="12.7109375" style="143" customWidth="1"/>
    <col min="4" max="4" width="8.28515625" style="143" customWidth="1"/>
    <col min="5" max="5" width="12.7109375" style="143" customWidth="1"/>
    <col min="6" max="6" width="8.28515625" style="143" customWidth="1"/>
    <col min="7" max="7" width="12.7109375" style="143" customWidth="1"/>
    <col min="8" max="8" width="8.28515625" style="143" customWidth="1"/>
    <col min="9" max="9" width="12.7109375" style="143" customWidth="1"/>
    <col min="10" max="10" width="14" style="4" bestFit="1" customWidth="1"/>
    <col min="11" max="11" width="4.5703125" style="143" customWidth="1"/>
    <col min="12" max="13" width="8.28515625" style="143" customWidth="1"/>
    <col min="14" max="14" width="12.7109375" style="143" customWidth="1"/>
    <col min="15" max="16" width="8.28515625" style="143" customWidth="1"/>
    <col min="17" max="17" width="12.7109375" style="143" customWidth="1"/>
    <col min="18" max="16384" width="9.140625" style="143"/>
  </cols>
  <sheetData>
    <row r="1" spans="1:17" ht="18" x14ac:dyDescent="0.25">
      <c r="A1" s="577" t="s">
        <v>59</v>
      </c>
      <c r="B1" s="577"/>
      <c r="C1" s="577"/>
      <c r="D1" s="577"/>
      <c r="E1" s="577"/>
      <c r="F1" s="577"/>
      <c r="G1" s="577"/>
      <c r="H1" s="577"/>
      <c r="I1" s="577"/>
      <c r="J1" s="51" t="s">
        <v>10</v>
      </c>
      <c r="K1" s="6"/>
      <c r="L1" s="6"/>
      <c r="M1" s="6"/>
      <c r="N1" s="6"/>
      <c r="O1" s="6"/>
      <c r="P1" s="6"/>
      <c r="Q1" s="6"/>
    </row>
    <row r="2" spans="1:17" ht="15" x14ac:dyDescent="0.2">
      <c r="A2" s="578" t="s">
        <v>152</v>
      </c>
      <c r="B2" s="578"/>
      <c r="C2" s="578"/>
      <c r="D2" s="578"/>
      <c r="E2" s="578"/>
      <c r="F2" s="578"/>
      <c r="G2" s="578"/>
      <c r="H2" s="578"/>
      <c r="I2" s="578"/>
      <c r="J2" s="51" t="s">
        <v>10</v>
      </c>
      <c r="K2" s="7"/>
      <c r="L2" s="7"/>
      <c r="M2" s="7"/>
      <c r="N2" s="7"/>
      <c r="O2" s="7"/>
      <c r="P2" s="7"/>
      <c r="Q2" s="7"/>
    </row>
    <row r="3" spans="1:17" x14ac:dyDescent="0.2">
      <c r="A3" s="579" t="s">
        <v>399</v>
      </c>
      <c r="B3" s="579"/>
      <c r="C3" s="579"/>
      <c r="D3" s="579"/>
      <c r="E3" s="579"/>
      <c r="F3" s="579"/>
      <c r="G3" s="579"/>
      <c r="H3" s="579"/>
      <c r="I3" s="579"/>
      <c r="J3" s="51" t="s">
        <v>10</v>
      </c>
      <c r="K3" s="163"/>
      <c r="L3" s="163"/>
      <c r="M3" s="163"/>
      <c r="N3" s="163"/>
      <c r="O3" s="163"/>
      <c r="P3" s="163"/>
      <c r="Q3" s="163"/>
    </row>
    <row r="4" spans="1:17" x14ac:dyDescent="0.2">
      <c r="A4" s="608" t="s">
        <v>1</v>
      </c>
      <c r="B4" s="608"/>
      <c r="C4" s="608"/>
      <c r="D4" s="608"/>
      <c r="E4" s="608"/>
      <c r="F4" s="608"/>
      <c r="G4" s="608"/>
      <c r="H4" s="608"/>
      <c r="I4" s="608"/>
      <c r="J4" s="51" t="s">
        <v>10</v>
      </c>
      <c r="K4" s="162"/>
      <c r="L4" s="162"/>
      <c r="M4" s="162"/>
      <c r="N4" s="162"/>
      <c r="O4" s="162"/>
      <c r="P4" s="162"/>
      <c r="Q4" s="162"/>
    </row>
    <row r="5" spans="1:17" ht="15" thickBot="1" x14ac:dyDescent="0.25">
      <c r="A5" s="608"/>
      <c r="B5" s="608"/>
      <c r="C5" s="608"/>
      <c r="D5" s="608"/>
      <c r="E5" s="608"/>
      <c r="F5" s="608"/>
      <c r="G5" s="608"/>
      <c r="H5" s="608"/>
      <c r="I5" s="608"/>
      <c r="J5" s="51" t="s">
        <v>10</v>
      </c>
      <c r="K5" s="162"/>
      <c r="L5" s="162"/>
      <c r="M5" s="162"/>
      <c r="N5" s="162"/>
      <c r="O5" s="162"/>
      <c r="P5" s="162"/>
      <c r="Q5" s="162"/>
    </row>
    <row r="6" spans="1:17" ht="15" x14ac:dyDescent="0.2">
      <c r="A6" s="585" t="s">
        <v>60</v>
      </c>
      <c r="B6" s="588" t="s">
        <v>133</v>
      </c>
      <c r="C6" s="588"/>
      <c r="D6" s="588" t="s">
        <v>135</v>
      </c>
      <c r="E6" s="588"/>
      <c r="F6" s="588" t="s">
        <v>130</v>
      </c>
      <c r="G6" s="588"/>
      <c r="H6" s="588" t="s">
        <v>31</v>
      </c>
      <c r="I6" s="589"/>
      <c r="J6" s="51" t="s">
        <v>10</v>
      </c>
    </row>
    <row r="7" spans="1:17" ht="28.5" x14ac:dyDescent="0.2">
      <c r="A7" s="586"/>
      <c r="B7" s="235" t="s">
        <v>17</v>
      </c>
      <c r="C7" s="235" t="s">
        <v>3</v>
      </c>
      <c r="D7" s="235" t="s">
        <v>17</v>
      </c>
      <c r="E7" s="235" t="s">
        <v>3</v>
      </c>
      <c r="F7" s="235" t="s">
        <v>17</v>
      </c>
      <c r="G7" s="235" t="s">
        <v>3</v>
      </c>
      <c r="H7" s="235" t="s">
        <v>17</v>
      </c>
      <c r="I7" s="234" t="s">
        <v>3</v>
      </c>
      <c r="J7" s="51" t="s">
        <v>10</v>
      </c>
    </row>
    <row r="8" spans="1:17" x14ac:dyDescent="0.2">
      <c r="A8" s="218" t="s">
        <v>61</v>
      </c>
      <c r="B8" s="217">
        <v>0</v>
      </c>
      <c r="C8" s="217">
        <v>0</v>
      </c>
      <c r="D8" s="217">
        <v>0</v>
      </c>
      <c r="E8" s="217">
        <v>0</v>
      </c>
      <c r="F8" s="217">
        <v>0</v>
      </c>
      <c r="G8" s="217">
        <v>0</v>
      </c>
      <c r="H8" s="217">
        <f t="shared" ref="H8:I13" si="0">F8-D8</f>
        <v>0</v>
      </c>
      <c r="I8" s="286">
        <f t="shared" si="0"/>
        <v>0</v>
      </c>
      <c r="J8" s="51" t="s">
        <v>10</v>
      </c>
    </row>
    <row r="9" spans="1:17" x14ac:dyDescent="0.2">
      <c r="A9" s="142" t="s">
        <v>62</v>
      </c>
      <c r="B9" s="154">
        <v>0</v>
      </c>
      <c r="C9" s="154">
        <v>0</v>
      </c>
      <c r="D9" s="154">
        <v>0</v>
      </c>
      <c r="E9" s="154">
        <v>0</v>
      </c>
      <c r="F9" s="154">
        <v>0</v>
      </c>
      <c r="G9" s="154">
        <v>0</v>
      </c>
      <c r="H9" s="154">
        <f t="shared" si="0"/>
        <v>0</v>
      </c>
      <c r="I9" s="151">
        <f t="shared" si="0"/>
        <v>0</v>
      </c>
      <c r="J9" s="51" t="s">
        <v>10</v>
      </c>
    </row>
    <row r="10" spans="1:17" x14ac:dyDescent="0.2">
      <c r="A10" s="142" t="s">
        <v>106</v>
      </c>
      <c r="B10" s="154">
        <f t="shared" ref="B10:G10" si="1">SUM(B11:B12)</f>
        <v>0</v>
      </c>
      <c r="C10" s="154">
        <f t="shared" si="1"/>
        <v>0</v>
      </c>
      <c r="D10" s="154">
        <f t="shared" si="1"/>
        <v>0</v>
      </c>
      <c r="E10" s="154">
        <f t="shared" si="1"/>
        <v>0</v>
      </c>
      <c r="F10" s="154">
        <f t="shared" si="1"/>
        <v>0</v>
      </c>
      <c r="G10" s="154">
        <f t="shared" si="1"/>
        <v>0</v>
      </c>
      <c r="H10" s="154">
        <f t="shared" si="0"/>
        <v>0</v>
      </c>
      <c r="I10" s="151">
        <f t="shared" si="0"/>
        <v>0</v>
      </c>
      <c r="J10" s="51" t="s">
        <v>10</v>
      </c>
    </row>
    <row r="11" spans="1:17" x14ac:dyDescent="0.2">
      <c r="A11" s="62" t="s">
        <v>16</v>
      </c>
      <c r="B11" s="134">
        <v>0</v>
      </c>
      <c r="C11" s="134">
        <v>0</v>
      </c>
      <c r="D11" s="134">
        <v>0</v>
      </c>
      <c r="E11" s="134">
        <v>0</v>
      </c>
      <c r="F11" s="134">
        <v>0</v>
      </c>
      <c r="G11" s="134">
        <v>0</v>
      </c>
      <c r="H11" s="134">
        <f t="shared" si="0"/>
        <v>0</v>
      </c>
      <c r="I11" s="135">
        <f t="shared" si="0"/>
        <v>0</v>
      </c>
      <c r="J11" s="51" t="s">
        <v>10</v>
      </c>
    </row>
    <row r="12" spans="1:17" x14ac:dyDescent="0.2">
      <c r="A12" s="62" t="s">
        <v>63</v>
      </c>
      <c r="B12" s="134">
        <v>0</v>
      </c>
      <c r="C12" s="134">
        <v>0</v>
      </c>
      <c r="D12" s="134">
        <v>0</v>
      </c>
      <c r="E12" s="134">
        <v>0</v>
      </c>
      <c r="F12" s="134">
        <v>0</v>
      </c>
      <c r="G12" s="134">
        <v>0</v>
      </c>
      <c r="H12" s="134">
        <f t="shared" si="0"/>
        <v>0</v>
      </c>
      <c r="I12" s="135">
        <f t="shared" si="0"/>
        <v>0</v>
      </c>
      <c r="J12" s="51" t="s">
        <v>10</v>
      </c>
    </row>
    <row r="13" spans="1:17" x14ac:dyDescent="0.2">
      <c r="A13" s="142" t="s">
        <v>64</v>
      </c>
      <c r="B13" s="213">
        <v>0</v>
      </c>
      <c r="C13" s="213">
        <v>0</v>
      </c>
      <c r="D13" s="213">
        <v>0</v>
      </c>
      <c r="E13" s="213">
        <v>0</v>
      </c>
      <c r="F13" s="213">
        <v>0</v>
      </c>
      <c r="G13" s="213">
        <v>0</v>
      </c>
      <c r="H13" s="213">
        <f t="shared" si="0"/>
        <v>0</v>
      </c>
      <c r="I13" s="211">
        <f t="shared" si="0"/>
        <v>0</v>
      </c>
      <c r="J13" s="51" t="s">
        <v>10</v>
      </c>
    </row>
    <row r="14" spans="1:17" ht="15" x14ac:dyDescent="0.25">
      <c r="A14" s="64" t="s">
        <v>12</v>
      </c>
      <c r="B14" s="105">
        <f t="shared" ref="B14:I14" si="2">SUM(B8:B10,B13)</f>
        <v>0</v>
      </c>
      <c r="C14" s="105">
        <f t="shared" si="2"/>
        <v>0</v>
      </c>
      <c r="D14" s="105">
        <f t="shared" si="2"/>
        <v>0</v>
      </c>
      <c r="E14" s="105">
        <f t="shared" si="2"/>
        <v>0</v>
      </c>
      <c r="F14" s="105">
        <f t="shared" si="2"/>
        <v>0</v>
      </c>
      <c r="G14" s="105">
        <f t="shared" si="2"/>
        <v>0</v>
      </c>
      <c r="H14" s="105">
        <f t="shared" si="2"/>
        <v>0</v>
      </c>
      <c r="I14" s="109">
        <f t="shared" si="2"/>
        <v>0</v>
      </c>
      <c r="J14" s="51" t="s">
        <v>10</v>
      </c>
    </row>
    <row r="15" spans="1:17" ht="15" x14ac:dyDescent="0.25">
      <c r="A15" s="63" t="s">
        <v>65</v>
      </c>
      <c r="B15" s="154"/>
      <c r="C15" s="154"/>
      <c r="D15" s="154"/>
      <c r="E15" s="154"/>
      <c r="F15" s="154"/>
      <c r="G15" s="154"/>
      <c r="H15" s="154"/>
      <c r="I15" s="151"/>
      <c r="J15" s="51" t="s">
        <v>10</v>
      </c>
    </row>
    <row r="16" spans="1:17" x14ac:dyDescent="0.2">
      <c r="A16" s="142" t="s">
        <v>66</v>
      </c>
      <c r="B16" s="154"/>
      <c r="C16" s="154">
        <v>0</v>
      </c>
      <c r="D16" s="154"/>
      <c r="E16" s="154">
        <v>0</v>
      </c>
      <c r="F16" s="154"/>
      <c r="G16" s="154">
        <v>0</v>
      </c>
      <c r="H16" s="154"/>
      <c r="I16" s="151">
        <f t="shared" ref="I16:I36" si="3">G16-E16</f>
        <v>0</v>
      </c>
      <c r="J16" s="51" t="s">
        <v>10</v>
      </c>
    </row>
    <row r="17" spans="1:10" x14ac:dyDescent="0.2">
      <c r="A17" s="142" t="s">
        <v>67</v>
      </c>
      <c r="B17" s="154"/>
      <c r="C17" s="154">
        <v>0</v>
      </c>
      <c r="D17" s="154"/>
      <c r="E17" s="154">
        <v>0</v>
      </c>
      <c r="F17" s="154"/>
      <c r="G17" s="154">
        <v>0</v>
      </c>
      <c r="H17" s="154"/>
      <c r="I17" s="151">
        <f t="shared" si="3"/>
        <v>0</v>
      </c>
      <c r="J17" s="51" t="s">
        <v>10</v>
      </c>
    </row>
    <row r="18" spans="1:10" x14ac:dyDescent="0.2">
      <c r="A18" s="142" t="s">
        <v>68</v>
      </c>
      <c r="B18" s="154"/>
      <c r="C18" s="154">
        <v>0</v>
      </c>
      <c r="D18" s="154"/>
      <c r="E18" s="154">
        <v>0</v>
      </c>
      <c r="F18" s="154"/>
      <c r="G18" s="154">
        <v>0</v>
      </c>
      <c r="H18" s="154"/>
      <c r="I18" s="151">
        <f t="shared" si="3"/>
        <v>0</v>
      </c>
      <c r="J18" s="51" t="s">
        <v>10</v>
      </c>
    </row>
    <row r="19" spans="1:10" x14ac:dyDescent="0.2">
      <c r="A19" s="142" t="s">
        <v>107</v>
      </c>
      <c r="B19" s="154"/>
      <c r="C19" s="154">
        <v>0</v>
      </c>
      <c r="D19" s="154"/>
      <c r="E19" s="154">
        <v>0</v>
      </c>
      <c r="F19" s="154"/>
      <c r="G19" s="154">
        <v>0</v>
      </c>
      <c r="H19" s="154"/>
      <c r="I19" s="151">
        <f t="shared" si="3"/>
        <v>0</v>
      </c>
      <c r="J19" s="51" t="s">
        <v>10</v>
      </c>
    </row>
    <row r="20" spans="1:10" x14ac:dyDescent="0.2">
      <c r="A20" s="142" t="s">
        <v>69</v>
      </c>
      <c r="B20" s="154"/>
      <c r="C20" s="154">
        <v>0</v>
      </c>
      <c r="D20" s="154"/>
      <c r="E20" s="154">
        <v>0</v>
      </c>
      <c r="F20" s="154"/>
      <c r="G20" s="154">
        <v>0</v>
      </c>
      <c r="H20" s="154"/>
      <c r="I20" s="151">
        <f t="shared" si="3"/>
        <v>0</v>
      </c>
      <c r="J20" s="51" t="s">
        <v>10</v>
      </c>
    </row>
    <row r="21" spans="1:10" x14ac:dyDescent="0.2">
      <c r="A21" s="142" t="s">
        <v>70</v>
      </c>
      <c r="B21" s="154"/>
      <c r="C21" s="154">
        <v>0</v>
      </c>
      <c r="D21" s="154"/>
      <c r="E21" s="154">
        <v>0</v>
      </c>
      <c r="F21" s="154"/>
      <c r="G21" s="154">
        <v>0</v>
      </c>
      <c r="H21" s="154"/>
      <c r="I21" s="151">
        <f t="shared" si="3"/>
        <v>0</v>
      </c>
      <c r="J21" s="51" t="s">
        <v>10</v>
      </c>
    </row>
    <row r="22" spans="1:10" x14ac:dyDescent="0.2">
      <c r="A22" s="142" t="s">
        <v>71</v>
      </c>
      <c r="B22" s="154"/>
      <c r="C22" s="154">
        <v>0</v>
      </c>
      <c r="D22" s="154"/>
      <c r="E22" s="154">
        <v>0</v>
      </c>
      <c r="F22" s="154"/>
      <c r="G22" s="154">
        <v>0</v>
      </c>
      <c r="H22" s="154"/>
      <c r="I22" s="151">
        <f t="shared" si="3"/>
        <v>0</v>
      </c>
      <c r="J22" s="51" t="s">
        <v>10</v>
      </c>
    </row>
    <row r="23" spans="1:10" x14ac:dyDescent="0.2">
      <c r="A23" s="142" t="s">
        <v>72</v>
      </c>
      <c r="B23" s="154"/>
      <c r="C23" s="154">
        <v>34.091430000000003</v>
      </c>
      <c r="D23" s="154"/>
      <c r="E23" s="154">
        <v>34</v>
      </c>
      <c r="F23" s="154"/>
      <c r="G23" s="154">
        <v>40</v>
      </c>
      <c r="H23" s="154"/>
      <c r="I23" s="151">
        <f t="shared" si="3"/>
        <v>6</v>
      </c>
      <c r="J23" s="51" t="s">
        <v>10</v>
      </c>
    </row>
    <row r="24" spans="1:10" x14ac:dyDescent="0.2">
      <c r="A24" s="142" t="s">
        <v>73</v>
      </c>
      <c r="B24" s="154"/>
      <c r="C24" s="154">
        <v>5087.1890000000003</v>
      </c>
      <c r="D24" s="154"/>
      <c r="E24" s="154">
        <v>5018</v>
      </c>
      <c r="F24" s="154"/>
      <c r="G24" s="154">
        <v>5904</v>
      </c>
      <c r="H24" s="154"/>
      <c r="I24" s="151">
        <f t="shared" si="3"/>
        <v>886</v>
      </c>
      <c r="J24" s="51" t="s">
        <v>10</v>
      </c>
    </row>
    <row r="25" spans="1:10" x14ac:dyDescent="0.2">
      <c r="A25" s="142" t="s">
        <v>74</v>
      </c>
      <c r="B25" s="154"/>
      <c r="C25" s="154">
        <v>723.39572999999996</v>
      </c>
      <c r="D25" s="154"/>
      <c r="E25" s="154">
        <v>714</v>
      </c>
      <c r="F25" s="154"/>
      <c r="G25" s="154">
        <v>839</v>
      </c>
      <c r="H25" s="154"/>
      <c r="I25" s="151">
        <f t="shared" si="3"/>
        <v>125</v>
      </c>
      <c r="J25" s="51" t="s">
        <v>10</v>
      </c>
    </row>
    <row r="26" spans="1:10" x14ac:dyDescent="0.2">
      <c r="A26" s="142" t="s">
        <v>75</v>
      </c>
      <c r="B26" s="154"/>
      <c r="C26" s="154">
        <v>23601.773000000001</v>
      </c>
      <c r="D26" s="154"/>
      <c r="E26" s="154">
        <v>23283</v>
      </c>
      <c r="F26" s="154"/>
      <c r="G26" s="154">
        <v>27391</v>
      </c>
      <c r="H26" s="154"/>
      <c r="I26" s="151">
        <f t="shared" si="3"/>
        <v>4108</v>
      </c>
      <c r="J26" s="51" t="s">
        <v>10</v>
      </c>
    </row>
    <row r="27" spans="1:10" x14ac:dyDescent="0.2">
      <c r="A27" s="142" t="s">
        <v>76</v>
      </c>
      <c r="B27" s="154"/>
      <c r="C27" s="154">
        <v>0</v>
      </c>
      <c r="D27" s="154"/>
      <c r="E27" s="154">
        <v>0</v>
      </c>
      <c r="F27" s="154"/>
      <c r="G27" s="154">
        <v>0</v>
      </c>
      <c r="H27" s="154"/>
      <c r="I27" s="151">
        <f t="shared" si="3"/>
        <v>0</v>
      </c>
      <c r="J27" s="51" t="s">
        <v>10</v>
      </c>
    </row>
    <row r="28" spans="1:10" x14ac:dyDescent="0.2">
      <c r="A28" s="142" t="s">
        <v>77</v>
      </c>
      <c r="B28" s="154"/>
      <c r="C28" s="154">
        <v>0</v>
      </c>
      <c r="D28" s="154"/>
      <c r="E28" s="154">
        <v>0</v>
      </c>
      <c r="F28" s="154"/>
      <c r="G28" s="154">
        <v>0</v>
      </c>
      <c r="H28" s="154"/>
      <c r="I28" s="151">
        <f t="shared" si="3"/>
        <v>0</v>
      </c>
      <c r="J28" s="51" t="s">
        <v>10</v>
      </c>
    </row>
    <row r="29" spans="1:10" x14ac:dyDescent="0.2">
      <c r="A29" s="142" t="s">
        <v>23</v>
      </c>
      <c r="B29" s="154"/>
      <c r="C29" s="154">
        <v>0</v>
      </c>
      <c r="D29" s="154"/>
      <c r="E29" s="154">
        <v>0</v>
      </c>
      <c r="F29" s="154"/>
      <c r="G29" s="154">
        <v>0</v>
      </c>
      <c r="H29" s="154"/>
      <c r="I29" s="151">
        <f t="shared" si="3"/>
        <v>0</v>
      </c>
      <c r="J29" s="51" t="s">
        <v>10</v>
      </c>
    </row>
    <row r="30" spans="1:10" x14ac:dyDescent="0.2">
      <c r="A30" s="142" t="s">
        <v>78</v>
      </c>
      <c r="B30" s="154"/>
      <c r="C30" s="154">
        <v>0</v>
      </c>
      <c r="D30" s="154"/>
      <c r="E30" s="154">
        <v>0</v>
      </c>
      <c r="F30" s="154"/>
      <c r="G30" s="154">
        <v>0</v>
      </c>
      <c r="H30" s="154"/>
      <c r="I30" s="151">
        <f t="shared" si="3"/>
        <v>0</v>
      </c>
      <c r="J30" s="51" t="s">
        <v>10</v>
      </c>
    </row>
    <row r="31" spans="1:10" x14ac:dyDescent="0.2">
      <c r="A31" s="142" t="s">
        <v>79</v>
      </c>
      <c r="B31" s="154"/>
      <c r="C31" s="154">
        <v>0</v>
      </c>
      <c r="D31" s="154"/>
      <c r="E31" s="154">
        <v>0</v>
      </c>
      <c r="F31" s="154"/>
      <c r="G31" s="154">
        <v>0</v>
      </c>
      <c r="H31" s="154"/>
      <c r="I31" s="151">
        <f t="shared" si="3"/>
        <v>0</v>
      </c>
      <c r="J31" s="51" t="s">
        <v>10</v>
      </c>
    </row>
    <row r="32" spans="1:10" x14ac:dyDescent="0.2">
      <c r="A32" s="142" t="s">
        <v>80</v>
      </c>
      <c r="B32" s="154"/>
      <c r="C32" s="154">
        <v>1.8201000000000001</v>
      </c>
      <c r="D32" s="154"/>
      <c r="E32" s="154">
        <v>2</v>
      </c>
      <c r="F32" s="154"/>
      <c r="G32" s="154">
        <v>2</v>
      </c>
      <c r="H32" s="154"/>
      <c r="I32" s="151">
        <f t="shared" si="3"/>
        <v>0</v>
      </c>
      <c r="J32" s="51" t="s">
        <v>10</v>
      </c>
    </row>
    <row r="33" spans="1:10" x14ac:dyDescent="0.2">
      <c r="A33" s="142" t="s">
        <v>81</v>
      </c>
      <c r="B33" s="154"/>
      <c r="C33" s="154">
        <v>0</v>
      </c>
      <c r="D33" s="154"/>
      <c r="E33" s="154">
        <v>0</v>
      </c>
      <c r="F33" s="154"/>
      <c r="G33" s="154">
        <v>0</v>
      </c>
      <c r="H33" s="154"/>
      <c r="I33" s="151">
        <f t="shared" si="3"/>
        <v>0</v>
      </c>
      <c r="J33" s="51" t="s">
        <v>10</v>
      </c>
    </row>
    <row r="34" spans="1:10" x14ac:dyDescent="0.2">
      <c r="A34" s="142" t="s">
        <v>82</v>
      </c>
      <c r="B34" s="154"/>
      <c r="C34" s="154">
        <v>0</v>
      </c>
      <c r="D34" s="154"/>
      <c r="E34" s="154">
        <v>0</v>
      </c>
      <c r="F34" s="154"/>
      <c r="G34" s="154">
        <v>0</v>
      </c>
      <c r="H34" s="154"/>
      <c r="I34" s="151">
        <f t="shared" si="3"/>
        <v>0</v>
      </c>
      <c r="J34" s="51" t="s">
        <v>10</v>
      </c>
    </row>
    <row r="35" spans="1:10" x14ac:dyDescent="0.2">
      <c r="A35" s="142" t="s">
        <v>83</v>
      </c>
      <c r="B35" s="154"/>
      <c r="C35" s="154">
        <v>228537</v>
      </c>
      <c r="D35" s="154"/>
      <c r="E35" s="154">
        <f>225449+2663</f>
        <v>228112</v>
      </c>
      <c r="F35" s="154"/>
      <c r="G35" s="154">
        <v>265224</v>
      </c>
      <c r="H35" s="154"/>
      <c r="I35" s="151">
        <f t="shared" si="3"/>
        <v>37112</v>
      </c>
      <c r="J35" s="51" t="s">
        <v>10</v>
      </c>
    </row>
    <row r="36" spans="1:10" x14ac:dyDescent="0.2">
      <c r="A36" s="142" t="s">
        <v>84</v>
      </c>
      <c r="B36" s="154"/>
      <c r="C36" s="154">
        <v>0</v>
      </c>
      <c r="D36" s="154"/>
      <c r="E36" s="154">
        <v>0</v>
      </c>
      <c r="F36" s="154"/>
      <c r="G36" s="154">
        <v>0</v>
      </c>
      <c r="H36" s="154"/>
      <c r="I36" s="151">
        <f t="shared" si="3"/>
        <v>0</v>
      </c>
      <c r="J36" s="51" t="s">
        <v>10</v>
      </c>
    </row>
    <row r="37" spans="1:10" ht="15" x14ac:dyDescent="0.25">
      <c r="A37" s="64" t="s">
        <v>85</v>
      </c>
      <c r="B37" s="70"/>
      <c r="C37" s="70">
        <f>SUM(C14:C36)</f>
        <v>257985.26926</v>
      </c>
      <c r="D37" s="70"/>
      <c r="E37" s="70">
        <f>SUM(E14:E36)</f>
        <v>257163</v>
      </c>
      <c r="F37" s="70"/>
      <c r="G37" s="70">
        <f>SUM(G14:G36)</f>
        <v>299400</v>
      </c>
      <c r="H37" s="70"/>
      <c r="I37" s="72">
        <f>SUM(I14:I36)</f>
        <v>42237</v>
      </c>
      <c r="J37" s="51" t="s">
        <v>10</v>
      </c>
    </row>
    <row r="38" spans="1:10" x14ac:dyDescent="0.2">
      <c r="A38" s="142" t="s">
        <v>108</v>
      </c>
      <c r="B38" s="154"/>
      <c r="C38" s="268">
        <v>-2592</v>
      </c>
      <c r="D38" s="154"/>
      <c r="E38" s="268">
        <v>-1494</v>
      </c>
      <c r="F38" s="154"/>
      <c r="G38" s="154">
        <v>0</v>
      </c>
      <c r="H38" s="154"/>
      <c r="I38" s="151">
        <f t="shared" ref="I38:I43" si="4">G38-E38</f>
        <v>1494</v>
      </c>
      <c r="J38" s="51" t="s">
        <v>10</v>
      </c>
    </row>
    <row r="39" spans="1:10" x14ac:dyDescent="0.2">
      <c r="A39" s="142" t="s">
        <v>117</v>
      </c>
      <c r="B39" s="154"/>
      <c r="C39" s="154">
        <v>5219</v>
      </c>
      <c r="D39" s="154"/>
      <c r="E39" s="268">
        <v>0</v>
      </c>
      <c r="F39" s="154"/>
      <c r="G39" s="154">
        <v>0</v>
      </c>
      <c r="H39" s="154"/>
      <c r="I39" s="151">
        <f t="shared" si="4"/>
        <v>0</v>
      </c>
      <c r="J39" s="51" t="s">
        <v>10</v>
      </c>
    </row>
    <row r="40" spans="1:10" x14ac:dyDescent="0.2">
      <c r="A40" s="142" t="s">
        <v>118</v>
      </c>
      <c r="B40" s="154"/>
      <c r="C40" s="268">
        <v>-6414</v>
      </c>
      <c r="D40" s="154"/>
      <c r="E40" s="268">
        <v>-1169</v>
      </c>
      <c r="F40" s="154"/>
      <c r="G40" s="154">
        <v>0</v>
      </c>
      <c r="H40" s="154"/>
      <c r="I40" s="151">
        <f t="shared" si="4"/>
        <v>1169</v>
      </c>
      <c r="J40" s="51" t="s">
        <v>10</v>
      </c>
    </row>
    <row r="41" spans="1:10" x14ac:dyDescent="0.2">
      <c r="A41" s="142" t="s">
        <v>423</v>
      </c>
      <c r="B41" s="154"/>
      <c r="C41" s="375">
        <v>5258</v>
      </c>
      <c r="D41" s="154"/>
      <c r="E41" s="154">
        <v>0</v>
      </c>
      <c r="F41" s="154"/>
      <c r="G41" s="154">
        <v>0</v>
      </c>
      <c r="H41" s="154"/>
      <c r="I41" s="151">
        <f t="shared" si="4"/>
        <v>0</v>
      </c>
      <c r="J41" s="51"/>
    </row>
    <row r="42" spans="1:10" x14ac:dyDescent="0.2">
      <c r="A42" s="142" t="s">
        <v>86</v>
      </c>
      <c r="B42" s="154"/>
      <c r="C42" s="154">
        <v>1494</v>
      </c>
      <c r="D42" s="154"/>
      <c r="E42" s="154">
        <v>0</v>
      </c>
      <c r="F42" s="154"/>
      <c r="G42" s="154">
        <v>0</v>
      </c>
      <c r="H42" s="154"/>
      <c r="I42" s="151">
        <f t="shared" si="4"/>
        <v>0</v>
      </c>
      <c r="J42" s="51" t="s">
        <v>10</v>
      </c>
    </row>
    <row r="43" spans="1:10" x14ac:dyDescent="0.2">
      <c r="A43" s="142" t="s">
        <v>112</v>
      </c>
      <c r="B43" s="154"/>
      <c r="C43" s="154">
        <v>0</v>
      </c>
      <c r="D43" s="154"/>
      <c r="E43" s="154">
        <v>0</v>
      </c>
      <c r="F43" s="154"/>
      <c r="G43" s="154">
        <v>0</v>
      </c>
      <c r="H43" s="154"/>
      <c r="I43" s="151">
        <f t="shared" si="4"/>
        <v>0</v>
      </c>
      <c r="J43" s="51" t="s">
        <v>10</v>
      </c>
    </row>
    <row r="44" spans="1:10" ht="15.75" thickBot="1" x14ac:dyDescent="0.3">
      <c r="A44" s="65" t="s">
        <v>87</v>
      </c>
      <c r="B44" s="136">
        <f t="shared" ref="B44:I44" si="5">SUM(B37:B43)</f>
        <v>0</v>
      </c>
      <c r="C44" s="136">
        <f t="shared" si="5"/>
        <v>260950.26926</v>
      </c>
      <c r="D44" s="136">
        <f t="shared" si="5"/>
        <v>0</v>
      </c>
      <c r="E44" s="136">
        <f t="shared" si="5"/>
        <v>254500</v>
      </c>
      <c r="F44" s="136">
        <f t="shared" si="5"/>
        <v>0</v>
      </c>
      <c r="G44" s="136">
        <f t="shared" si="5"/>
        <v>299400</v>
      </c>
      <c r="H44" s="136">
        <f t="shared" si="5"/>
        <v>0</v>
      </c>
      <c r="I44" s="137">
        <f t="shared" si="5"/>
        <v>44900</v>
      </c>
      <c r="J44" s="51" t="s">
        <v>10</v>
      </c>
    </row>
    <row r="45" spans="1:10" ht="15" x14ac:dyDescent="0.25">
      <c r="A45" s="428" t="s">
        <v>97</v>
      </c>
      <c r="B45" s="88"/>
      <c r="C45" s="88"/>
      <c r="D45" s="88"/>
      <c r="E45" s="430">
        <v>-10000</v>
      </c>
      <c r="F45" s="88"/>
      <c r="G45" s="430">
        <v>-10000</v>
      </c>
      <c r="H45" s="88"/>
      <c r="I45" s="427"/>
      <c r="J45" s="51"/>
    </row>
    <row r="46" spans="1:10" ht="15.75" thickBot="1" x14ac:dyDescent="0.3">
      <c r="A46" s="426" t="s">
        <v>472</v>
      </c>
      <c r="B46" s="88"/>
      <c r="C46" s="88"/>
      <c r="D46" s="88"/>
      <c r="E46" s="88">
        <f>E44+E45</f>
        <v>244500</v>
      </c>
      <c r="F46" s="88"/>
      <c r="G46" s="88">
        <f>G44+G45</f>
        <v>289400</v>
      </c>
      <c r="H46" s="88"/>
      <c r="I46" s="427"/>
      <c r="J46" s="51"/>
    </row>
    <row r="47" spans="1:10" x14ac:dyDescent="0.2">
      <c r="A47" s="305" t="s">
        <v>13</v>
      </c>
      <c r="B47" s="304"/>
      <c r="C47" s="304"/>
      <c r="D47" s="304"/>
      <c r="E47" s="304"/>
      <c r="F47" s="304"/>
      <c r="G47" s="304"/>
      <c r="H47" s="304"/>
      <c r="I47" s="303"/>
      <c r="J47" s="51" t="s">
        <v>10</v>
      </c>
    </row>
    <row r="48" spans="1:10" x14ac:dyDescent="0.2">
      <c r="A48" s="142" t="s">
        <v>88</v>
      </c>
      <c r="B48" s="154">
        <v>0</v>
      </c>
      <c r="C48" s="154"/>
      <c r="D48" s="154">
        <v>0</v>
      </c>
      <c r="E48" s="154"/>
      <c r="F48" s="154">
        <v>0</v>
      </c>
      <c r="G48" s="154"/>
      <c r="H48" s="154">
        <f>F48-D48</f>
        <v>0</v>
      </c>
      <c r="I48" s="151"/>
      <c r="J48" s="51" t="s">
        <v>10</v>
      </c>
    </row>
    <row r="49" spans="1:10" x14ac:dyDescent="0.2">
      <c r="A49" s="142"/>
      <c r="B49" s="154"/>
      <c r="C49" s="154"/>
      <c r="D49" s="154"/>
      <c r="E49" s="154"/>
      <c r="F49" s="154"/>
      <c r="G49" s="154"/>
      <c r="H49" s="154"/>
      <c r="I49" s="151"/>
      <c r="J49" s="51" t="s">
        <v>10</v>
      </c>
    </row>
    <row r="50" spans="1:10" x14ac:dyDescent="0.2">
      <c r="A50" s="142" t="s">
        <v>89</v>
      </c>
      <c r="B50" s="154"/>
      <c r="C50" s="154">
        <v>0</v>
      </c>
      <c r="D50" s="154"/>
      <c r="E50" s="154">
        <v>0</v>
      </c>
      <c r="F50" s="154"/>
      <c r="G50" s="154">
        <v>0</v>
      </c>
      <c r="H50" s="154"/>
      <c r="I50" s="151">
        <f>G50-E50</f>
        <v>0</v>
      </c>
      <c r="J50" s="51" t="s">
        <v>10</v>
      </c>
    </row>
    <row r="51" spans="1:10" ht="15" thickBot="1" x14ac:dyDescent="0.25">
      <c r="A51" s="301" t="s">
        <v>90</v>
      </c>
      <c r="B51" s="300"/>
      <c r="C51" s="300">
        <v>0</v>
      </c>
      <c r="D51" s="300"/>
      <c r="E51" s="300">
        <v>0</v>
      </c>
      <c r="F51" s="300"/>
      <c r="G51" s="300">
        <v>0</v>
      </c>
      <c r="H51" s="300"/>
      <c r="I51" s="299">
        <f>G51-E51</f>
        <v>0</v>
      </c>
      <c r="J51" s="51" t="s">
        <v>10</v>
      </c>
    </row>
    <row r="52" spans="1:10" x14ac:dyDescent="0.2">
      <c r="J52" s="4" t="s">
        <v>11</v>
      </c>
    </row>
    <row r="53" spans="1:10" x14ac:dyDescent="0.2">
      <c r="A53" s="298"/>
    </row>
  </sheetData>
  <customSheetViews>
    <customSheetView guid="{EE916FE7-61FB-4021-ADDD-E082241FC03C}" scale="80" showPageBreaks="1" printArea="1" view="pageBreakPreview">
      <pane xSplit="1" ySplit="7" topLeftCell="B17" activePane="bottomRight" state="frozen"/>
      <selection pane="bottomRight" activeCell="C42" sqref="C42"/>
      <pageMargins left="0.6" right="0.6" top="0.56999999999999995" bottom="0.55000000000000004" header="0.3" footer="0.3"/>
      <printOptions horizontalCentered="1"/>
      <pageSetup scale="72" orientation="landscape" r:id="rId1"/>
      <headerFooter>
        <oddHeader>&amp;L&amp;"Arial,Bold"&amp;12K. Summary of Requirements by Object Class</oddHeader>
        <oddFooter>&amp;C&amp;"Arial,Regular"Exhibit K - Summary of Requirements by Object Class&amp;R&amp;"Arial,Regular"Juvenile Justice Programs</oddFooter>
      </headerFooter>
    </customSheetView>
    <customSheetView guid="{0BB5DC4B-BC2A-4489-BE17-5E267FA1EF63}" scale="80" showPageBreaks="1" printArea="1" view="pageBreakPreview">
      <pane xSplit="1" ySplit="7" topLeftCell="B8" activePane="bottomRight" state="frozen"/>
      <selection pane="bottomRight" activeCell="D41" sqref="D41"/>
      <pageMargins left="0.6" right="0.6" top="0.56999999999999995" bottom="0.55000000000000004" header="0.3" footer="0.3"/>
      <printOptions horizontalCentered="1"/>
      <pageSetup scale="72" orientation="landscape" r:id="rId2"/>
      <headerFooter>
        <oddHeader>&amp;L&amp;"Arial,Bold"&amp;12K. Summary of Requirements by Object Class</oddHeader>
        <oddFooter>&amp;C&amp;"Arial,Regular"Exhibit K - Summary of Requirements by Object Class&amp;R&amp;"Arial,Regular"Juvenile Justice Programs</oddFooter>
      </headerFooter>
    </customSheetView>
    <customSheetView guid="{6C58FFE1-D756-42C4-A1BC-AA7F1DC1E56F}" scale="80" showPageBreaks="1" printArea="1" view="pageBreakPreview">
      <pane xSplit="1" ySplit="7" topLeftCell="O8" activePane="bottomRight" state="frozen"/>
      <selection pane="bottomRight" activeCell="X52" sqref="X52"/>
      <pageMargins left="0.6" right="0.6" top="0.56999999999999995" bottom="0.55000000000000004" header="0.3" footer="0.3"/>
      <printOptions horizontalCentered="1"/>
      <pageSetup scale="72" orientation="landscape" r:id="rId3"/>
      <headerFooter>
        <oddHeader>&amp;L&amp;"Arial,Bold"&amp;12K. Summary of Requirements by Object Class</oddHeader>
        <oddFooter>&amp;C&amp;"Arial,Regular"Exhibit K - Summary of Requirements by Object Class&amp;R&amp;"Arial,Regular"Juvenile Justice Programs</oddFooter>
      </headerFooter>
    </customSheetView>
    <customSheetView guid="{CFA5D1C9-F4C9-4B8D-923D-4C71CB6E7D3B}" scale="80" showPageBreaks="1" printArea="1" view="pageBreakPreview">
      <pane xSplit="1" ySplit="7" topLeftCell="B17" activePane="bottomRight" state="frozen"/>
      <selection pane="bottomRight" activeCell="C41" sqref="C41"/>
      <pageMargins left="0.6" right="0.6" top="0.56999999999999995" bottom="0.55000000000000004" header="0.3" footer="0.3"/>
      <printOptions horizontalCentered="1"/>
      <pageSetup scale="72" orientation="landscape" r:id="rId4"/>
      <headerFooter>
        <oddHeader>&amp;L&amp;"Arial,Bold"&amp;12K. Summary of Requirements by Object Class</oddHeader>
        <oddFooter>&amp;C&amp;"Arial,Regular"Exhibit K - Summary of Requirements by Object Class&amp;R&amp;"Arial,Regular"Juvenile Justice Programs</oddFooter>
      </headerFooter>
    </customSheetView>
    <customSheetView guid="{A788DF77-74F1-49E4-8B34-BFBDB7664F30}" scale="80" showPageBreaks="1" printArea="1" view="pageBreakPreview">
      <pane xSplit="1" ySplit="7" topLeftCell="O8" activePane="bottomRight" state="frozen"/>
      <selection pane="bottomRight" activeCell="X52" sqref="X52"/>
      <pageMargins left="0.6" right="0.6" top="0.56999999999999995" bottom="0.55000000000000004" header="0.3" footer="0.3"/>
      <printOptions horizontalCentered="1"/>
      <pageSetup scale="72" orientation="landscape" r:id="rId5"/>
      <headerFooter>
        <oddHeader>&amp;L&amp;"Arial,Bold"&amp;12K. Summary of Requirements by Object Class</oddHeader>
        <oddFooter>&amp;C&amp;"Arial,Regular"Exhibit K - Summary of Requirements by Object Class&amp;R&amp;"Arial,Regular"Juvenile Justice Programs</oddFooter>
      </headerFooter>
    </customSheetView>
  </customSheetViews>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2" orientation="landscape" r:id="rId6"/>
  <headerFooter>
    <oddHeader>&amp;L&amp;"Arial,Bold"&amp;12K. Summary of Requirements by Object Class</oddHeader>
    <oddFooter>&amp;C&amp;"Arial,Regular"Exhibit K - Summary of Requirements by Object Class&amp;R&amp;"Arial,Regular"Juvenile Justice Programs</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view="pageBreakPreview" zoomScale="90" zoomScaleNormal="100" zoomScaleSheetLayoutView="90" workbookViewId="0">
      <selection activeCell="A29" sqref="A29"/>
    </sheetView>
  </sheetViews>
  <sheetFormatPr defaultRowHeight="14.25" x14ac:dyDescent="0.2"/>
  <cols>
    <col min="1" max="1" width="113.5703125" style="143" customWidth="1"/>
    <col min="2" max="2" width="17.5703125" style="147" customWidth="1"/>
    <col min="3" max="3" width="11.42578125" style="147" customWidth="1"/>
    <col min="4" max="4" width="14.5703125" style="148" customWidth="1"/>
    <col min="5" max="5" width="11.5703125" style="4" bestFit="1" customWidth="1"/>
    <col min="6" max="6" width="4.85546875" style="143" customWidth="1"/>
    <col min="7" max="7" width="140.28515625" style="143" customWidth="1"/>
    <col min="8" max="16384" width="9.140625" style="143"/>
  </cols>
  <sheetData>
    <row r="1" spans="1:7" ht="18" x14ac:dyDescent="0.25">
      <c r="A1" s="577" t="s">
        <v>0</v>
      </c>
      <c r="B1" s="577"/>
      <c r="C1" s="577"/>
      <c r="D1" s="577"/>
      <c r="E1" s="4" t="s">
        <v>10</v>
      </c>
      <c r="G1" s="199"/>
    </row>
    <row r="2" spans="1:7" ht="15" x14ac:dyDescent="0.2">
      <c r="A2" s="578" t="s">
        <v>152</v>
      </c>
      <c r="B2" s="578"/>
      <c r="C2" s="578"/>
      <c r="D2" s="578"/>
      <c r="E2" s="4" t="s">
        <v>10</v>
      </c>
      <c r="G2" s="198"/>
    </row>
    <row r="3" spans="1:7" x14ac:dyDescent="0.2">
      <c r="A3" s="579" t="s">
        <v>424</v>
      </c>
      <c r="B3" s="579"/>
      <c r="C3" s="579"/>
      <c r="D3" s="579"/>
      <c r="E3" s="4" t="s">
        <v>10</v>
      </c>
      <c r="G3" s="198"/>
    </row>
    <row r="4" spans="1:7" x14ac:dyDescent="0.2">
      <c r="A4" s="640" t="s">
        <v>1</v>
      </c>
      <c r="B4" s="640"/>
      <c r="C4" s="640"/>
      <c r="D4" s="640"/>
      <c r="E4" s="4" t="s">
        <v>10</v>
      </c>
      <c r="G4" s="198"/>
    </row>
    <row r="5" spans="1:7" ht="15" thickBot="1" x14ac:dyDescent="0.25">
      <c r="A5" s="247"/>
      <c r="B5" s="277"/>
      <c r="C5" s="277"/>
      <c r="D5" s="418"/>
      <c r="E5" s="4" t="s">
        <v>10</v>
      </c>
      <c r="G5" s="198"/>
    </row>
    <row r="6" spans="1:7" ht="15" x14ac:dyDescent="0.25">
      <c r="A6" s="420"/>
      <c r="B6" s="581" t="s">
        <v>121</v>
      </c>
      <c r="C6" s="582"/>
      <c r="D6" s="583"/>
      <c r="E6" s="4" t="s">
        <v>10</v>
      </c>
      <c r="G6" s="247"/>
    </row>
    <row r="7" spans="1:7" ht="15.75" thickBot="1" x14ac:dyDescent="0.25">
      <c r="A7" s="419"/>
      <c r="B7" s="1" t="s">
        <v>143</v>
      </c>
      <c r="C7" s="2" t="s">
        <v>144</v>
      </c>
      <c r="D7" s="3" t="s">
        <v>3</v>
      </c>
      <c r="E7" s="4" t="s">
        <v>10</v>
      </c>
      <c r="G7" s="194"/>
    </row>
    <row r="8" spans="1:7" ht="15" x14ac:dyDescent="0.25">
      <c r="A8" s="80" t="s">
        <v>119</v>
      </c>
      <c r="B8" s="193">
        <v>0</v>
      </c>
      <c r="C8" s="82">
        <v>0</v>
      </c>
      <c r="D8" s="83">
        <v>78300</v>
      </c>
      <c r="E8" s="4" t="s">
        <v>10</v>
      </c>
      <c r="G8" s="184"/>
    </row>
    <row r="9" spans="1:7" x14ac:dyDescent="0.2">
      <c r="A9" s="164" t="s">
        <v>120</v>
      </c>
      <c r="B9" s="191" t="s">
        <v>24</v>
      </c>
      <c r="C9" s="190"/>
      <c r="D9" s="189">
        <v>-338</v>
      </c>
      <c r="E9" s="4" t="s">
        <v>10</v>
      </c>
      <c r="G9" s="184"/>
    </row>
    <row r="10" spans="1:7" x14ac:dyDescent="0.2">
      <c r="A10" s="164" t="s">
        <v>141</v>
      </c>
      <c r="B10" s="191"/>
      <c r="C10" s="190"/>
      <c r="D10" s="189">
        <v>-51</v>
      </c>
      <c r="E10" s="4" t="s">
        <v>10</v>
      </c>
      <c r="G10" s="184"/>
    </row>
    <row r="11" spans="1:7" x14ac:dyDescent="0.2">
      <c r="A11" s="149" t="s">
        <v>173</v>
      </c>
      <c r="B11" s="191"/>
      <c r="C11" s="190"/>
      <c r="D11" s="380">
        <v>0</v>
      </c>
      <c r="E11" s="4" t="s">
        <v>10</v>
      </c>
      <c r="G11" s="184"/>
    </row>
    <row r="12" spans="1:7" ht="15" x14ac:dyDescent="0.25">
      <c r="A12" s="79" t="s">
        <v>122</v>
      </c>
      <c r="B12" s="108">
        <f>SUM(B8:B11)</f>
        <v>0</v>
      </c>
      <c r="C12" s="105">
        <f>SUM(C8:C11)</f>
        <v>0</v>
      </c>
      <c r="D12" s="106">
        <f>SUM(D8:D11)</f>
        <v>77911</v>
      </c>
      <c r="E12" s="4" t="s">
        <v>10</v>
      </c>
      <c r="G12" s="182"/>
    </row>
    <row r="13" spans="1:7" ht="15" x14ac:dyDescent="0.25">
      <c r="A13" s="79"/>
      <c r="B13" s="108"/>
      <c r="C13" s="105"/>
      <c r="D13" s="106"/>
      <c r="E13" s="4" t="s">
        <v>10</v>
      </c>
      <c r="G13" s="182"/>
    </row>
    <row r="14" spans="1:7" ht="15" x14ac:dyDescent="0.25">
      <c r="A14" s="68" t="s">
        <v>148</v>
      </c>
      <c r="B14" s="108">
        <v>0</v>
      </c>
      <c r="C14" s="105">
        <v>0</v>
      </c>
      <c r="D14" s="106">
        <v>97300</v>
      </c>
      <c r="E14" s="4" t="s">
        <v>10</v>
      </c>
      <c r="G14" s="184"/>
    </row>
    <row r="15" spans="1:7" ht="15" x14ac:dyDescent="0.25">
      <c r="A15" s="149" t="s">
        <v>473</v>
      </c>
      <c r="B15" s="379">
        <v>0</v>
      </c>
      <c r="C15" s="321">
        <v>0</v>
      </c>
      <c r="D15" s="188">
        <v>-72</v>
      </c>
      <c r="E15" s="4" t="s">
        <v>10</v>
      </c>
      <c r="G15" s="184"/>
    </row>
    <row r="16" spans="1:7" ht="15" x14ac:dyDescent="0.25">
      <c r="A16" s="71" t="s">
        <v>149</v>
      </c>
      <c r="B16" s="166">
        <f>SUM(B14:B15)+B12</f>
        <v>0</v>
      </c>
      <c r="C16" s="120">
        <f>SUM(C14:C15)+C12</f>
        <v>0</v>
      </c>
      <c r="D16" s="165">
        <f>SUM(D14:D15)</f>
        <v>97228</v>
      </c>
      <c r="E16" s="4" t="s">
        <v>10</v>
      </c>
      <c r="G16" s="182"/>
    </row>
    <row r="17" spans="1:7" ht="15" x14ac:dyDescent="0.25">
      <c r="A17" s="71"/>
      <c r="B17" s="108"/>
      <c r="C17" s="105"/>
      <c r="D17" s="106"/>
      <c r="E17" s="4" t="s">
        <v>10</v>
      </c>
      <c r="G17" s="182"/>
    </row>
    <row r="18" spans="1:7" ht="15" x14ac:dyDescent="0.25">
      <c r="A18" s="71" t="s">
        <v>474</v>
      </c>
      <c r="B18" s="69"/>
      <c r="C18" s="70"/>
      <c r="D18" s="77">
        <v>72</v>
      </c>
      <c r="E18" s="4" t="s">
        <v>10</v>
      </c>
      <c r="G18" s="184"/>
    </row>
    <row r="19" spans="1:7" ht="15" x14ac:dyDescent="0.25">
      <c r="A19" s="71" t="s">
        <v>93</v>
      </c>
      <c r="B19" s="108"/>
      <c r="C19" s="105"/>
      <c r="D19" s="106">
        <f>D18</f>
        <v>72</v>
      </c>
      <c r="E19" s="4" t="s">
        <v>10</v>
      </c>
      <c r="G19" s="184"/>
    </row>
    <row r="20" spans="1:7" ht="15" x14ac:dyDescent="0.25">
      <c r="A20" s="79"/>
      <c r="B20" s="108"/>
      <c r="C20" s="105"/>
      <c r="D20" s="106"/>
      <c r="E20" s="4" t="s">
        <v>10</v>
      </c>
      <c r="G20" s="184"/>
    </row>
    <row r="21" spans="1:7" ht="15" x14ac:dyDescent="0.25">
      <c r="A21" s="75" t="s">
        <v>123</v>
      </c>
      <c r="B21" s="108">
        <f>B16</f>
        <v>0</v>
      </c>
      <c r="C21" s="105">
        <f>C16</f>
        <v>0</v>
      </c>
      <c r="D21" s="106">
        <f>D16</f>
        <v>97228</v>
      </c>
      <c r="E21" s="4" t="s">
        <v>10</v>
      </c>
      <c r="G21" s="182"/>
    </row>
    <row r="22" spans="1:7" ht="15" x14ac:dyDescent="0.25">
      <c r="A22" s="78" t="s">
        <v>124</v>
      </c>
      <c r="B22" s="108">
        <f>B21</f>
        <v>0</v>
      </c>
      <c r="C22" s="105">
        <f>C21</f>
        <v>0</v>
      </c>
      <c r="D22" s="106">
        <f>D21+D19</f>
        <v>97300</v>
      </c>
      <c r="E22" s="4" t="s">
        <v>10</v>
      </c>
      <c r="G22" s="182"/>
    </row>
    <row r="23" spans="1:7" ht="15" x14ac:dyDescent="0.25">
      <c r="A23" s="149" t="s">
        <v>142</v>
      </c>
      <c r="B23" s="110"/>
      <c r="C23" s="25"/>
      <c r="D23" s="150">
        <v>0</v>
      </c>
      <c r="E23" s="4" t="s">
        <v>10</v>
      </c>
      <c r="G23" s="184"/>
    </row>
    <row r="24" spans="1:7" s="5" customFormat="1" ht="15" x14ac:dyDescent="0.25">
      <c r="A24" s="149" t="s">
        <v>125</v>
      </c>
      <c r="B24" s="105">
        <f>B22</f>
        <v>0</v>
      </c>
      <c r="C24" s="105">
        <f>C22</f>
        <v>0</v>
      </c>
      <c r="D24" s="106">
        <f>D22</f>
        <v>97300</v>
      </c>
      <c r="E24" s="4" t="s">
        <v>10</v>
      </c>
      <c r="G24" s="182"/>
    </row>
    <row r="25" spans="1:7" ht="15.75" thickBot="1" x14ac:dyDescent="0.3">
      <c r="A25" s="159" t="s">
        <v>151</v>
      </c>
      <c r="B25" s="377">
        <f>B24</f>
        <v>0</v>
      </c>
      <c r="C25" s="136">
        <f>C24</f>
        <v>0</v>
      </c>
      <c r="D25" s="376">
        <f>D22-D14</f>
        <v>0</v>
      </c>
      <c r="E25" s="4" t="s">
        <v>10</v>
      </c>
      <c r="G25" s="182"/>
    </row>
    <row r="26" spans="1:7" x14ac:dyDescent="0.2">
      <c r="A26" s="4"/>
      <c r="E26" s="4" t="s">
        <v>10</v>
      </c>
    </row>
    <row r="27" spans="1:7" ht="17.25" x14ac:dyDescent="0.2">
      <c r="A27" s="575"/>
      <c r="B27" s="576"/>
      <c r="C27" s="576"/>
      <c r="D27" s="576"/>
      <c r="E27" s="4" t="s">
        <v>11</v>
      </c>
    </row>
  </sheetData>
  <customSheetViews>
    <customSheetView guid="{EE916FE7-61FB-4021-ADDD-E082241FC03C}" scale="90" showPageBreaks="1" printArea="1" view="pageBreakPreview">
      <selection activeCell="D18" sqref="D18"/>
      <pageMargins left="0.7" right="0.7" top="0.63" bottom="0.63" header="0.3" footer="0.3"/>
      <printOptions horizontalCentered="1"/>
      <pageSetup scale="69" orientation="landscape" r:id="rId1"/>
      <headerFooter>
        <oddHeader>&amp;L&amp;"Arial,Bold"&amp;12B. Summary of Requirements</oddHeader>
        <oddFooter>&amp;C&amp;"Arial,Regular"Exhibit B - Summary of Requirements&amp;R&amp;"Arial,Regular"Public Safety Officers Benefits</oddFooter>
      </headerFooter>
    </customSheetView>
    <customSheetView guid="{0BB5DC4B-BC2A-4489-BE17-5E267FA1EF63}" scale="90" showPageBreaks="1" printArea="1" view="pageBreakPreview">
      <selection activeCell="D18" sqref="D18"/>
      <pageMargins left="0.7" right="0.7" top="0.63" bottom="0.63" header="0.3" footer="0.3"/>
      <printOptions horizontalCentered="1"/>
      <pageSetup scale="69" orientation="landscape" r:id="rId2"/>
      <headerFooter>
        <oddHeader>&amp;L&amp;"Arial,Bold"&amp;12B. Summary of Requirements</oddHeader>
        <oddFooter>&amp;C&amp;"Arial,Regular"Exhibit B - Summary of Requirements&amp;R&amp;"Arial,Regular"Public Safety Officers Benefits</oddFooter>
      </headerFooter>
    </customSheetView>
    <customSheetView guid="{6C58FFE1-D756-42C4-A1BC-AA7F1DC1E56F}" scale="90" showPageBreaks="1" printArea="1" view="pageBreakPreview">
      <selection activeCell="A3" sqref="A3:D3"/>
      <pageMargins left="0.7" right="0.7" top="0.63" bottom="0.63" header="0.3" footer="0.3"/>
      <printOptions horizontalCentered="1"/>
      <pageSetup scale="69" orientation="landscape" r:id="rId3"/>
      <headerFooter>
        <oddHeader>&amp;L&amp;"Arial,Bold"&amp;12B. Summary of Requirements</oddHeader>
        <oddFooter>&amp;C&amp;"Arial,Regular"Exhibit B - Summary of Requirements&amp;R&amp;"Arial,Regular"Public Safety Officers Benefits</oddFooter>
      </headerFooter>
    </customSheetView>
    <customSheetView guid="{CFA5D1C9-F4C9-4B8D-923D-4C71CB6E7D3B}" scale="90" showPageBreaks="1" printArea="1" view="pageBreakPreview">
      <selection activeCell="D18" sqref="D18"/>
      <pageMargins left="0.7" right="0.7" top="0.63" bottom="0.63" header="0.3" footer="0.3"/>
      <printOptions horizontalCentered="1"/>
      <pageSetup scale="69" orientation="landscape" r:id="rId4"/>
      <headerFooter>
        <oddHeader>&amp;L&amp;"Arial,Bold"&amp;12B. Summary of Requirements</oddHeader>
        <oddFooter>&amp;C&amp;"Arial,Regular"Exhibit B - Summary of Requirements&amp;R&amp;"Arial,Regular"Public Safety Officers Benefits</oddFooter>
      </headerFooter>
    </customSheetView>
    <customSheetView guid="{A788DF77-74F1-49E4-8B34-BFBDB7664F30}" scale="90" showPageBreaks="1" printArea="1" view="pageBreakPreview">
      <selection activeCell="A13" sqref="A13"/>
      <pageMargins left="0.7" right="0.7" top="0.63" bottom="0.63" header="0.3" footer="0.3"/>
      <printOptions horizontalCentered="1"/>
      <pageSetup scale="69" orientation="landscape" r:id="rId5"/>
      <headerFooter>
        <oddHeader>&amp;L&amp;"Arial,Bold"&amp;12B. Summary of Requirements</oddHeader>
        <oddFooter>&amp;C&amp;"Arial,Regular"Exhibit B - Summary of Requirements&amp;R&amp;"Arial,Regular"Public Safety Officers Benefits</oddFooter>
      </headerFooter>
    </customSheetView>
  </customSheetViews>
  <mergeCells count="6">
    <mergeCell ref="A27:D27"/>
    <mergeCell ref="A1:D1"/>
    <mergeCell ref="A2:D2"/>
    <mergeCell ref="A3:D3"/>
    <mergeCell ref="A4:D4"/>
    <mergeCell ref="B6:D6"/>
  </mergeCells>
  <printOptions horizontalCentered="1"/>
  <pageMargins left="0.7" right="0.7" top="0.63" bottom="0.63" header="0.3" footer="0.3"/>
  <pageSetup scale="75" orientation="landscape" r:id="rId6"/>
  <headerFooter>
    <oddHeader>&amp;L&amp;"Arial,Bold"&amp;12B. Summary of Requirements</oddHeader>
    <oddFooter>&amp;C&amp;"Arial,Regular"Exhibit B - Summary of Requirements&amp;R&amp;"Arial,Regular"Public Safety Officers Benefits</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8"/>
  <sheetViews>
    <sheetView view="pageBreakPreview" zoomScale="80" zoomScaleNormal="100" zoomScaleSheetLayoutView="80" workbookViewId="0">
      <selection activeCell="A15" sqref="A15"/>
    </sheetView>
  </sheetViews>
  <sheetFormatPr defaultRowHeight="14.25" x14ac:dyDescent="0.2"/>
  <cols>
    <col min="1" max="1" width="58.7109375" style="143" customWidth="1"/>
    <col min="2" max="3" width="8.28515625" style="143" customWidth="1"/>
    <col min="4" max="4" width="12.7109375" style="143" customWidth="1"/>
    <col min="5" max="6" width="8.28515625" style="143" customWidth="1"/>
    <col min="7" max="7" width="12.7109375" style="143" customWidth="1"/>
    <col min="8" max="9" width="8.28515625" style="143" customWidth="1"/>
    <col min="10" max="10" width="12.7109375" style="143" customWidth="1"/>
    <col min="11" max="12" width="8.28515625" style="143" customWidth="1"/>
    <col min="13" max="13" width="12.7109375" style="143" customWidth="1"/>
    <col min="14" max="14" width="14" style="4" bestFit="1" customWidth="1"/>
    <col min="15" max="15" width="4.5703125" style="143" customWidth="1"/>
    <col min="16" max="16" width="116.7109375" style="143" customWidth="1"/>
    <col min="17" max="18" width="8.28515625" style="143" customWidth="1"/>
    <col min="19" max="19" width="12.7109375" style="143" customWidth="1"/>
    <col min="20" max="21" width="8.28515625" style="143" customWidth="1"/>
    <col min="22" max="22" width="12.7109375" style="143" customWidth="1"/>
    <col min="23" max="16384" width="9.140625" style="143"/>
  </cols>
  <sheetData>
    <row r="1" spans="1:22" ht="18" x14ac:dyDescent="0.25">
      <c r="A1" s="577" t="s">
        <v>0</v>
      </c>
      <c r="B1" s="577"/>
      <c r="C1" s="577"/>
      <c r="D1" s="577"/>
      <c r="E1" s="577"/>
      <c r="F1" s="577"/>
      <c r="G1" s="577"/>
      <c r="H1" s="577"/>
      <c r="I1" s="577"/>
      <c r="J1" s="577"/>
      <c r="K1" s="577"/>
      <c r="L1" s="577"/>
      <c r="M1" s="577"/>
      <c r="N1" s="51" t="s">
        <v>10</v>
      </c>
      <c r="O1" s="6"/>
      <c r="P1" s="199"/>
      <c r="Q1" s="6"/>
      <c r="R1" s="6"/>
      <c r="S1" s="6"/>
      <c r="T1" s="6"/>
      <c r="U1" s="6"/>
      <c r="V1" s="6"/>
    </row>
    <row r="2" spans="1:22" ht="15" x14ac:dyDescent="0.2">
      <c r="A2" s="578" t="s">
        <v>152</v>
      </c>
      <c r="B2" s="578"/>
      <c r="C2" s="578"/>
      <c r="D2" s="578"/>
      <c r="E2" s="578"/>
      <c r="F2" s="578"/>
      <c r="G2" s="578"/>
      <c r="H2" s="578"/>
      <c r="I2" s="578"/>
      <c r="J2" s="578"/>
      <c r="K2" s="578"/>
      <c r="L2" s="578"/>
      <c r="M2" s="578"/>
      <c r="N2" s="51" t="s">
        <v>10</v>
      </c>
      <c r="O2" s="7"/>
      <c r="P2" s="198"/>
      <c r="Q2" s="7"/>
      <c r="R2" s="7"/>
      <c r="S2" s="7"/>
      <c r="T2" s="7"/>
      <c r="U2" s="7"/>
      <c r="V2" s="7"/>
    </row>
    <row r="3" spans="1:22" x14ac:dyDescent="0.2">
      <c r="A3" s="579" t="s">
        <v>424</v>
      </c>
      <c r="B3" s="579"/>
      <c r="C3" s="579"/>
      <c r="D3" s="579"/>
      <c r="E3" s="579"/>
      <c r="F3" s="579"/>
      <c r="G3" s="579"/>
      <c r="H3" s="579"/>
      <c r="I3" s="579"/>
      <c r="J3" s="579"/>
      <c r="K3" s="579"/>
      <c r="L3" s="579"/>
      <c r="M3" s="579"/>
      <c r="N3" s="51" t="s">
        <v>10</v>
      </c>
      <c r="O3" s="163"/>
      <c r="P3" s="198"/>
      <c r="Q3" s="163"/>
      <c r="R3" s="163"/>
      <c r="S3" s="163"/>
      <c r="T3" s="163"/>
      <c r="U3" s="163"/>
      <c r="V3" s="163"/>
    </row>
    <row r="4" spans="1:22" x14ac:dyDescent="0.2">
      <c r="A4" s="608" t="s">
        <v>1</v>
      </c>
      <c r="B4" s="608"/>
      <c r="C4" s="608"/>
      <c r="D4" s="608"/>
      <c r="E4" s="608"/>
      <c r="F4" s="608"/>
      <c r="G4" s="608"/>
      <c r="H4" s="608"/>
      <c r="I4" s="608"/>
      <c r="J4" s="608"/>
      <c r="K4" s="608"/>
      <c r="L4" s="608"/>
      <c r="M4" s="608"/>
      <c r="N4" s="51" t="s">
        <v>10</v>
      </c>
      <c r="O4" s="162"/>
      <c r="P4" s="198"/>
      <c r="Q4" s="162"/>
      <c r="R4" s="162"/>
      <c r="S4" s="162"/>
      <c r="T4" s="162"/>
      <c r="U4" s="162"/>
      <c r="V4" s="162"/>
    </row>
    <row r="5" spans="1:22" ht="15" x14ac:dyDescent="0.25">
      <c r="A5" s="608"/>
      <c r="B5" s="608"/>
      <c r="C5" s="608"/>
      <c r="D5" s="608"/>
      <c r="E5" s="608"/>
      <c r="F5" s="608"/>
      <c r="G5" s="608"/>
      <c r="H5" s="608"/>
      <c r="I5" s="608"/>
      <c r="J5" s="608"/>
      <c r="K5" s="608"/>
      <c r="L5" s="608"/>
      <c r="M5" s="608"/>
      <c r="N5" s="51" t="s">
        <v>10</v>
      </c>
      <c r="O5" s="162"/>
      <c r="P5" s="241"/>
      <c r="Q5" s="162"/>
      <c r="R5" s="162"/>
      <c r="S5" s="162"/>
      <c r="T5" s="162"/>
      <c r="U5" s="162"/>
      <c r="V5" s="162"/>
    </row>
    <row r="6" spans="1:22" ht="15" thickBot="1" x14ac:dyDescent="0.25">
      <c r="A6" s="608"/>
      <c r="B6" s="608"/>
      <c r="C6" s="608"/>
      <c r="D6" s="608"/>
      <c r="E6" s="608"/>
      <c r="F6" s="608"/>
      <c r="G6" s="608"/>
      <c r="H6" s="608"/>
      <c r="I6" s="608"/>
      <c r="J6" s="608"/>
      <c r="K6" s="608"/>
      <c r="L6" s="608"/>
      <c r="M6" s="608"/>
      <c r="N6" s="51" t="s">
        <v>10</v>
      </c>
      <c r="O6" s="162"/>
      <c r="P6" s="162"/>
      <c r="Q6" s="162"/>
      <c r="R6" s="162"/>
      <c r="S6" s="162"/>
      <c r="T6" s="162"/>
      <c r="U6" s="162"/>
      <c r="V6" s="162"/>
    </row>
    <row r="7" spans="1:22" ht="45.75" customHeight="1" x14ac:dyDescent="0.2">
      <c r="A7" s="585" t="s">
        <v>101</v>
      </c>
      <c r="B7" s="588" t="s">
        <v>126</v>
      </c>
      <c r="C7" s="588"/>
      <c r="D7" s="588"/>
      <c r="E7" s="588" t="s">
        <v>148</v>
      </c>
      <c r="F7" s="588"/>
      <c r="G7" s="588"/>
      <c r="H7" s="588" t="s">
        <v>127</v>
      </c>
      <c r="I7" s="588"/>
      <c r="J7" s="588"/>
      <c r="K7" s="588" t="s">
        <v>123</v>
      </c>
      <c r="L7" s="588"/>
      <c r="M7" s="589"/>
      <c r="N7" s="51" t="s">
        <v>10</v>
      </c>
    </row>
    <row r="8" spans="1:22" ht="28.5" x14ac:dyDescent="0.25">
      <c r="A8" s="586"/>
      <c r="B8" s="235" t="s">
        <v>2</v>
      </c>
      <c r="C8" s="235" t="s">
        <v>95</v>
      </c>
      <c r="D8" s="235" t="s">
        <v>3</v>
      </c>
      <c r="E8" s="235" t="s">
        <v>2</v>
      </c>
      <c r="F8" s="235" t="s">
        <v>110</v>
      </c>
      <c r="G8" s="235" t="s">
        <v>3</v>
      </c>
      <c r="H8" s="235" t="s">
        <v>2</v>
      </c>
      <c r="I8" s="235" t="s">
        <v>110</v>
      </c>
      <c r="J8" s="235" t="s">
        <v>3</v>
      </c>
      <c r="K8" s="235" t="s">
        <v>2</v>
      </c>
      <c r="L8" s="235" t="s">
        <v>110</v>
      </c>
      <c r="M8" s="234" t="s">
        <v>3</v>
      </c>
      <c r="N8" s="51" t="s">
        <v>10</v>
      </c>
      <c r="P8" s="240"/>
    </row>
    <row r="9" spans="1:22" x14ac:dyDescent="0.2">
      <c r="A9" s="173" t="s">
        <v>427</v>
      </c>
      <c r="B9" s="217">
        <v>0</v>
      </c>
      <c r="C9" s="217">
        <v>0</v>
      </c>
      <c r="D9" s="217">
        <v>15962</v>
      </c>
      <c r="E9" s="217">
        <v>0</v>
      </c>
      <c r="F9" s="217">
        <v>0</v>
      </c>
      <c r="G9" s="217">
        <v>16300</v>
      </c>
      <c r="H9" s="217">
        <v>0</v>
      </c>
      <c r="I9" s="217">
        <v>0</v>
      </c>
      <c r="J9" s="217">
        <v>0</v>
      </c>
      <c r="K9" s="217">
        <f t="shared" ref="K9:M10" si="0">E9+H9</f>
        <v>0</v>
      </c>
      <c r="L9" s="217">
        <f t="shared" si="0"/>
        <v>0</v>
      </c>
      <c r="M9" s="286">
        <f t="shared" si="0"/>
        <v>16300</v>
      </c>
      <c r="N9" s="51" t="s">
        <v>10</v>
      </c>
    </row>
    <row r="10" spans="1:22" x14ac:dyDescent="0.2">
      <c r="A10" s="207" t="s">
        <v>425</v>
      </c>
      <c r="B10" s="154">
        <v>0</v>
      </c>
      <c r="C10" s="154">
        <v>0</v>
      </c>
      <c r="D10" s="154">
        <v>61949</v>
      </c>
      <c r="E10" s="154">
        <v>0</v>
      </c>
      <c r="F10" s="154">
        <v>0</v>
      </c>
      <c r="G10" s="154">
        <v>80928</v>
      </c>
      <c r="H10" s="154">
        <v>0</v>
      </c>
      <c r="I10" s="154">
        <v>0</v>
      </c>
      <c r="J10" s="154">
        <v>72</v>
      </c>
      <c r="K10" s="154">
        <f t="shared" si="0"/>
        <v>0</v>
      </c>
      <c r="L10" s="154">
        <f t="shared" si="0"/>
        <v>0</v>
      </c>
      <c r="M10" s="151">
        <f t="shared" si="0"/>
        <v>81000</v>
      </c>
      <c r="N10" s="51" t="s">
        <v>10</v>
      </c>
    </row>
    <row r="11" spans="1:22" ht="15" x14ac:dyDescent="0.25">
      <c r="A11" s="13" t="s">
        <v>98</v>
      </c>
      <c r="B11" s="118">
        <f t="shared" ref="B11:M11" si="1">SUM(B9:B10)</f>
        <v>0</v>
      </c>
      <c r="C11" s="118">
        <f t="shared" si="1"/>
        <v>0</v>
      </c>
      <c r="D11" s="118">
        <f t="shared" si="1"/>
        <v>77911</v>
      </c>
      <c r="E11" s="118">
        <f t="shared" si="1"/>
        <v>0</v>
      </c>
      <c r="F11" s="118">
        <f t="shared" si="1"/>
        <v>0</v>
      </c>
      <c r="G11" s="118">
        <f t="shared" si="1"/>
        <v>97228</v>
      </c>
      <c r="H11" s="118">
        <f t="shared" si="1"/>
        <v>0</v>
      </c>
      <c r="I11" s="118">
        <f t="shared" si="1"/>
        <v>0</v>
      </c>
      <c r="J11" s="118">
        <f t="shared" si="1"/>
        <v>72</v>
      </c>
      <c r="K11" s="118">
        <f t="shared" si="1"/>
        <v>0</v>
      </c>
      <c r="L11" s="118">
        <f t="shared" si="1"/>
        <v>0</v>
      </c>
      <c r="M11" s="119">
        <f t="shared" si="1"/>
        <v>97300</v>
      </c>
      <c r="N11" s="51" t="s">
        <v>10</v>
      </c>
      <c r="P11" s="5"/>
    </row>
    <row r="12" spans="1:22" ht="15" x14ac:dyDescent="0.25">
      <c r="A12" s="218" t="s">
        <v>97</v>
      </c>
      <c r="B12" s="120"/>
      <c r="C12" s="120"/>
      <c r="D12" s="217">
        <v>0</v>
      </c>
      <c r="E12" s="120"/>
      <c r="F12" s="120"/>
      <c r="G12" s="217">
        <v>0</v>
      </c>
      <c r="H12" s="120"/>
      <c r="I12" s="120"/>
      <c r="J12" s="217">
        <v>0</v>
      </c>
      <c r="K12" s="120"/>
      <c r="L12" s="120"/>
      <c r="M12" s="286">
        <f>G12+J12</f>
        <v>0</v>
      </c>
      <c r="N12" s="51" t="s">
        <v>10</v>
      </c>
      <c r="P12" s="5"/>
    </row>
    <row r="13" spans="1:22" ht="15" x14ac:dyDescent="0.25">
      <c r="A13" s="214" t="s">
        <v>111</v>
      </c>
      <c r="B13" s="25"/>
      <c r="C13" s="25"/>
      <c r="D13" s="213">
        <f>SUM(D11:D12)</f>
        <v>77911</v>
      </c>
      <c r="E13" s="25"/>
      <c r="F13" s="25"/>
      <c r="G13" s="213">
        <f>SUM(G11:G12)</f>
        <v>97228</v>
      </c>
      <c r="H13" s="25"/>
      <c r="I13" s="25"/>
      <c r="J13" s="213">
        <f>SUM(J11:J12)</f>
        <v>72</v>
      </c>
      <c r="K13" s="25"/>
      <c r="L13" s="25"/>
      <c r="M13" s="211">
        <f>G13+J13</f>
        <v>97300</v>
      </c>
      <c r="N13" s="51" t="s">
        <v>10</v>
      </c>
      <c r="P13" s="5"/>
    </row>
    <row r="14" spans="1:22" x14ac:dyDescent="0.2">
      <c r="A14" s="210" t="s">
        <v>13</v>
      </c>
      <c r="B14" s="209"/>
      <c r="C14" s="209">
        <v>0</v>
      </c>
      <c r="D14" s="209"/>
      <c r="E14" s="209"/>
      <c r="F14" s="209">
        <v>0</v>
      </c>
      <c r="G14" s="209"/>
      <c r="H14" s="209"/>
      <c r="I14" s="209">
        <v>0</v>
      </c>
      <c r="J14" s="209"/>
      <c r="K14" s="209"/>
      <c r="L14" s="209">
        <f>F14+I14</f>
        <v>0</v>
      </c>
      <c r="M14" s="208"/>
      <c r="N14" s="51" t="s">
        <v>10</v>
      </c>
    </row>
    <row r="15" spans="1:22" x14ac:dyDescent="0.2">
      <c r="A15" s="207" t="s">
        <v>99</v>
      </c>
      <c r="B15" s="154"/>
      <c r="C15" s="154">
        <f>C11+C14</f>
        <v>0</v>
      </c>
      <c r="D15" s="154"/>
      <c r="E15" s="154"/>
      <c r="F15" s="154">
        <f>F11+F14</f>
        <v>0</v>
      </c>
      <c r="G15" s="154"/>
      <c r="H15" s="154"/>
      <c r="I15" s="154">
        <f>I11+I14</f>
        <v>0</v>
      </c>
      <c r="J15" s="154"/>
      <c r="K15" s="154"/>
      <c r="L15" s="154">
        <f>F15+I15</f>
        <v>0</v>
      </c>
      <c r="M15" s="151"/>
      <c r="N15" s="51" t="s">
        <v>10</v>
      </c>
    </row>
    <row r="16" spans="1:22" x14ac:dyDescent="0.2">
      <c r="A16" s="207"/>
      <c r="B16" s="154"/>
      <c r="C16" s="154"/>
      <c r="D16" s="154"/>
      <c r="E16" s="154"/>
      <c r="F16" s="154"/>
      <c r="G16" s="154"/>
      <c r="H16" s="154"/>
      <c r="I16" s="154"/>
      <c r="J16" s="154"/>
      <c r="K16" s="154"/>
      <c r="L16" s="154"/>
      <c r="M16" s="151"/>
      <c r="N16" s="51" t="s">
        <v>10</v>
      </c>
    </row>
    <row r="17" spans="1:14" x14ac:dyDescent="0.2">
      <c r="A17" s="207" t="s">
        <v>14</v>
      </c>
      <c r="B17" s="154"/>
      <c r="C17" s="154"/>
      <c r="D17" s="154"/>
      <c r="E17" s="154"/>
      <c r="F17" s="154"/>
      <c r="G17" s="154"/>
      <c r="H17" s="154"/>
      <c r="I17" s="154"/>
      <c r="J17" s="154"/>
      <c r="K17" s="154"/>
      <c r="L17" s="154"/>
      <c r="M17" s="151"/>
      <c r="N17" s="51" t="s">
        <v>10</v>
      </c>
    </row>
    <row r="18" spans="1:14" x14ac:dyDescent="0.2">
      <c r="A18" s="206" t="s">
        <v>15</v>
      </c>
      <c r="B18" s="154"/>
      <c r="C18" s="154">
        <v>0</v>
      </c>
      <c r="D18" s="154"/>
      <c r="E18" s="154"/>
      <c r="F18" s="154">
        <v>0</v>
      </c>
      <c r="G18" s="154"/>
      <c r="H18" s="154"/>
      <c r="I18" s="154">
        <v>0</v>
      </c>
      <c r="J18" s="154"/>
      <c r="K18" s="154"/>
      <c r="L18" s="154">
        <f>F18+I18</f>
        <v>0</v>
      </c>
      <c r="M18" s="151"/>
      <c r="N18" s="51" t="s">
        <v>10</v>
      </c>
    </row>
    <row r="19" spans="1:14" x14ac:dyDescent="0.2">
      <c r="A19" s="205" t="s">
        <v>16</v>
      </c>
      <c r="B19" s="204"/>
      <c r="C19" s="204">
        <v>0</v>
      </c>
      <c r="D19" s="204"/>
      <c r="E19" s="204"/>
      <c r="F19" s="204">
        <v>0</v>
      </c>
      <c r="G19" s="204"/>
      <c r="H19" s="204"/>
      <c r="I19" s="204">
        <v>0</v>
      </c>
      <c r="J19" s="204"/>
      <c r="K19" s="204"/>
      <c r="L19" s="204">
        <f>F19+I19</f>
        <v>0</v>
      </c>
      <c r="M19" s="203"/>
      <c r="N19" s="51" t="s">
        <v>10</v>
      </c>
    </row>
    <row r="20" spans="1:14" ht="15" thickBot="1" x14ac:dyDescent="0.25">
      <c r="A20" s="202" t="s">
        <v>100</v>
      </c>
      <c r="B20" s="201"/>
      <c r="C20" s="201">
        <f>C15+C18+C19</f>
        <v>0</v>
      </c>
      <c r="D20" s="201"/>
      <c r="E20" s="201"/>
      <c r="F20" s="201">
        <f>F15+F18+F19</f>
        <v>0</v>
      </c>
      <c r="G20" s="201"/>
      <c r="H20" s="201"/>
      <c r="I20" s="201">
        <f>I15+I18+I19</f>
        <v>0</v>
      </c>
      <c r="J20" s="201"/>
      <c r="K20" s="201"/>
      <c r="L20" s="201">
        <f>F20+I20</f>
        <v>0</v>
      </c>
      <c r="M20" s="200"/>
      <c r="N20" s="51" t="s">
        <v>10</v>
      </c>
    </row>
    <row r="21" spans="1:14" ht="15" thickBot="1" x14ac:dyDescent="0.25">
      <c r="N21" s="51" t="s">
        <v>10</v>
      </c>
    </row>
    <row r="22" spans="1:14" ht="15" x14ac:dyDescent="0.2">
      <c r="A22" s="585" t="s">
        <v>101</v>
      </c>
      <c r="B22" s="588" t="s">
        <v>128</v>
      </c>
      <c r="C22" s="588"/>
      <c r="D22" s="588"/>
      <c r="E22" s="588" t="s">
        <v>129</v>
      </c>
      <c r="F22" s="588"/>
      <c r="G22" s="588"/>
      <c r="H22" s="588" t="s">
        <v>130</v>
      </c>
      <c r="I22" s="588"/>
      <c r="J22" s="589"/>
      <c r="N22" s="51" t="s">
        <v>10</v>
      </c>
    </row>
    <row r="23" spans="1:14" ht="28.5" x14ac:dyDescent="0.2">
      <c r="A23" s="586"/>
      <c r="B23" s="235" t="s">
        <v>2</v>
      </c>
      <c r="C23" s="235" t="s">
        <v>110</v>
      </c>
      <c r="D23" s="235" t="s">
        <v>3</v>
      </c>
      <c r="E23" s="235" t="s">
        <v>2</v>
      </c>
      <c r="F23" s="235" t="s">
        <v>110</v>
      </c>
      <c r="G23" s="235" t="s">
        <v>3</v>
      </c>
      <c r="H23" s="235" t="s">
        <v>2</v>
      </c>
      <c r="I23" s="235" t="s">
        <v>110</v>
      </c>
      <c r="J23" s="234" t="s">
        <v>3</v>
      </c>
      <c r="N23" s="51" t="s">
        <v>10</v>
      </c>
    </row>
    <row r="24" spans="1:14" x14ac:dyDescent="0.2">
      <c r="A24" s="173" t="str">
        <f>A9</f>
        <v>PSOB Death Benefits (Mandatory)</v>
      </c>
      <c r="B24" s="217">
        <v>0</v>
      </c>
      <c r="C24" s="217">
        <v>0</v>
      </c>
      <c r="D24" s="217">
        <v>0</v>
      </c>
      <c r="E24" s="217">
        <v>0</v>
      </c>
      <c r="F24" s="217">
        <v>0</v>
      </c>
      <c r="G24" s="217">
        <v>0</v>
      </c>
      <c r="H24" s="217">
        <f t="shared" ref="H24:J25" si="2">K9+B24+E24</f>
        <v>0</v>
      </c>
      <c r="I24" s="217">
        <f t="shared" si="2"/>
        <v>0</v>
      </c>
      <c r="J24" s="286">
        <f t="shared" si="2"/>
        <v>16300</v>
      </c>
      <c r="N24" s="51" t="s">
        <v>10</v>
      </c>
    </row>
    <row r="25" spans="1:14" x14ac:dyDescent="0.2">
      <c r="A25" s="207" t="str">
        <f>A10</f>
        <v>PSOB Disability and Education Benefits (Discretionary)</v>
      </c>
      <c r="B25" s="154">
        <v>0</v>
      </c>
      <c r="C25" s="154">
        <v>0</v>
      </c>
      <c r="D25" s="154">
        <v>0</v>
      </c>
      <c r="E25" s="154">
        <v>0</v>
      </c>
      <c r="F25" s="154">
        <v>0</v>
      </c>
      <c r="G25" s="154">
        <v>0</v>
      </c>
      <c r="H25" s="154">
        <f t="shared" si="2"/>
        <v>0</v>
      </c>
      <c r="I25" s="154">
        <f t="shared" si="2"/>
        <v>0</v>
      </c>
      <c r="J25" s="151">
        <f t="shared" si="2"/>
        <v>81000</v>
      </c>
      <c r="N25" s="51" t="s">
        <v>10</v>
      </c>
    </row>
    <row r="26" spans="1:14" ht="15" x14ac:dyDescent="0.25">
      <c r="A26" s="13" t="s">
        <v>98</v>
      </c>
      <c r="B26" s="118">
        <f t="shared" ref="B26:J26" si="3">SUM(B24:B25)</f>
        <v>0</v>
      </c>
      <c r="C26" s="118">
        <f t="shared" si="3"/>
        <v>0</v>
      </c>
      <c r="D26" s="118">
        <f t="shared" si="3"/>
        <v>0</v>
      </c>
      <c r="E26" s="118">
        <f t="shared" si="3"/>
        <v>0</v>
      </c>
      <c r="F26" s="118">
        <f t="shared" si="3"/>
        <v>0</v>
      </c>
      <c r="G26" s="118">
        <f t="shared" si="3"/>
        <v>0</v>
      </c>
      <c r="H26" s="118">
        <f t="shared" si="3"/>
        <v>0</v>
      </c>
      <c r="I26" s="118">
        <f t="shared" si="3"/>
        <v>0</v>
      </c>
      <c r="J26" s="119">
        <f t="shared" si="3"/>
        <v>97300</v>
      </c>
      <c r="N26" s="51" t="s">
        <v>10</v>
      </c>
    </row>
    <row r="27" spans="1:14" ht="15" x14ac:dyDescent="0.25">
      <c r="A27" s="218" t="s">
        <v>97</v>
      </c>
      <c r="B27" s="120"/>
      <c r="C27" s="120"/>
      <c r="D27" s="217">
        <v>0</v>
      </c>
      <c r="E27" s="120"/>
      <c r="F27" s="120"/>
      <c r="G27" s="217">
        <v>0</v>
      </c>
      <c r="H27" s="120"/>
      <c r="I27" s="120"/>
      <c r="J27" s="286">
        <f>M12+D27+G27</f>
        <v>0</v>
      </c>
      <c r="N27" s="51" t="s">
        <v>10</v>
      </c>
    </row>
    <row r="28" spans="1:14" ht="15" x14ac:dyDescent="0.25">
      <c r="A28" s="214" t="s">
        <v>111</v>
      </c>
      <c r="B28" s="25"/>
      <c r="C28" s="25"/>
      <c r="D28" s="213">
        <f>SUM(D26:D27)</f>
        <v>0</v>
      </c>
      <c r="E28" s="25"/>
      <c r="F28" s="25"/>
      <c r="G28" s="213">
        <f>SUM(G26:G27)</f>
        <v>0</v>
      </c>
      <c r="H28" s="25"/>
      <c r="I28" s="25"/>
      <c r="J28" s="211">
        <f>M13+D28+G28</f>
        <v>97300</v>
      </c>
      <c r="N28" s="51" t="s">
        <v>10</v>
      </c>
    </row>
    <row r="29" spans="1:14" x14ac:dyDescent="0.2">
      <c r="A29" s="210" t="s">
        <v>13</v>
      </c>
      <c r="B29" s="209"/>
      <c r="C29" s="209">
        <v>0</v>
      </c>
      <c r="D29" s="209"/>
      <c r="E29" s="209"/>
      <c r="F29" s="209">
        <v>0</v>
      </c>
      <c r="G29" s="209"/>
      <c r="H29" s="209"/>
      <c r="I29" s="209">
        <f t="shared" ref="I29:I35" si="4">L14+C29+F29</f>
        <v>0</v>
      </c>
      <c r="J29" s="208"/>
      <c r="N29" s="51" t="s">
        <v>10</v>
      </c>
    </row>
    <row r="30" spans="1:14" x14ac:dyDescent="0.2">
      <c r="A30" s="207" t="s">
        <v>99</v>
      </c>
      <c r="B30" s="154"/>
      <c r="C30" s="154">
        <f>C26+C29</f>
        <v>0</v>
      </c>
      <c r="D30" s="154"/>
      <c r="E30" s="154"/>
      <c r="F30" s="154">
        <f>F26+F29</f>
        <v>0</v>
      </c>
      <c r="G30" s="154"/>
      <c r="H30" s="154"/>
      <c r="I30" s="154">
        <f t="shared" si="4"/>
        <v>0</v>
      </c>
      <c r="J30" s="151"/>
      <c r="N30" s="51" t="s">
        <v>10</v>
      </c>
    </row>
    <row r="31" spans="1:14" x14ac:dyDescent="0.2">
      <c r="A31" s="207"/>
      <c r="B31" s="154"/>
      <c r="C31" s="154"/>
      <c r="D31" s="154"/>
      <c r="E31" s="154"/>
      <c r="F31" s="154"/>
      <c r="G31" s="154"/>
      <c r="H31" s="154"/>
      <c r="I31" s="154">
        <f t="shared" si="4"/>
        <v>0</v>
      </c>
      <c r="J31" s="151"/>
      <c r="N31" s="51" t="s">
        <v>10</v>
      </c>
    </row>
    <row r="32" spans="1:14" x14ac:dyDescent="0.2">
      <c r="A32" s="207" t="s">
        <v>14</v>
      </c>
      <c r="B32" s="154"/>
      <c r="C32" s="154"/>
      <c r="D32" s="154"/>
      <c r="E32" s="154"/>
      <c r="F32" s="154"/>
      <c r="G32" s="154"/>
      <c r="H32" s="154"/>
      <c r="I32" s="154">
        <f t="shared" si="4"/>
        <v>0</v>
      </c>
      <c r="J32" s="151"/>
      <c r="N32" s="51" t="s">
        <v>10</v>
      </c>
    </row>
    <row r="33" spans="1:14" x14ac:dyDescent="0.2">
      <c r="A33" s="206" t="s">
        <v>15</v>
      </c>
      <c r="B33" s="154"/>
      <c r="C33" s="154">
        <v>0</v>
      </c>
      <c r="D33" s="154"/>
      <c r="E33" s="154"/>
      <c r="F33" s="154">
        <v>0</v>
      </c>
      <c r="G33" s="154"/>
      <c r="H33" s="154"/>
      <c r="I33" s="154">
        <f t="shared" si="4"/>
        <v>0</v>
      </c>
      <c r="J33" s="151"/>
      <c r="N33" s="51" t="s">
        <v>10</v>
      </c>
    </row>
    <row r="34" spans="1:14" x14ac:dyDescent="0.2">
      <c r="A34" s="205" t="s">
        <v>16</v>
      </c>
      <c r="B34" s="204"/>
      <c r="C34" s="204">
        <v>0</v>
      </c>
      <c r="D34" s="204"/>
      <c r="E34" s="204"/>
      <c r="F34" s="204">
        <v>0</v>
      </c>
      <c r="G34" s="204"/>
      <c r="H34" s="204"/>
      <c r="I34" s="204">
        <f t="shared" si="4"/>
        <v>0</v>
      </c>
      <c r="J34" s="203"/>
      <c r="N34" s="51" t="s">
        <v>10</v>
      </c>
    </row>
    <row r="35" spans="1:14" ht="15" thickBot="1" x14ac:dyDescent="0.25">
      <c r="A35" s="202" t="s">
        <v>100</v>
      </c>
      <c r="B35" s="201"/>
      <c r="C35" s="201">
        <f>C30+C33+C34</f>
        <v>0</v>
      </c>
      <c r="D35" s="201"/>
      <c r="E35" s="201"/>
      <c r="F35" s="201">
        <f>F30+F33+F34</f>
        <v>0</v>
      </c>
      <c r="G35" s="201"/>
      <c r="H35" s="201"/>
      <c r="I35" s="201">
        <f t="shared" si="4"/>
        <v>0</v>
      </c>
      <c r="J35" s="200"/>
      <c r="N35" s="51" t="s">
        <v>10</v>
      </c>
    </row>
    <row r="36" spans="1:14" x14ac:dyDescent="0.2">
      <c r="A36" s="30"/>
      <c r="N36" s="51" t="s">
        <v>10</v>
      </c>
    </row>
    <row r="37" spans="1:14" x14ac:dyDescent="0.2">
      <c r="A37" s="30"/>
      <c r="N37" s="4" t="s">
        <v>11</v>
      </c>
    </row>
    <row r="38" spans="1:14" x14ac:dyDescent="0.2">
      <c r="A38" s="160"/>
    </row>
  </sheetData>
  <customSheetViews>
    <customSheetView guid="{EE916FE7-61FB-4021-ADDD-E082241FC03C}" scale="80" showPageBreaks="1" printArea="1" view="pageBreakPreview">
      <selection activeCell="L48" sqref="L48"/>
      <pageMargins left="0.7" right="0.7" top="0.75" bottom="0.75" header="0.3" footer="0.3"/>
      <printOptions horizontalCentered="1"/>
      <pageSetup scale="69" orientation="landscape" r:id="rId1"/>
      <headerFooter>
        <oddHeader>&amp;L&amp;"Arial,Bold"&amp;12B. Summary of Requirements</oddHeader>
        <oddFooter>&amp;C&amp;"Arial,Regular"Exhibit B - Summary of Requirements&amp;R&amp;"Arial,Regular"Public Safety Officers Benefits</oddFooter>
      </headerFooter>
    </customSheetView>
    <customSheetView guid="{0BB5DC4B-BC2A-4489-BE17-5E267FA1EF63}" scale="80" showPageBreaks="1" printArea="1" view="pageBreakPreview">
      <selection activeCell="L48" sqref="L48"/>
      <pageMargins left="0.7" right="0.7" top="0.75" bottom="0.75" header="0.3" footer="0.3"/>
      <printOptions horizontalCentered="1"/>
      <pageSetup scale="69" orientation="landscape" r:id="rId2"/>
      <headerFooter>
        <oddHeader>&amp;L&amp;"Arial,Bold"&amp;12B. Summary of Requirements</oddHeader>
        <oddFooter>&amp;C&amp;"Arial,Regular"Exhibit B - Summary of Requirements&amp;R&amp;"Arial,Regular"Public Safety Officers Benefits</oddFooter>
      </headerFooter>
    </customSheetView>
    <customSheetView guid="{6C58FFE1-D756-42C4-A1BC-AA7F1DC1E56F}" scale="80" showPageBreaks="1" printArea="1" view="pageBreakPreview">
      <selection activeCell="L48" sqref="L48"/>
      <pageMargins left="0.7" right="0.7" top="0.75" bottom="0.75" header="0.3" footer="0.3"/>
      <printOptions horizontalCentered="1"/>
      <pageSetup scale="69" orientation="landscape" r:id="rId3"/>
      <headerFooter>
        <oddHeader>&amp;L&amp;"Arial,Bold"&amp;12B. Summary of Requirements</oddHeader>
        <oddFooter>&amp;C&amp;"Arial,Regular"Exhibit B - Summary of Requirements&amp;R&amp;"Arial,Regular"Public Safety Officers Benefits</oddFooter>
      </headerFooter>
    </customSheetView>
    <customSheetView guid="{CFA5D1C9-F4C9-4B8D-923D-4C71CB6E7D3B}" scale="80" showPageBreaks="1" printArea="1" view="pageBreakPreview">
      <selection activeCell="L48" sqref="L48"/>
      <pageMargins left="0.7" right="0.7" top="0.75" bottom="0.75" header="0.3" footer="0.3"/>
      <printOptions horizontalCentered="1"/>
      <pageSetup scale="69" orientation="landscape" r:id="rId4"/>
      <headerFooter>
        <oddHeader>&amp;L&amp;"Arial,Bold"&amp;12B. Summary of Requirements</oddHeader>
        <oddFooter>&amp;C&amp;"Arial,Regular"Exhibit B - Summary of Requirements&amp;R&amp;"Arial,Regular"Public Safety Officers Benefits</oddFooter>
      </headerFooter>
    </customSheetView>
    <customSheetView guid="{A788DF77-74F1-49E4-8B34-BFBDB7664F30}" scale="80" showPageBreaks="1" printArea="1" view="pageBreakPreview">
      <selection activeCell="A14" sqref="A14"/>
      <pageMargins left="0.7" right="0.7" top="0.75" bottom="0.75" header="0.3" footer="0.3"/>
      <printOptions horizontalCentered="1"/>
      <pageSetup scale="69" orientation="landscape" r:id="rId5"/>
      <headerFooter>
        <oddHeader>&amp;L&amp;"Arial,Bold"&amp;12B. Summary of Requirements</oddHeader>
        <oddFooter>&amp;C&amp;"Arial,Regular"Exhibit B - Summary of Requirements&amp;R&amp;"Arial,Regular"Public Safety Officers Benefits</oddFooter>
      </headerFooter>
    </customSheetView>
  </customSheetViews>
  <mergeCells count="15">
    <mergeCell ref="A5:M5"/>
    <mergeCell ref="A6:M6"/>
    <mergeCell ref="A22:A23"/>
    <mergeCell ref="A1:M1"/>
    <mergeCell ref="A2:M2"/>
    <mergeCell ref="A3:M3"/>
    <mergeCell ref="A4:M4"/>
    <mergeCell ref="A7:A8"/>
    <mergeCell ref="B7:D7"/>
    <mergeCell ref="E7:G7"/>
    <mergeCell ref="H7:J7"/>
    <mergeCell ref="K7:M7"/>
    <mergeCell ref="B22:D22"/>
    <mergeCell ref="E22:G22"/>
    <mergeCell ref="H22:J22"/>
  </mergeCells>
  <printOptions horizontalCentered="1"/>
  <pageMargins left="0.7" right="0.7" top="0.75" bottom="0.75" header="0.3" footer="0.3"/>
  <pageSetup scale="69" orientation="landscape" r:id="rId6"/>
  <headerFooter>
    <oddHeader>&amp;L&amp;"Arial,Bold"&amp;12B. Summary of Requirements</oddHeader>
    <oddFooter>&amp;C&amp;"Arial,Regular"Exhibit B - Summary of Requirements&amp;R&amp;"Arial,Regular"Public Safety Officers Benefits</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view="pageBreakPreview" zoomScale="80" zoomScaleNormal="100" zoomScaleSheetLayoutView="80" workbookViewId="0">
      <selection activeCell="O54" sqref="O54"/>
    </sheetView>
  </sheetViews>
  <sheetFormatPr defaultRowHeight="14.25" x14ac:dyDescent="0.2"/>
  <cols>
    <col min="1" max="1" width="7.42578125" style="143" bestFit="1" customWidth="1"/>
    <col min="2" max="2" width="58.140625" style="143" customWidth="1"/>
    <col min="3" max="3" width="8.7109375" style="143" customWidth="1"/>
    <col min="4" max="4" width="12.7109375" style="143" customWidth="1"/>
    <col min="5" max="5" width="8.7109375" style="143" customWidth="1"/>
    <col min="6" max="6" width="12.7109375" style="143" customWidth="1"/>
    <col min="7" max="7" width="8.7109375" style="143" customWidth="1"/>
    <col min="8" max="8" width="12.7109375" style="143" customWidth="1"/>
    <col min="9" max="9" width="8.7109375" style="143" customWidth="1"/>
    <col min="10" max="10" width="12.7109375" style="143" customWidth="1"/>
    <col min="11" max="11" width="8.7109375" style="143" customWidth="1"/>
    <col min="12" max="12" width="12.7109375" style="143" customWidth="1"/>
    <col min="13" max="13" width="8.7109375" style="143" customWidth="1"/>
    <col min="14" max="14" width="12.7109375" style="143" customWidth="1"/>
    <col min="15" max="15" width="14" style="4" bestFit="1" customWidth="1"/>
    <col min="16" max="16" width="4.5703125" style="143" customWidth="1"/>
    <col min="17" max="17" width="122.85546875" style="143" customWidth="1"/>
    <col min="18" max="19" width="8.28515625" style="143" customWidth="1"/>
    <col min="20" max="20" width="12.7109375" style="143" customWidth="1"/>
    <col min="21" max="22" width="8.28515625" style="143" customWidth="1"/>
    <col min="23" max="23" width="12.7109375" style="143" customWidth="1"/>
    <col min="24" max="16384" width="9.140625" style="143"/>
  </cols>
  <sheetData>
    <row r="1" spans="1:23" ht="18" x14ac:dyDescent="0.25">
      <c r="A1" s="577" t="s">
        <v>222</v>
      </c>
      <c r="B1" s="577"/>
      <c r="C1" s="577"/>
      <c r="D1" s="577"/>
      <c r="E1" s="577"/>
      <c r="F1" s="577"/>
      <c r="G1" s="577"/>
      <c r="H1" s="577"/>
      <c r="I1" s="577"/>
      <c r="J1" s="577"/>
      <c r="K1" s="577"/>
      <c r="L1" s="577"/>
      <c r="M1" s="577"/>
      <c r="N1" s="577"/>
      <c r="O1" s="51" t="s">
        <v>10</v>
      </c>
      <c r="P1" s="6"/>
      <c r="Q1" s="199"/>
      <c r="R1" s="6"/>
      <c r="S1" s="6"/>
      <c r="T1" s="6"/>
      <c r="U1" s="6"/>
      <c r="V1" s="6"/>
      <c r="W1" s="6"/>
    </row>
    <row r="2" spans="1:23" ht="15" x14ac:dyDescent="0.2">
      <c r="A2" s="578" t="s">
        <v>152</v>
      </c>
      <c r="B2" s="578"/>
      <c r="C2" s="578"/>
      <c r="D2" s="578"/>
      <c r="E2" s="578"/>
      <c r="F2" s="578"/>
      <c r="G2" s="578"/>
      <c r="H2" s="578"/>
      <c r="I2" s="578"/>
      <c r="J2" s="578"/>
      <c r="K2" s="578"/>
      <c r="L2" s="578"/>
      <c r="M2" s="578"/>
      <c r="N2" s="578"/>
      <c r="O2" s="51" t="s">
        <v>10</v>
      </c>
      <c r="P2" s="7"/>
      <c r="Q2" s="198"/>
      <c r="R2" s="7"/>
      <c r="S2" s="7"/>
      <c r="T2" s="7"/>
      <c r="U2" s="7"/>
      <c r="V2" s="7"/>
      <c r="W2" s="7"/>
    </row>
    <row r="3" spans="1:23" x14ac:dyDescent="0.2">
      <c r="A3" s="579" t="s">
        <v>424</v>
      </c>
      <c r="B3" s="579"/>
      <c r="C3" s="579"/>
      <c r="D3" s="579"/>
      <c r="E3" s="579"/>
      <c r="F3" s="579"/>
      <c r="G3" s="579"/>
      <c r="H3" s="579"/>
      <c r="I3" s="579"/>
      <c r="J3" s="579"/>
      <c r="K3" s="579"/>
      <c r="L3" s="579"/>
      <c r="M3" s="579"/>
      <c r="N3" s="579"/>
      <c r="O3" s="51" t="s">
        <v>10</v>
      </c>
      <c r="P3" s="163"/>
      <c r="Q3" s="198"/>
      <c r="R3" s="163"/>
      <c r="S3" s="163"/>
      <c r="T3" s="163"/>
      <c r="U3" s="163"/>
      <c r="V3" s="163"/>
      <c r="W3" s="163"/>
    </row>
    <row r="4" spans="1:23" x14ac:dyDescent="0.2">
      <c r="A4" s="608" t="s">
        <v>1</v>
      </c>
      <c r="B4" s="608"/>
      <c r="C4" s="608"/>
      <c r="D4" s="608"/>
      <c r="E4" s="608"/>
      <c r="F4" s="608"/>
      <c r="G4" s="608"/>
      <c r="H4" s="608"/>
      <c r="I4" s="608"/>
      <c r="J4" s="608"/>
      <c r="K4" s="608"/>
      <c r="L4" s="608"/>
      <c r="M4" s="608"/>
      <c r="N4" s="608"/>
      <c r="O4" s="51" t="s">
        <v>10</v>
      </c>
      <c r="P4" s="162"/>
      <c r="Q4" s="198"/>
      <c r="R4" s="162"/>
      <c r="S4" s="162"/>
      <c r="T4" s="162"/>
      <c r="U4" s="162"/>
      <c r="V4" s="162"/>
      <c r="W4" s="162"/>
    </row>
    <row r="5" spans="1:23" ht="15" x14ac:dyDescent="0.25">
      <c r="A5" s="579"/>
      <c r="B5" s="579"/>
      <c r="C5" s="579"/>
      <c r="D5" s="579"/>
      <c r="E5" s="579"/>
      <c r="F5" s="579"/>
      <c r="G5" s="579"/>
      <c r="H5" s="579"/>
      <c r="I5" s="579"/>
      <c r="J5" s="579"/>
      <c r="K5" s="579"/>
      <c r="L5" s="579"/>
      <c r="M5" s="579"/>
      <c r="N5" s="579"/>
      <c r="O5" s="51" t="s">
        <v>10</v>
      </c>
      <c r="P5" s="162"/>
      <c r="Q5" s="241"/>
      <c r="R5" s="162"/>
      <c r="S5" s="162"/>
      <c r="T5" s="162"/>
      <c r="U5" s="162"/>
      <c r="V5" s="162"/>
      <c r="W5" s="162"/>
    </row>
    <row r="6" spans="1:23" ht="15" thickBot="1" x14ac:dyDescent="0.25">
      <c r="A6" s="613"/>
      <c r="B6" s="613"/>
      <c r="C6" s="613"/>
      <c r="D6" s="613"/>
      <c r="E6" s="613"/>
      <c r="F6" s="613"/>
      <c r="G6" s="613"/>
      <c r="H6" s="613"/>
      <c r="I6" s="613"/>
      <c r="J6" s="613"/>
      <c r="K6" s="613"/>
      <c r="L6" s="613"/>
      <c r="M6" s="613"/>
      <c r="N6" s="613"/>
      <c r="O6" s="51" t="s">
        <v>10</v>
      </c>
      <c r="P6" s="162"/>
      <c r="Q6" s="276"/>
      <c r="R6" s="162"/>
      <c r="S6" s="162"/>
      <c r="T6" s="162"/>
      <c r="U6" s="162"/>
      <c r="V6" s="162"/>
      <c r="W6" s="162"/>
    </row>
    <row r="7" spans="1:23" ht="46.5" customHeight="1" x14ac:dyDescent="0.2">
      <c r="A7" s="623" t="s">
        <v>221</v>
      </c>
      <c r="B7" s="630"/>
      <c r="C7" s="588" t="s">
        <v>126</v>
      </c>
      <c r="D7" s="588"/>
      <c r="E7" s="588" t="s">
        <v>148</v>
      </c>
      <c r="F7" s="588"/>
      <c r="G7" s="588" t="s">
        <v>123</v>
      </c>
      <c r="H7" s="588"/>
      <c r="I7" s="588" t="s">
        <v>128</v>
      </c>
      <c r="J7" s="588"/>
      <c r="K7" s="588" t="s">
        <v>129</v>
      </c>
      <c r="L7" s="588"/>
      <c r="M7" s="588" t="s">
        <v>124</v>
      </c>
      <c r="N7" s="589"/>
      <c r="O7" s="51" t="s">
        <v>10</v>
      </c>
    </row>
    <row r="8" spans="1:23" ht="42.75" x14ac:dyDescent="0.2">
      <c r="A8" s="624"/>
      <c r="B8" s="631"/>
      <c r="C8" s="235" t="s">
        <v>220</v>
      </c>
      <c r="D8" s="235" t="s">
        <v>219</v>
      </c>
      <c r="E8" s="235" t="s">
        <v>220</v>
      </c>
      <c r="F8" s="235" t="s">
        <v>219</v>
      </c>
      <c r="G8" s="235" t="s">
        <v>220</v>
      </c>
      <c r="H8" s="235" t="s">
        <v>219</v>
      </c>
      <c r="I8" s="235" t="s">
        <v>220</v>
      </c>
      <c r="J8" s="235" t="s">
        <v>219</v>
      </c>
      <c r="K8" s="235" t="s">
        <v>220</v>
      </c>
      <c r="L8" s="235" t="s">
        <v>219</v>
      </c>
      <c r="M8" s="235" t="s">
        <v>220</v>
      </c>
      <c r="N8" s="234" t="s">
        <v>219</v>
      </c>
      <c r="O8" s="51" t="s">
        <v>10</v>
      </c>
    </row>
    <row r="9" spans="1:23" ht="45" hidden="1" x14ac:dyDescent="0.2">
      <c r="A9" s="272" t="s">
        <v>218</v>
      </c>
      <c r="B9" s="271" t="s">
        <v>217</v>
      </c>
      <c r="C9" s="270"/>
      <c r="D9" s="270"/>
      <c r="E9" s="270"/>
      <c r="F9" s="270"/>
      <c r="G9" s="270"/>
      <c r="H9" s="270"/>
      <c r="I9" s="270"/>
      <c r="J9" s="270"/>
      <c r="K9" s="270"/>
      <c r="L9" s="270"/>
      <c r="M9" s="270"/>
      <c r="N9" s="269"/>
      <c r="O9" s="51" t="s">
        <v>10</v>
      </c>
    </row>
    <row r="10" spans="1:23" ht="42.75" hidden="1" x14ac:dyDescent="0.2">
      <c r="A10" s="267">
        <v>1.1000000000000001</v>
      </c>
      <c r="B10" s="266" t="s">
        <v>216</v>
      </c>
      <c r="C10" s="154">
        <v>0</v>
      </c>
      <c r="D10" s="275">
        <v>0</v>
      </c>
      <c r="E10" s="154">
        <v>0</v>
      </c>
      <c r="F10" s="154">
        <v>0</v>
      </c>
      <c r="G10" s="154">
        <v>0</v>
      </c>
      <c r="H10" s="154">
        <v>0</v>
      </c>
      <c r="I10" s="154">
        <v>0</v>
      </c>
      <c r="J10" s="154">
        <v>0</v>
      </c>
      <c r="K10" s="154">
        <v>0</v>
      </c>
      <c r="L10" s="154">
        <v>0</v>
      </c>
      <c r="M10" s="154">
        <f t="shared" ref="M10:N12" si="0">G10+I10+K10</f>
        <v>0</v>
      </c>
      <c r="N10" s="151">
        <f t="shared" si="0"/>
        <v>0</v>
      </c>
      <c r="O10" s="51" t="s">
        <v>10</v>
      </c>
    </row>
    <row r="11" spans="1:23" hidden="1" x14ac:dyDescent="0.2">
      <c r="A11" s="267">
        <v>1.2</v>
      </c>
      <c r="B11" s="274" t="s">
        <v>215</v>
      </c>
      <c r="C11" s="154">
        <v>0</v>
      </c>
      <c r="D11" s="154">
        <v>0</v>
      </c>
      <c r="E11" s="154">
        <v>0</v>
      </c>
      <c r="F11" s="154">
        <v>0</v>
      </c>
      <c r="G11" s="154">
        <v>0</v>
      </c>
      <c r="H11" s="154">
        <v>0</v>
      </c>
      <c r="I11" s="154">
        <v>0</v>
      </c>
      <c r="J11" s="154">
        <v>0</v>
      </c>
      <c r="K11" s="154">
        <v>0</v>
      </c>
      <c r="L11" s="154">
        <v>0</v>
      </c>
      <c r="M11" s="154">
        <f t="shared" si="0"/>
        <v>0</v>
      </c>
      <c r="N11" s="151">
        <f t="shared" si="0"/>
        <v>0</v>
      </c>
      <c r="O11" s="51" t="s">
        <v>10</v>
      </c>
    </row>
    <row r="12" spans="1:23" ht="57" hidden="1" x14ac:dyDescent="0.2">
      <c r="A12" s="267">
        <v>1.3</v>
      </c>
      <c r="B12" s="266" t="s">
        <v>214</v>
      </c>
      <c r="C12" s="154">
        <v>0</v>
      </c>
      <c r="D12" s="154">
        <v>0</v>
      </c>
      <c r="E12" s="154">
        <v>0</v>
      </c>
      <c r="F12" s="154">
        <v>0</v>
      </c>
      <c r="G12" s="154">
        <v>0</v>
      </c>
      <c r="H12" s="154">
        <v>0</v>
      </c>
      <c r="I12" s="154">
        <v>0</v>
      </c>
      <c r="J12" s="154">
        <v>0</v>
      </c>
      <c r="K12" s="154">
        <v>0</v>
      </c>
      <c r="L12" s="154">
        <v>0</v>
      </c>
      <c r="M12" s="154">
        <f t="shared" si="0"/>
        <v>0</v>
      </c>
      <c r="N12" s="151">
        <f t="shared" si="0"/>
        <v>0</v>
      </c>
      <c r="O12" s="51" t="s">
        <v>10</v>
      </c>
    </row>
    <row r="13" spans="1:23" ht="45" hidden="1" customHeight="1" x14ac:dyDescent="0.2">
      <c r="A13" s="264">
        <v>1.4</v>
      </c>
      <c r="B13" s="263" t="s">
        <v>213</v>
      </c>
      <c r="C13" s="204"/>
      <c r="D13" s="204"/>
      <c r="E13" s="204"/>
      <c r="F13" s="204"/>
      <c r="G13" s="204"/>
      <c r="H13" s="204"/>
      <c r="I13" s="204"/>
      <c r="J13" s="204"/>
      <c r="K13" s="204"/>
      <c r="L13" s="204"/>
      <c r="M13" s="204"/>
      <c r="N13" s="203"/>
      <c r="O13" s="51" t="s">
        <v>10</v>
      </c>
    </row>
    <row r="14" spans="1:23" ht="15" hidden="1" x14ac:dyDescent="0.25">
      <c r="A14" s="262"/>
      <c r="B14" s="273" t="s">
        <v>212</v>
      </c>
      <c r="C14" s="25">
        <f t="shared" ref="C14:N14" si="1">SUM(C10:C13)</f>
        <v>0</v>
      </c>
      <c r="D14" s="25">
        <f t="shared" si="1"/>
        <v>0</v>
      </c>
      <c r="E14" s="25">
        <f t="shared" si="1"/>
        <v>0</v>
      </c>
      <c r="F14" s="25">
        <f t="shared" si="1"/>
        <v>0</v>
      </c>
      <c r="G14" s="25">
        <f t="shared" si="1"/>
        <v>0</v>
      </c>
      <c r="H14" s="25">
        <f t="shared" si="1"/>
        <v>0</v>
      </c>
      <c r="I14" s="25">
        <f t="shared" si="1"/>
        <v>0</v>
      </c>
      <c r="J14" s="25">
        <f t="shared" si="1"/>
        <v>0</v>
      </c>
      <c r="K14" s="25">
        <f t="shared" si="1"/>
        <v>0</v>
      </c>
      <c r="L14" s="25">
        <f t="shared" si="1"/>
        <v>0</v>
      </c>
      <c r="M14" s="25">
        <f t="shared" si="1"/>
        <v>0</v>
      </c>
      <c r="N14" s="26">
        <f t="shared" si="1"/>
        <v>0</v>
      </c>
      <c r="O14" s="51" t="s">
        <v>10</v>
      </c>
    </row>
    <row r="15" spans="1:23" ht="30" hidden="1" x14ac:dyDescent="0.2">
      <c r="A15" s="272" t="s">
        <v>211</v>
      </c>
      <c r="B15" s="271" t="s">
        <v>210</v>
      </c>
      <c r="C15" s="270"/>
      <c r="D15" s="270"/>
      <c r="E15" s="270"/>
      <c r="F15" s="270"/>
      <c r="G15" s="270"/>
      <c r="H15" s="270"/>
      <c r="I15" s="270"/>
      <c r="J15" s="270"/>
      <c r="K15" s="270"/>
      <c r="L15" s="270"/>
      <c r="M15" s="270"/>
      <c r="N15" s="269"/>
      <c r="O15" s="51" t="s">
        <v>10</v>
      </c>
    </row>
    <row r="16" spans="1:23" ht="57" hidden="1" x14ac:dyDescent="0.2">
      <c r="A16" s="267">
        <v>2.1</v>
      </c>
      <c r="B16" s="266" t="s">
        <v>209</v>
      </c>
      <c r="C16" s="154">
        <v>0</v>
      </c>
      <c r="D16" s="154">
        <v>0</v>
      </c>
      <c r="E16" s="154">
        <v>0</v>
      </c>
      <c r="F16" s="154">
        <v>0</v>
      </c>
      <c r="G16" s="154">
        <v>0</v>
      </c>
      <c r="H16" s="154">
        <v>0</v>
      </c>
      <c r="I16" s="154">
        <v>0</v>
      </c>
      <c r="J16" s="154">
        <v>0</v>
      </c>
      <c r="K16" s="154">
        <v>0</v>
      </c>
      <c r="L16" s="154">
        <v>0</v>
      </c>
      <c r="M16" s="154">
        <f t="shared" ref="M16:N21" si="2">G16+I16+K16</f>
        <v>0</v>
      </c>
      <c r="N16" s="151">
        <f t="shared" si="2"/>
        <v>0</v>
      </c>
      <c r="O16" s="51" t="s">
        <v>10</v>
      </c>
    </row>
    <row r="17" spans="1:15" ht="48.75" hidden="1" customHeight="1" x14ac:dyDescent="0.2">
      <c r="A17" s="267">
        <v>2.2000000000000002</v>
      </c>
      <c r="B17" s="266" t="s">
        <v>208</v>
      </c>
      <c r="C17" s="154">
        <v>0</v>
      </c>
      <c r="D17" s="154">
        <v>0</v>
      </c>
      <c r="E17" s="154">
        <v>0</v>
      </c>
      <c r="F17" s="154">
        <v>0</v>
      </c>
      <c r="G17" s="154">
        <v>0</v>
      </c>
      <c r="H17" s="154">
        <v>0</v>
      </c>
      <c r="I17" s="154">
        <v>0</v>
      </c>
      <c r="J17" s="154">
        <v>0</v>
      </c>
      <c r="K17" s="154">
        <v>0</v>
      </c>
      <c r="L17" s="154">
        <v>0</v>
      </c>
      <c r="M17" s="154">
        <f t="shared" si="2"/>
        <v>0</v>
      </c>
      <c r="N17" s="151">
        <f t="shared" si="2"/>
        <v>0</v>
      </c>
      <c r="O17" s="51" t="s">
        <v>10</v>
      </c>
    </row>
    <row r="18" spans="1:15" ht="42.75" hidden="1" x14ac:dyDescent="0.2">
      <c r="A18" s="267">
        <v>2.2999999999999998</v>
      </c>
      <c r="B18" s="266" t="s">
        <v>207</v>
      </c>
      <c r="C18" s="154">
        <v>0</v>
      </c>
      <c r="D18" s="154">
        <v>0</v>
      </c>
      <c r="E18" s="154">
        <v>0</v>
      </c>
      <c r="F18" s="154">
        <v>0</v>
      </c>
      <c r="G18" s="154">
        <v>0</v>
      </c>
      <c r="H18" s="154">
        <v>0</v>
      </c>
      <c r="I18" s="154">
        <v>0</v>
      </c>
      <c r="J18" s="154">
        <v>0</v>
      </c>
      <c r="K18" s="154">
        <v>0</v>
      </c>
      <c r="L18" s="154">
        <v>0</v>
      </c>
      <c r="M18" s="154">
        <f t="shared" si="2"/>
        <v>0</v>
      </c>
      <c r="N18" s="151">
        <f t="shared" si="2"/>
        <v>0</v>
      </c>
      <c r="O18" s="51" t="s">
        <v>10</v>
      </c>
    </row>
    <row r="19" spans="1:15" ht="28.5" hidden="1" x14ac:dyDescent="0.2">
      <c r="A19" s="267">
        <v>2.4</v>
      </c>
      <c r="B19" s="266" t="s">
        <v>206</v>
      </c>
      <c r="C19" s="154">
        <v>0</v>
      </c>
      <c r="D19" s="154">
        <v>0</v>
      </c>
      <c r="E19" s="154">
        <v>0</v>
      </c>
      <c r="F19" s="154">
        <v>0</v>
      </c>
      <c r="G19" s="154">
        <v>0</v>
      </c>
      <c r="H19" s="154">
        <v>0</v>
      </c>
      <c r="I19" s="154">
        <v>0</v>
      </c>
      <c r="J19" s="154">
        <v>0</v>
      </c>
      <c r="K19" s="154">
        <v>0</v>
      </c>
      <c r="L19" s="154">
        <v>0</v>
      </c>
      <c r="M19" s="154">
        <f t="shared" si="2"/>
        <v>0</v>
      </c>
      <c r="N19" s="151">
        <f t="shared" si="2"/>
        <v>0</v>
      </c>
      <c r="O19" s="51" t="s">
        <v>10</v>
      </c>
    </row>
    <row r="20" spans="1:15" ht="28.5" hidden="1" x14ac:dyDescent="0.2">
      <c r="A20" s="267">
        <v>2.5</v>
      </c>
      <c r="B20" s="266" t="s">
        <v>205</v>
      </c>
      <c r="C20" s="154">
        <v>0</v>
      </c>
      <c r="D20" s="154">
        <v>0</v>
      </c>
      <c r="E20" s="154">
        <v>0</v>
      </c>
      <c r="F20" s="154">
        <v>0</v>
      </c>
      <c r="G20" s="154">
        <v>0</v>
      </c>
      <c r="H20" s="154">
        <v>0</v>
      </c>
      <c r="I20" s="154">
        <v>0</v>
      </c>
      <c r="J20" s="154">
        <v>0</v>
      </c>
      <c r="K20" s="154">
        <v>0</v>
      </c>
      <c r="L20" s="154">
        <v>0</v>
      </c>
      <c r="M20" s="154">
        <f t="shared" si="2"/>
        <v>0</v>
      </c>
      <c r="N20" s="151">
        <f t="shared" si="2"/>
        <v>0</v>
      </c>
      <c r="O20" s="51" t="s">
        <v>10</v>
      </c>
    </row>
    <row r="21" spans="1:15" ht="28.5" hidden="1" x14ac:dyDescent="0.2">
      <c r="A21" s="267">
        <v>2.6</v>
      </c>
      <c r="B21" s="266" t="s">
        <v>204</v>
      </c>
      <c r="C21" s="154">
        <v>0</v>
      </c>
      <c r="D21" s="154">
        <v>0</v>
      </c>
      <c r="E21" s="154">
        <v>0</v>
      </c>
      <c r="F21" s="154">
        <v>0</v>
      </c>
      <c r="G21" s="154">
        <v>0</v>
      </c>
      <c r="H21" s="154">
        <v>0</v>
      </c>
      <c r="I21" s="154">
        <v>0</v>
      </c>
      <c r="J21" s="154">
        <v>0</v>
      </c>
      <c r="K21" s="154">
        <v>0</v>
      </c>
      <c r="L21" s="154">
        <v>0</v>
      </c>
      <c r="M21" s="154">
        <f t="shared" si="2"/>
        <v>0</v>
      </c>
      <c r="N21" s="151">
        <f t="shared" si="2"/>
        <v>0</v>
      </c>
      <c r="O21" s="51" t="s">
        <v>10</v>
      </c>
    </row>
    <row r="22" spans="1:15" ht="15" hidden="1" x14ac:dyDescent="0.25">
      <c r="A22" s="262"/>
      <c r="B22" s="273" t="s">
        <v>203</v>
      </c>
      <c r="C22" s="25">
        <f t="shared" ref="C22:N22" si="3">SUM(C16:C21)</f>
        <v>0</v>
      </c>
      <c r="D22" s="25">
        <f t="shared" si="3"/>
        <v>0</v>
      </c>
      <c r="E22" s="25">
        <f t="shared" si="3"/>
        <v>0</v>
      </c>
      <c r="F22" s="25">
        <f t="shared" si="3"/>
        <v>0</v>
      </c>
      <c r="G22" s="25">
        <f t="shared" si="3"/>
        <v>0</v>
      </c>
      <c r="H22" s="25">
        <f t="shared" si="3"/>
        <v>0</v>
      </c>
      <c r="I22" s="25">
        <f t="shared" si="3"/>
        <v>0</v>
      </c>
      <c r="J22" s="25">
        <f t="shared" si="3"/>
        <v>0</v>
      </c>
      <c r="K22" s="25">
        <f t="shared" si="3"/>
        <v>0</v>
      </c>
      <c r="L22" s="25">
        <f t="shared" si="3"/>
        <v>0</v>
      </c>
      <c r="M22" s="25">
        <f t="shared" si="3"/>
        <v>0</v>
      </c>
      <c r="N22" s="26">
        <f t="shared" si="3"/>
        <v>0</v>
      </c>
      <c r="O22" s="51" t="s">
        <v>10</v>
      </c>
    </row>
    <row r="23" spans="1:15" ht="45" x14ac:dyDescent="0.2">
      <c r="A23" s="272" t="s">
        <v>202</v>
      </c>
      <c r="B23" s="271" t="s">
        <v>201</v>
      </c>
      <c r="C23" s="270"/>
      <c r="D23" s="270"/>
      <c r="E23" s="270"/>
      <c r="F23" s="270"/>
      <c r="G23" s="270"/>
      <c r="H23" s="270"/>
      <c r="I23" s="270"/>
      <c r="J23" s="270"/>
      <c r="K23" s="270"/>
      <c r="L23" s="270"/>
      <c r="M23" s="270"/>
      <c r="N23" s="269"/>
      <c r="O23" s="51" t="s">
        <v>10</v>
      </c>
    </row>
    <row r="24" spans="1:15" ht="57" x14ac:dyDescent="0.2">
      <c r="A24" s="267">
        <v>3.1</v>
      </c>
      <c r="B24" s="266" t="s">
        <v>200</v>
      </c>
      <c r="C24" s="154">
        <v>0</v>
      </c>
      <c r="D24" s="154">
        <v>77911</v>
      </c>
      <c r="E24" s="154">
        <v>0</v>
      </c>
      <c r="F24" s="154">
        <v>97228</v>
      </c>
      <c r="G24" s="154">
        <v>0</v>
      </c>
      <c r="H24" s="154">
        <v>97300</v>
      </c>
      <c r="I24" s="154">
        <v>0</v>
      </c>
      <c r="J24" s="154">
        <v>0</v>
      </c>
      <c r="K24" s="154">
        <v>0</v>
      </c>
      <c r="L24" s="154">
        <v>0</v>
      </c>
      <c r="M24" s="154">
        <f t="shared" ref="M24:N27" si="4">G24+I24+K24</f>
        <v>0</v>
      </c>
      <c r="N24" s="151">
        <f t="shared" si="4"/>
        <v>97300</v>
      </c>
      <c r="O24" s="51" t="s">
        <v>10</v>
      </c>
    </row>
    <row r="25" spans="1:15" ht="42.75" hidden="1" x14ac:dyDescent="0.2">
      <c r="A25" s="267">
        <v>3.2</v>
      </c>
      <c r="B25" s="266" t="s">
        <v>199</v>
      </c>
      <c r="C25" s="154">
        <v>0</v>
      </c>
      <c r="D25" s="154">
        <v>0</v>
      </c>
      <c r="E25" s="154">
        <v>0</v>
      </c>
      <c r="F25" s="154">
        <v>0</v>
      </c>
      <c r="G25" s="154">
        <v>0</v>
      </c>
      <c r="H25" s="154">
        <v>0</v>
      </c>
      <c r="I25" s="154">
        <v>0</v>
      </c>
      <c r="J25" s="154">
        <v>0</v>
      </c>
      <c r="K25" s="154">
        <v>0</v>
      </c>
      <c r="L25" s="154">
        <v>0</v>
      </c>
      <c r="M25" s="154">
        <f t="shared" si="4"/>
        <v>0</v>
      </c>
      <c r="N25" s="151">
        <f t="shared" si="4"/>
        <v>0</v>
      </c>
      <c r="O25" s="51" t="s">
        <v>10</v>
      </c>
    </row>
    <row r="26" spans="1:15" ht="42.75" hidden="1" x14ac:dyDescent="0.2">
      <c r="A26" s="267">
        <v>3.3</v>
      </c>
      <c r="B26" s="266" t="s">
        <v>198</v>
      </c>
      <c r="C26" s="154">
        <v>0</v>
      </c>
      <c r="D26" s="154">
        <v>0</v>
      </c>
      <c r="E26" s="154">
        <v>0</v>
      </c>
      <c r="F26" s="154">
        <v>0</v>
      </c>
      <c r="G26" s="154">
        <v>0</v>
      </c>
      <c r="H26" s="154">
        <v>0</v>
      </c>
      <c r="I26" s="154">
        <v>0</v>
      </c>
      <c r="J26" s="154">
        <v>0</v>
      </c>
      <c r="K26" s="154">
        <v>0</v>
      </c>
      <c r="L26" s="154">
        <v>0</v>
      </c>
      <c r="M26" s="154">
        <f t="shared" si="4"/>
        <v>0</v>
      </c>
      <c r="N26" s="151">
        <f t="shared" si="4"/>
        <v>0</v>
      </c>
      <c r="O26" s="51" t="s">
        <v>10</v>
      </c>
    </row>
    <row r="27" spans="1:15" ht="57" hidden="1" x14ac:dyDescent="0.2">
      <c r="A27" s="267">
        <v>3.4</v>
      </c>
      <c r="B27" s="266" t="s">
        <v>197</v>
      </c>
      <c r="C27" s="154">
        <v>0</v>
      </c>
      <c r="D27" s="154">
        <v>0</v>
      </c>
      <c r="E27" s="154">
        <v>0</v>
      </c>
      <c r="F27" s="154">
        <v>0</v>
      </c>
      <c r="G27" s="154">
        <v>0</v>
      </c>
      <c r="H27" s="154">
        <v>0</v>
      </c>
      <c r="I27" s="154">
        <v>0</v>
      </c>
      <c r="J27" s="154">
        <v>0</v>
      </c>
      <c r="K27" s="154">
        <v>0</v>
      </c>
      <c r="L27" s="154">
        <v>0</v>
      </c>
      <c r="M27" s="154">
        <f t="shared" si="4"/>
        <v>0</v>
      </c>
      <c r="N27" s="151">
        <f t="shared" si="4"/>
        <v>0</v>
      </c>
      <c r="O27" s="51" t="s">
        <v>10</v>
      </c>
    </row>
    <row r="28" spans="1:15" ht="28.5" hidden="1" x14ac:dyDescent="0.2">
      <c r="A28" s="264">
        <v>3.5</v>
      </c>
      <c r="B28" s="263" t="s">
        <v>196</v>
      </c>
      <c r="C28" s="204"/>
      <c r="D28" s="204"/>
      <c r="E28" s="204"/>
      <c r="F28" s="204"/>
      <c r="G28" s="204"/>
      <c r="H28" s="204"/>
      <c r="I28" s="204"/>
      <c r="J28" s="204"/>
      <c r="K28" s="204"/>
      <c r="L28" s="204"/>
      <c r="M28" s="204"/>
      <c r="N28" s="203"/>
      <c r="O28" s="51" t="s">
        <v>10</v>
      </c>
    </row>
    <row r="29" spans="1:15" ht="57" hidden="1" x14ac:dyDescent="0.2">
      <c r="A29" s="264">
        <v>3.6</v>
      </c>
      <c r="B29" s="263" t="s">
        <v>195</v>
      </c>
      <c r="C29" s="204"/>
      <c r="D29" s="204"/>
      <c r="E29" s="204"/>
      <c r="F29" s="204"/>
      <c r="G29" s="204"/>
      <c r="H29" s="204"/>
      <c r="I29" s="204"/>
      <c r="J29" s="204"/>
      <c r="K29" s="204"/>
      <c r="L29" s="204"/>
      <c r="M29" s="204"/>
      <c r="N29" s="203"/>
      <c r="O29" s="51" t="s">
        <v>10</v>
      </c>
    </row>
    <row r="30" spans="1:15" ht="28.5" hidden="1" x14ac:dyDescent="0.2">
      <c r="A30" s="264">
        <v>3.7</v>
      </c>
      <c r="B30" s="265" t="s">
        <v>194</v>
      </c>
      <c r="C30" s="204"/>
      <c r="D30" s="204"/>
      <c r="E30" s="204"/>
      <c r="F30" s="204"/>
      <c r="G30" s="204"/>
      <c r="H30" s="204"/>
      <c r="I30" s="204"/>
      <c r="J30" s="204"/>
      <c r="K30" s="204"/>
      <c r="L30" s="204"/>
      <c r="M30" s="204"/>
      <c r="N30" s="203"/>
      <c r="O30" s="51" t="s">
        <v>10</v>
      </c>
    </row>
    <row r="31" spans="1:15" ht="71.25" hidden="1" x14ac:dyDescent="0.2">
      <c r="A31" s="264">
        <v>3.8</v>
      </c>
      <c r="B31" s="263" t="s">
        <v>193</v>
      </c>
      <c r="C31" s="204"/>
      <c r="D31" s="204"/>
      <c r="E31" s="204"/>
      <c r="F31" s="204"/>
      <c r="G31" s="204"/>
      <c r="H31" s="204"/>
      <c r="I31" s="204"/>
      <c r="J31" s="204"/>
      <c r="K31" s="204"/>
      <c r="L31" s="204"/>
      <c r="M31" s="204"/>
      <c r="N31" s="203"/>
      <c r="O31" s="51" t="s">
        <v>10</v>
      </c>
    </row>
    <row r="32" spans="1:15" ht="15" x14ac:dyDescent="0.25">
      <c r="A32" s="262"/>
      <c r="B32" s="261" t="s">
        <v>192</v>
      </c>
      <c r="C32" s="25">
        <f t="shared" ref="C32:N32" si="5">SUM(C24:C31)</f>
        <v>0</v>
      </c>
      <c r="D32" s="25">
        <f t="shared" si="5"/>
        <v>77911</v>
      </c>
      <c r="E32" s="25">
        <f t="shared" si="5"/>
        <v>0</v>
      </c>
      <c r="F32" s="25">
        <f t="shared" si="5"/>
        <v>97228</v>
      </c>
      <c r="G32" s="25">
        <f t="shared" si="5"/>
        <v>0</v>
      </c>
      <c r="H32" s="25">
        <f t="shared" si="5"/>
        <v>97300</v>
      </c>
      <c r="I32" s="25">
        <f t="shared" si="5"/>
        <v>0</v>
      </c>
      <c r="J32" s="25">
        <f t="shared" si="5"/>
        <v>0</v>
      </c>
      <c r="K32" s="25">
        <f t="shared" si="5"/>
        <v>0</v>
      </c>
      <c r="L32" s="25">
        <f t="shared" si="5"/>
        <v>0</v>
      </c>
      <c r="M32" s="25">
        <f t="shared" si="5"/>
        <v>0</v>
      </c>
      <c r="N32" s="26">
        <f t="shared" si="5"/>
        <v>97300</v>
      </c>
      <c r="O32" s="51" t="s">
        <v>10</v>
      </c>
    </row>
    <row r="33" spans="1:17" ht="15.75" thickBot="1" x14ac:dyDescent="0.3">
      <c r="A33" s="259"/>
      <c r="B33" s="258" t="s">
        <v>191</v>
      </c>
      <c r="C33" s="27">
        <f t="shared" ref="C33:N33" si="6">C32+C22+C14</f>
        <v>0</v>
      </c>
      <c r="D33" s="27">
        <f t="shared" si="6"/>
        <v>77911</v>
      </c>
      <c r="E33" s="27">
        <f t="shared" si="6"/>
        <v>0</v>
      </c>
      <c r="F33" s="27">
        <f t="shared" si="6"/>
        <v>97228</v>
      </c>
      <c r="G33" s="27">
        <f t="shared" si="6"/>
        <v>0</v>
      </c>
      <c r="H33" s="27">
        <f t="shared" si="6"/>
        <v>97300</v>
      </c>
      <c r="I33" s="27">
        <f t="shared" si="6"/>
        <v>0</v>
      </c>
      <c r="J33" s="27">
        <f t="shared" si="6"/>
        <v>0</v>
      </c>
      <c r="K33" s="27">
        <f t="shared" si="6"/>
        <v>0</v>
      </c>
      <c r="L33" s="27">
        <f t="shared" si="6"/>
        <v>0</v>
      </c>
      <c r="M33" s="27">
        <f t="shared" si="6"/>
        <v>0</v>
      </c>
      <c r="N33" s="251">
        <f t="shared" si="6"/>
        <v>97300</v>
      </c>
      <c r="O33" s="51" t="s">
        <v>10</v>
      </c>
      <c r="Q33" s="5"/>
    </row>
    <row r="34" spans="1:17" x14ac:dyDescent="0.2">
      <c r="O34" s="51" t="s">
        <v>10</v>
      </c>
    </row>
    <row r="35" spans="1:17" ht="15" x14ac:dyDescent="0.2">
      <c r="A35" s="629" t="s">
        <v>190</v>
      </c>
      <c r="B35" s="629"/>
      <c r="C35" s="629"/>
      <c r="D35" s="629"/>
      <c r="E35" s="629"/>
      <c r="F35" s="629"/>
      <c r="G35" s="629"/>
      <c r="H35" s="629"/>
      <c r="I35" s="629"/>
      <c r="J35" s="629"/>
      <c r="K35" s="629"/>
      <c r="L35" s="629"/>
      <c r="M35" s="629"/>
      <c r="N35" s="629"/>
      <c r="O35" s="51" t="s">
        <v>11</v>
      </c>
    </row>
    <row r="37" spans="1:17" x14ac:dyDescent="0.2">
      <c r="A37" s="257"/>
    </row>
  </sheetData>
  <customSheetViews>
    <customSheetView guid="{EE916FE7-61FB-4021-ADDD-E082241FC03C}" scale="80" showPageBreaks="1" printArea="1" view="pageBreakPreview">
      <selection activeCell="J23" sqref="J23"/>
      <pageMargins left="0.7" right="0.7" top="0.75" bottom="0.75" header="0.3" footer="0.3"/>
      <printOptions horizontalCentered="1"/>
      <pageSetup scale="38" orientation="landscape" r:id="rId1"/>
      <headerFooter>
        <oddHeader>&amp;L&amp;"Arial,Bold"&amp;12D. Resources by DOJ Strategic Goal and Strategic Objective</oddHeader>
        <oddFooter>&amp;C&amp;"Arial,Regular"Exhibit D - Resources by DOJ Strategic Goal and Strategic Objective&amp;R&amp;"Arial,Regular"Public Safety Officers Benefits</oddFooter>
      </headerFooter>
    </customSheetView>
    <customSheetView guid="{0BB5DC4B-BC2A-4489-BE17-5E267FA1EF63}" scale="80" showPageBreaks="1" printArea="1" view="pageBreakPreview">
      <selection activeCell="J23" sqref="J23"/>
      <pageMargins left="0.7" right="0.7" top="0.75" bottom="0.75" header="0.3" footer="0.3"/>
      <printOptions horizontalCentered="1"/>
      <pageSetup scale="38" orientation="landscape" r:id="rId2"/>
      <headerFooter>
        <oddHeader>&amp;L&amp;"Arial,Bold"&amp;12D. Resources by DOJ Strategic Goal and Strategic Objective</oddHeader>
        <oddFooter>&amp;C&amp;"Arial,Regular"Exhibit D - Resources by DOJ Strategic Goal and Strategic Objective&amp;R&amp;"Arial,Regular"Public Safety Officers Benefits</oddFooter>
      </headerFooter>
    </customSheetView>
    <customSheetView guid="{6C58FFE1-D756-42C4-A1BC-AA7F1DC1E56F}" scale="80" showPageBreaks="1" printArea="1" view="pageBreakPreview">
      <selection activeCell="J23" sqref="J23"/>
      <pageMargins left="0.7" right="0.7" top="0.75" bottom="0.75" header="0.3" footer="0.3"/>
      <printOptions horizontalCentered="1"/>
      <pageSetup scale="38" orientation="landscape" r:id="rId3"/>
      <headerFooter>
        <oddHeader>&amp;L&amp;"Arial,Bold"&amp;12D. Resources by DOJ Strategic Goal and Strategic Objective</oddHeader>
        <oddFooter>&amp;C&amp;"Arial,Regular"Exhibit D - Resources by DOJ Strategic Goal and Strategic Objective&amp;R&amp;"Arial,Regular"Public Safety Officers Benefits</oddFooter>
      </headerFooter>
    </customSheetView>
    <customSheetView guid="{CFA5D1C9-F4C9-4B8D-923D-4C71CB6E7D3B}" scale="80" showPageBreaks="1" printArea="1" view="pageBreakPreview">
      <selection activeCell="J23" sqref="J23"/>
      <pageMargins left="0.7" right="0.7" top="0.75" bottom="0.75" header="0.3" footer="0.3"/>
      <printOptions horizontalCentered="1"/>
      <pageSetup scale="38" orientation="landscape" r:id="rId4"/>
      <headerFooter>
        <oddHeader>&amp;L&amp;"Arial,Bold"&amp;12D. Resources by DOJ Strategic Goal and Strategic Objective</oddHeader>
        <oddFooter>&amp;C&amp;"Arial,Regular"Exhibit D - Resources by DOJ Strategic Goal and Strategic Objective&amp;R&amp;"Arial,Regular"Public Safety Officers Benefits</oddFooter>
      </headerFooter>
    </customSheetView>
    <customSheetView guid="{A788DF77-74F1-49E4-8B34-BFBDB7664F30}" scale="80" showPageBreaks="1" printArea="1" view="pageBreakPreview" topLeftCell="A19">
      <selection activeCell="M32" sqref="M32"/>
      <pageMargins left="0.7" right="0.7" top="0.75" bottom="0.75" header="0.3" footer="0.3"/>
      <printOptions horizontalCentered="1"/>
      <pageSetup scale="38" orientation="landscape" r:id="rId5"/>
      <headerFooter>
        <oddHeader>&amp;L&amp;"Arial,Bold"&amp;12D. Resources by DOJ Strategic Goal and Strategic Objective</oddHeader>
        <oddFooter>&amp;C&amp;"Arial,Regular"Exhibit D - Resources by DOJ Strategic Goal and Strategic Objective&amp;R&amp;"Arial,Regular"Public Safety Officers Benefits</oddFooter>
      </headerFooter>
    </customSheetView>
  </customSheetViews>
  <mergeCells count="14">
    <mergeCell ref="A35:N35"/>
    <mergeCell ref="M7:N7"/>
    <mergeCell ref="A7:B8"/>
    <mergeCell ref="A6:N6"/>
    <mergeCell ref="C7:D7"/>
    <mergeCell ref="E7:F7"/>
    <mergeCell ref="G7:H7"/>
    <mergeCell ref="I7:J7"/>
    <mergeCell ref="K7:L7"/>
    <mergeCell ref="A1:N1"/>
    <mergeCell ref="A2:N2"/>
    <mergeCell ref="A3:N3"/>
    <mergeCell ref="A4:N4"/>
    <mergeCell ref="A5:N5"/>
  </mergeCells>
  <printOptions horizontalCentered="1"/>
  <pageMargins left="0.7" right="0.7" top="0.75" bottom="0.75" header="0.3" footer="0.3"/>
  <pageSetup scale="60" orientation="landscape" r:id="rId6"/>
  <headerFooter>
    <oddHeader>&amp;L&amp;"Arial,Bold"&amp;12D. Resources by DOJ Strategic Goal and Strategic Objective</oddHeader>
    <oddFooter>&amp;C&amp;"Arial,Regular"Exhibit D - Resources by DOJ Strategic Goal and Strategic Objective&amp;R&amp;"Arial,Regular"Public Safety Officers Benefits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view="pageBreakPreview" zoomScaleNormal="100" zoomScaleSheetLayoutView="100" workbookViewId="0">
      <pane xSplit="4" ySplit="6" topLeftCell="E7" activePane="bottomRight" state="frozen"/>
      <selection pane="topRight" activeCell="E1" sqref="E1"/>
      <selection pane="bottomLeft" activeCell="A7" sqref="A7"/>
      <selection pane="bottomRight" activeCell="E22" sqref="E22"/>
    </sheetView>
  </sheetViews>
  <sheetFormatPr defaultRowHeight="14.25" x14ac:dyDescent="0.2"/>
  <cols>
    <col min="1" max="1" width="3.7109375" style="143" customWidth="1"/>
    <col min="2" max="2" width="71.140625" style="143" customWidth="1"/>
    <col min="3" max="4" width="14.7109375" style="143" customWidth="1"/>
    <col min="5" max="6" width="8.7109375" style="143" customWidth="1"/>
    <col min="7" max="7" width="12.7109375" style="143" customWidth="1"/>
    <col min="8" max="8" width="14" style="33" bestFit="1" customWidth="1"/>
    <col min="9" max="9" width="4.5703125" style="143" customWidth="1"/>
    <col min="10" max="11" width="8.28515625" style="143" customWidth="1"/>
    <col min="12" max="12" width="12.7109375" style="143" customWidth="1"/>
    <col min="13" max="14" width="8.28515625" style="143" customWidth="1"/>
    <col min="15" max="15" width="12.7109375" style="143" customWidth="1"/>
    <col min="16" max="16384" width="9.140625" style="143"/>
  </cols>
  <sheetData>
    <row r="1" spans="1:15" ht="18" x14ac:dyDescent="0.25">
      <c r="A1" s="607" t="s">
        <v>102</v>
      </c>
      <c r="B1" s="607"/>
      <c r="C1" s="607"/>
      <c r="D1" s="607"/>
      <c r="E1" s="607"/>
      <c r="F1" s="607"/>
      <c r="G1" s="607"/>
      <c r="H1" s="29" t="s">
        <v>10</v>
      </c>
      <c r="I1" s="6"/>
      <c r="J1" s="6"/>
      <c r="K1" s="6"/>
      <c r="L1" s="6"/>
      <c r="M1" s="6"/>
      <c r="N1" s="6"/>
      <c r="O1" s="6"/>
    </row>
    <row r="2" spans="1:15" ht="15" x14ac:dyDescent="0.2">
      <c r="A2" s="608" t="s">
        <v>152</v>
      </c>
      <c r="B2" s="608"/>
      <c r="C2" s="608"/>
      <c r="D2" s="608"/>
      <c r="E2" s="608"/>
      <c r="F2" s="608"/>
      <c r="G2" s="608"/>
      <c r="H2" s="29" t="s">
        <v>10</v>
      </c>
      <c r="I2" s="7"/>
      <c r="J2" s="7"/>
      <c r="K2" s="7"/>
      <c r="L2" s="7"/>
      <c r="M2" s="7"/>
      <c r="N2" s="7"/>
      <c r="O2" s="7"/>
    </row>
    <row r="3" spans="1:15" x14ac:dyDescent="0.2">
      <c r="A3" s="609" t="s">
        <v>153</v>
      </c>
      <c r="B3" s="609"/>
      <c r="C3" s="609"/>
      <c r="D3" s="609"/>
      <c r="E3" s="609"/>
      <c r="F3" s="609"/>
      <c r="G3" s="609"/>
      <c r="H3" s="29" t="s">
        <v>10</v>
      </c>
      <c r="I3" s="163"/>
      <c r="J3" s="163"/>
      <c r="K3" s="163"/>
      <c r="L3" s="163"/>
      <c r="M3" s="163"/>
      <c r="N3" s="163"/>
      <c r="O3" s="163"/>
    </row>
    <row r="4" spans="1:15" x14ac:dyDescent="0.2">
      <c r="A4" s="610" t="s">
        <v>1</v>
      </c>
      <c r="B4" s="610"/>
      <c r="C4" s="610"/>
      <c r="D4" s="610"/>
      <c r="E4" s="610"/>
      <c r="F4" s="610"/>
      <c r="G4" s="610"/>
      <c r="H4" s="29" t="s">
        <v>10</v>
      </c>
      <c r="I4" s="162"/>
      <c r="J4" s="162"/>
      <c r="K4" s="162"/>
      <c r="L4" s="162"/>
      <c r="M4" s="162"/>
      <c r="N4" s="162"/>
      <c r="O4" s="162"/>
    </row>
    <row r="5" spans="1:15" ht="15" thickBot="1" x14ac:dyDescent="0.25">
      <c r="A5" s="612"/>
      <c r="B5" s="612"/>
      <c r="C5" s="612"/>
      <c r="D5" s="612"/>
      <c r="E5" s="613"/>
      <c r="F5" s="613"/>
      <c r="G5" s="613"/>
      <c r="H5" s="29" t="s">
        <v>10</v>
      </c>
      <c r="I5" s="162"/>
      <c r="J5" s="162"/>
      <c r="K5" s="162"/>
      <c r="L5" s="162"/>
      <c r="M5" s="162"/>
      <c r="N5" s="162"/>
      <c r="O5" s="162"/>
    </row>
    <row r="6" spans="1:15" s="30" customFormat="1" ht="29.25" customHeight="1" thickBot="1" x14ac:dyDescent="0.25">
      <c r="A6" s="28"/>
      <c r="B6" s="28"/>
      <c r="C6" s="28"/>
      <c r="D6" s="28"/>
      <c r="E6" s="44" t="s">
        <v>2</v>
      </c>
      <c r="F6" s="35" t="s">
        <v>94</v>
      </c>
      <c r="G6" s="34" t="s">
        <v>3</v>
      </c>
      <c r="H6" s="29" t="s">
        <v>10</v>
      </c>
    </row>
    <row r="7" spans="1:15" s="30" customFormat="1" ht="12" x14ac:dyDescent="0.2">
      <c r="A7" s="38"/>
      <c r="B7" s="611" t="s">
        <v>5</v>
      </c>
      <c r="C7" s="611"/>
      <c r="D7" s="611"/>
      <c r="E7" s="37"/>
      <c r="F7" s="37"/>
      <c r="G7" s="47"/>
      <c r="H7" s="29" t="s">
        <v>10</v>
      </c>
    </row>
    <row r="8" spans="1:15" s="30" customFormat="1" ht="12" x14ac:dyDescent="0.2">
      <c r="A8" s="144">
        <v>1</v>
      </c>
      <c r="B8" s="598" t="s">
        <v>163</v>
      </c>
      <c r="C8" s="598"/>
      <c r="D8" s="599"/>
      <c r="E8" s="145"/>
      <c r="F8" s="145"/>
      <c r="G8" s="146"/>
      <c r="H8" s="29" t="s">
        <v>10</v>
      </c>
    </row>
    <row r="9" spans="1:15" s="30" customFormat="1" ht="50.25" customHeight="1" x14ac:dyDescent="0.2">
      <c r="A9" s="144"/>
      <c r="B9" s="600"/>
      <c r="C9" s="600"/>
      <c r="D9" s="601"/>
      <c r="E9" s="145"/>
      <c r="F9" s="145"/>
      <c r="G9" s="146">
        <v>208</v>
      </c>
      <c r="H9" s="29" t="s">
        <v>10</v>
      </c>
    </row>
    <row r="10" spans="1:15" s="30" customFormat="1" ht="52.5" customHeight="1" x14ac:dyDescent="0.2">
      <c r="A10" s="144">
        <v>2</v>
      </c>
      <c r="B10" s="602" t="s">
        <v>155</v>
      </c>
      <c r="C10" s="602"/>
      <c r="D10" s="603"/>
      <c r="E10" s="145"/>
      <c r="F10" s="145"/>
      <c r="G10" s="146">
        <v>798</v>
      </c>
      <c r="H10" s="29" t="s">
        <v>10</v>
      </c>
    </row>
    <row r="11" spans="1:15" s="30" customFormat="1" ht="38.25" customHeight="1" x14ac:dyDescent="0.2">
      <c r="A11" s="31">
        <v>3</v>
      </c>
      <c r="B11" s="595" t="s">
        <v>157</v>
      </c>
      <c r="C11" s="596"/>
      <c r="D11" s="597"/>
      <c r="E11" s="39"/>
      <c r="F11" s="39"/>
      <c r="G11" s="45">
        <v>85</v>
      </c>
      <c r="H11" s="29" t="s">
        <v>10</v>
      </c>
    </row>
    <row r="12" spans="1:15" s="30" customFormat="1" ht="63" customHeight="1" x14ac:dyDescent="0.2">
      <c r="A12" s="31">
        <v>4</v>
      </c>
      <c r="B12" s="595" t="s">
        <v>156</v>
      </c>
      <c r="C12" s="596"/>
      <c r="D12" s="597"/>
      <c r="E12" s="39" t="s">
        <v>24</v>
      </c>
      <c r="F12" s="39"/>
      <c r="G12" s="45">
        <v>109</v>
      </c>
      <c r="H12" s="29" t="s">
        <v>10</v>
      </c>
    </row>
    <row r="13" spans="1:15" s="30" customFormat="1" ht="12" x14ac:dyDescent="0.2">
      <c r="A13" s="32"/>
      <c r="B13" s="604" t="s">
        <v>25</v>
      </c>
      <c r="C13" s="604"/>
      <c r="D13" s="604"/>
      <c r="E13" s="36">
        <f>SUM(E8:E12)</f>
        <v>0</v>
      </c>
      <c r="F13" s="36">
        <f>SUM(F8:F12)</f>
        <v>0</v>
      </c>
      <c r="G13" s="46">
        <f>SUM(G8:G12)</f>
        <v>1200</v>
      </c>
      <c r="H13" s="29" t="s">
        <v>10</v>
      </c>
    </row>
    <row r="14" spans="1:15" s="30" customFormat="1" ht="12" x14ac:dyDescent="0.2">
      <c r="A14" s="41"/>
      <c r="B14" s="605" t="s">
        <v>6</v>
      </c>
      <c r="C14" s="605"/>
      <c r="D14" s="606"/>
      <c r="E14" s="40"/>
      <c r="F14" s="40"/>
      <c r="G14" s="48"/>
      <c r="H14" s="29" t="s">
        <v>10</v>
      </c>
    </row>
    <row r="15" spans="1:15" s="30" customFormat="1" ht="76.5" customHeight="1" x14ac:dyDescent="0.2">
      <c r="A15" s="31">
        <v>1</v>
      </c>
      <c r="B15" s="595" t="s">
        <v>158</v>
      </c>
      <c r="C15" s="596"/>
      <c r="D15" s="597"/>
      <c r="E15" s="39"/>
      <c r="F15" s="39"/>
      <c r="G15" s="45">
        <v>2100</v>
      </c>
      <c r="H15" s="29" t="s">
        <v>10</v>
      </c>
    </row>
    <row r="16" spans="1:15" s="30" customFormat="1" ht="12" x14ac:dyDescent="0.2">
      <c r="A16" s="32"/>
      <c r="B16" s="604" t="s">
        <v>26</v>
      </c>
      <c r="C16" s="604"/>
      <c r="D16" s="604"/>
      <c r="E16" s="36">
        <f>SUM(E15:E15)</f>
        <v>0</v>
      </c>
      <c r="F16" s="36">
        <f>SUM(F15:F15)</f>
        <v>0</v>
      </c>
      <c r="G16" s="46">
        <f>SUM(G15:G15)</f>
        <v>2100</v>
      </c>
      <c r="H16" s="29" t="s">
        <v>10</v>
      </c>
    </row>
    <row r="17" spans="1:8" ht="15" thickBot="1" x14ac:dyDescent="0.25">
      <c r="A17" s="42"/>
      <c r="B17" s="593" t="s">
        <v>103</v>
      </c>
      <c r="C17" s="593"/>
      <c r="D17" s="594"/>
      <c r="E17" s="43">
        <f>E16+E13</f>
        <v>0</v>
      </c>
      <c r="F17" s="43">
        <f>F16+F13</f>
        <v>0</v>
      </c>
      <c r="G17" s="49">
        <f>G16+G13</f>
        <v>3300</v>
      </c>
      <c r="H17" s="29" t="s">
        <v>10</v>
      </c>
    </row>
    <row r="18" spans="1:8" x14ac:dyDescent="0.2">
      <c r="H18" s="29" t="s">
        <v>11</v>
      </c>
    </row>
  </sheetData>
  <customSheetViews>
    <customSheetView guid="{EE916FE7-61FB-4021-ADDD-E082241FC03C}" showPageBreaks="1" printArea="1" view="pageBreakPreview">
      <pane xSplit="4" ySplit="6" topLeftCell="E7" activePane="bottomRight" state="frozen"/>
      <selection pane="bottomRight" activeCell="B19" sqref="B19:D19"/>
      <pageMargins left="0.7" right="0.7" top="0.65" bottom="0.46" header="0.3" footer="0.21"/>
      <printOptions horizontalCentered="1"/>
      <pageSetup scale="59" fitToHeight="0" orientation="landscape" r:id="rId1"/>
      <headerFooter>
        <oddHeader>&amp;L&amp;"Arial,Bold"&amp;12E. Justification for Technical and Base Adjustments</oddHeader>
        <oddFooter>&amp;C&amp;"Arial,Regular"Exhibit E - Justification for Technical and Base Adjustments&amp;R&amp;"Arial,Regular"Management and Administration</oddFooter>
      </headerFooter>
    </customSheetView>
    <customSheetView guid="{0BB5DC4B-BC2A-4489-BE17-5E267FA1EF63}" showPageBreaks="1" printArea="1" view="pageBreakPreview">
      <pane xSplit="4" ySplit="6" topLeftCell="E7" activePane="bottomRight" state="frozen"/>
      <selection pane="bottomRight" activeCell="B19" sqref="B19:D19"/>
      <pageMargins left="0.7" right="0.7" top="0.65" bottom="0.46" header="0.3" footer="0.21"/>
      <printOptions horizontalCentered="1"/>
      <pageSetup scale="59" fitToHeight="0" orientation="landscape" r:id="rId2"/>
      <headerFooter>
        <oddHeader>&amp;L&amp;"Arial,Bold"&amp;12E. Justification for Technical and Base Adjustments</oddHeader>
        <oddFooter>&amp;C&amp;"Arial,Regular"Exhibit E - Justification for Technical and Base Adjustments&amp;R&amp;"Arial,Regular"Management and Administration</oddFooter>
      </headerFooter>
    </customSheetView>
    <customSheetView guid="{6C58FFE1-D756-42C4-A1BC-AA7F1DC1E56F}" showPageBreaks="1" printArea="1" view="pageBreakPreview">
      <pane xSplit="4" ySplit="6" topLeftCell="E7" activePane="bottomRight" state="frozen"/>
      <selection pane="bottomRight" activeCell="B19" sqref="B19:D19"/>
      <pageMargins left="0.7" right="0.7" top="0.65" bottom="0.46" header="0.3" footer="0.21"/>
      <printOptions horizontalCentered="1"/>
      <pageSetup scale="59" fitToHeight="0" orientation="landscape" r:id="rId3"/>
      <headerFooter>
        <oddHeader>&amp;L&amp;"Arial,Bold"&amp;12E. Justification for Technical and Base Adjustments</oddHeader>
        <oddFooter>&amp;C&amp;"Arial,Regular"Exhibit E - Justification for Technical and Base Adjustments&amp;R&amp;"Arial,Regular"Management and Administration</oddFooter>
      </headerFooter>
    </customSheetView>
    <customSheetView guid="{CFA5D1C9-F4C9-4B8D-923D-4C71CB6E7D3B}" showPageBreaks="1" printArea="1" view="pageBreakPreview">
      <pane xSplit="4" ySplit="6" topLeftCell="E7" activePane="bottomRight" state="frozen"/>
      <selection pane="bottomRight" activeCell="B19" sqref="B19:D19"/>
      <pageMargins left="0.7" right="0.7" top="0.65" bottom="0.46" header="0.3" footer="0.21"/>
      <printOptions horizontalCentered="1"/>
      <pageSetup scale="59" fitToHeight="0" orientation="landscape" r:id="rId4"/>
      <headerFooter>
        <oddHeader>&amp;L&amp;"Arial,Bold"&amp;12E. Justification for Technical and Base Adjustments</oddHeader>
        <oddFooter>&amp;C&amp;"Arial,Regular"Exhibit E - Justification for Technical and Base Adjustments&amp;R&amp;"Arial,Regular"Management and Administration</oddFooter>
      </headerFooter>
    </customSheetView>
    <customSheetView guid="{A788DF77-74F1-49E4-8B34-BFBDB7664F30}" showPageBreaks="1" printArea="1" view="pageBreakPreview">
      <pane xSplit="4" ySplit="6" topLeftCell="E7" activePane="bottomRight" state="frozen"/>
      <selection pane="bottomRight" activeCell="B19" sqref="B19:D19"/>
      <pageMargins left="0.7" right="0.7" top="0.65" bottom="0.46" header="0.3" footer="0.21"/>
      <printOptions horizontalCentered="1"/>
      <pageSetup scale="59" fitToHeight="0" orientation="landscape" r:id="rId5"/>
      <headerFooter>
        <oddHeader>&amp;L&amp;"Arial,Bold"&amp;12E. Justification for Technical and Base Adjustments</oddHeader>
        <oddFooter>&amp;C&amp;"Arial,Regular"Exhibit E - Justification for Technical and Base Adjustments&amp;R&amp;"Arial,Regular"Management and Administration</oddFooter>
      </headerFooter>
    </customSheetView>
  </customSheetViews>
  <mergeCells count="15">
    <mergeCell ref="A1:G1"/>
    <mergeCell ref="A2:G2"/>
    <mergeCell ref="A3:G3"/>
    <mergeCell ref="A4:G4"/>
    <mergeCell ref="B7:D7"/>
    <mergeCell ref="A5:G5"/>
    <mergeCell ref="B17:D17"/>
    <mergeCell ref="B11:D11"/>
    <mergeCell ref="B8:D9"/>
    <mergeCell ref="B12:D12"/>
    <mergeCell ref="B10:D10"/>
    <mergeCell ref="B16:D16"/>
    <mergeCell ref="B13:D13"/>
    <mergeCell ref="B14:D14"/>
    <mergeCell ref="B15:D15"/>
  </mergeCells>
  <printOptions horizontalCentered="1"/>
  <pageMargins left="0.7" right="0.7" top="0.65" bottom="0.46" header="0.3" footer="0.21"/>
  <pageSetup scale="90" fitToHeight="0" orientation="landscape" r:id="rId6"/>
  <headerFooter>
    <oddHeader>&amp;L&amp;"Arial,Bold"&amp;12E. Justification for Technical and Base Adjustments</oddHeader>
    <oddFooter>&amp;C&amp;"Arial,Regular"Exhibit E - Justification for Technical and Base Adjustments&amp;R&amp;"Arial,Regular"Management and Administration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view="pageBreakPreview" zoomScaleNormal="100" zoomScaleSheetLayoutView="100" workbookViewId="0">
      <pane xSplit="4" ySplit="6" topLeftCell="E7" activePane="bottomRight" state="frozen"/>
      <selection pane="topRight" activeCell="E1" sqref="E1"/>
      <selection pane="bottomLeft" activeCell="A7" sqref="A7"/>
      <selection pane="bottomRight" activeCell="D30" sqref="D30"/>
    </sheetView>
  </sheetViews>
  <sheetFormatPr defaultRowHeight="14.25" x14ac:dyDescent="0.2"/>
  <cols>
    <col min="1" max="1" width="3.7109375" style="143" customWidth="1"/>
    <col min="2" max="2" width="71.140625" style="143" customWidth="1"/>
    <col min="3" max="3" width="14.7109375" style="143" customWidth="1"/>
    <col min="4" max="4" width="16.5703125" style="143" customWidth="1"/>
    <col min="5" max="5" width="10.42578125" style="143" customWidth="1"/>
    <col min="6" max="6" width="9.85546875" style="143" customWidth="1"/>
    <col min="7" max="7" width="9.28515625" style="143" customWidth="1"/>
    <col min="8" max="8" width="14" style="33" bestFit="1" customWidth="1"/>
    <col min="9" max="9" width="4.5703125" style="143" customWidth="1"/>
    <col min="10" max="11" width="8.28515625" style="143" customWidth="1"/>
    <col min="12" max="12" width="12.7109375" style="143" customWidth="1"/>
    <col min="13" max="14" width="8.28515625" style="143" customWidth="1"/>
    <col min="15" max="15" width="12.7109375" style="143" customWidth="1"/>
    <col min="16" max="16384" width="9.140625" style="143"/>
  </cols>
  <sheetData>
    <row r="1" spans="1:15" ht="18" x14ac:dyDescent="0.25">
      <c r="A1" s="607" t="s">
        <v>102</v>
      </c>
      <c r="B1" s="607"/>
      <c r="C1" s="607"/>
      <c r="D1" s="607"/>
      <c r="E1" s="607"/>
      <c r="F1" s="607"/>
      <c r="G1" s="607"/>
      <c r="H1" s="29" t="s">
        <v>10</v>
      </c>
      <c r="I1" s="6"/>
      <c r="J1" s="6"/>
      <c r="K1" s="6"/>
      <c r="L1" s="6"/>
      <c r="M1" s="6"/>
      <c r="N1" s="6"/>
      <c r="O1" s="6"/>
    </row>
    <row r="2" spans="1:15" ht="15" x14ac:dyDescent="0.2">
      <c r="A2" s="608" t="s">
        <v>152</v>
      </c>
      <c r="B2" s="608"/>
      <c r="C2" s="608"/>
      <c r="D2" s="608"/>
      <c r="E2" s="608"/>
      <c r="F2" s="608"/>
      <c r="G2" s="608"/>
      <c r="H2" s="29" t="s">
        <v>10</v>
      </c>
      <c r="I2" s="7"/>
      <c r="J2" s="7"/>
      <c r="K2" s="7"/>
      <c r="L2" s="7"/>
      <c r="M2" s="7"/>
      <c r="N2" s="7"/>
      <c r="O2" s="7"/>
    </row>
    <row r="3" spans="1:15" x14ac:dyDescent="0.2">
      <c r="A3" s="609" t="s">
        <v>424</v>
      </c>
      <c r="B3" s="609"/>
      <c r="C3" s="609"/>
      <c r="D3" s="609"/>
      <c r="E3" s="609"/>
      <c r="F3" s="609"/>
      <c r="G3" s="609"/>
      <c r="H3" s="29" t="s">
        <v>10</v>
      </c>
      <c r="I3" s="163"/>
      <c r="J3" s="163"/>
      <c r="K3" s="163"/>
      <c r="L3" s="163"/>
      <c r="M3" s="163"/>
      <c r="N3" s="163"/>
      <c r="O3" s="163"/>
    </row>
    <row r="4" spans="1:15" x14ac:dyDescent="0.2">
      <c r="A4" s="610" t="s">
        <v>1</v>
      </c>
      <c r="B4" s="610"/>
      <c r="C4" s="610"/>
      <c r="D4" s="610"/>
      <c r="E4" s="610"/>
      <c r="F4" s="610"/>
      <c r="G4" s="610"/>
      <c r="H4" s="29" t="s">
        <v>10</v>
      </c>
      <c r="I4" s="162"/>
      <c r="J4" s="162"/>
      <c r="K4" s="162"/>
      <c r="L4" s="162"/>
      <c r="M4" s="162"/>
      <c r="N4" s="162"/>
      <c r="O4" s="162"/>
    </row>
    <row r="5" spans="1:15" ht="15" thickBot="1" x14ac:dyDescent="0.25">
      <c r="A5" s="612"/>
      <c r="B5" s="612"/>
      <c r="C5" s="612"/>
      <c r="D5" s="612"/>
      <c r="E5" s="613"/>
      <c r="F5" s="613"/>
      <c r="G5" s="613"/>
      <c r="H5" s="29" t="s">
        <v>10</v>
      </c>
      <c r="I5" s="162"/>
      <c r="J5" s="162"/>
      <c r="K5" s="162"/>
      <c r="L5" s="162"/>
      <c r="M5" s="162"/>
      <c r="N5" s="162"/>
      <c r="O5" s="162"/>
    </row>
    <row r="6" spans="1:15" s="30" customFormat="1" ht="29.25" customHeight="1" thickBot="1" x14ac:dyDescent="0.25">
      <c r="A6" s="28"/>
      <c r="B6" s="28"/>
      <c r="C6" s="28"/>
      <c r="D6" s="28"/>
      <c r="E6" s="44" t="s">
        <v>2</v>
      </c>
      <c r="F6" s="35" t="s">
        <v>94</v>
      </c>
      <c r="G6" s="34" t="s">
        <v>3</v>
      </c>
      <c r="H6" s="29" t="s">
        <v>10</v>
      </c>
    </row>
    <row r="7" spans="1:15" s="30" customFormat="1" ht="12" x14ac:dyDescent="0.2">
      <c r="A7" s="510"/>
      <c r="B7" s="662" t="s">
        <v>4</v>
      </c>
      <c r="C7" s="662"/>
      <c r="D7" s="662"/>
      <c r="E7" s="511"/>
      <c r="F7" s="511"/>
      <c r="G7" s="512"/>
      <c r="H7" s="29" t="s">
        <v>10</v>
      </c>
    </row>
    <row r="8" spans="1:15" s="30" customFormat="1" ht="12" customHeight="1" x14ac:dyDescent="0.2">
      <c r="A8" s="31">
        <v>1</v>
      </c>
      <c r="B8" s="598" t="s">
        <v>646</v>
      </c>
      <c r="C8" s="660"/>
      <c r="D8" s="661"/>
      <c r="E8" s="513">
        <v>0</v>
      </c>
      <c r="F8" s="513">
        <v>0</v>
      </c>
      <c r="G8" s="45">
        <v>72</v>
      </c>
      <c r="H8" s="29" t="s">
        <v>10</v>
      </c>
    </row>
    <row r="9" spans="1:15" s="30" customFormat="1" ht="12" customHeight="1" x14ac:dyDescent="0.2">
      <c r="A9" s="32"/>
      <c r="B9" s="604" t="s">
        <v>637</v>
      </c>
      <c r="C9" s="604"/>
      <c r="D9" s="604"/>
      <c r="E9" s="36">
        <f>SUM(E8:E8)</f>
        <v>0</v>
      </c>
      <c r="F9" s="36">
        <f>SUM(F8:F8)</f>
        <v>0</v>
      </c>
      <c r="G9" s="46">
        <f>SUM(G8:G8)</f>
        <v>72</v>
      </c>
      <c r="H9" s="29" t="s">
        <v>10</v>
      </c>
    </row>
    <row r="10" spans="1:15" ht="15" thickBot="1" x14ac:dyDescent="0.25">
      <c r="A10" s="42"/>
      <c r="B10" s="593" t="s">
        <v>103</v>
      </c>
      <c r="C10" s="593"/>
      <c r="D10" s="594"/>
      <c r="E10" s="43">
        <f>E9</f>
        <v>0</v>
      </c>
      <c r="F10" s="43">
        <f t="shared" ref="F10:G10" si="0">F9</f>
        <v>0</v>
      </c>
      <c r="G10" s="49">
        <f t="shared" si="0"/>
        <v>72</v>
      </c>
      <c r="H10" s="29" t="s">
        <v>10</v>
      </c>
    </row>
    <row r="11" spans="1:15" x14ac:dyDescent="0.2">
      <c r="H11" s="29" t="s">
        <v>11</v>
      </c>
    </row>
  </sheetData>
  <mergeCells count="9">
    <mergeCell ref="B10:D10"/>
    <mergeCell ref="B8:D8"/>
    <mergeCell ref="B9:D9"/>
    <mergeCell ref="A1:G1"/>
    <mergeCell ref="A2:G2"/>
    <mergeCell ref="A3:G3"/>
    <mergeCell ref="A4:G4"/>
    <mergeCell ref="A5:G5"/>
    <mergeCell ref="B7:D7"/>
  </mergeCells>
  <printOptions horizontalCentered="1"/>
  <pageMargins left="0.7" right="0.7" top="0.65" bottom="0.46" header="0.3" footer="0.21"/>
  <pageSetup scale="90" fitToHeight="0" orientation="landscape" r:id="rId1"/>
  <headerFooter>
    <oddHeader>&amp;L&amp;"Arial,Bold"&amp;12E. Justification for Technical and Base Adjustments</oddHeader>
    <oddFooter>&amp;C&amp;"Arial,Regular"Exhibit E - Justification for Technical and Base Adjustments&amp;R&amp;"Arial,Regular"Public Safety Officers Benefits</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view="pageBreakPreview" zoomScale="80" zoomScaleNormal="100" zoomScaleSheetLayoutView="80" workbookViewId="0">
      <selection activeCell="K7" sqref="K7:M7"/>
    </sheetView>
  </sheetViews>
  <sheetFormatPr defaultRowHeight="14.25" x14ac:dyDescent="0.2"/>
  <cols>
    <col min="1" max="1" width="59.28515625" style="143" customWidth="1"/>
    <col min="2" max="3" width="8.28515625" style="143" customWidth="1"/>
    <col min="4" max="4" width="12.7109375" style="143" customWidth="1"/>
    <col min="5" max="5" width="7.140625" style="143" hidden="1" customWidth="1"/>
    <col min="6" max="7" width="8.7109375" style="143" hidden="1" customWidth="1"/>
    <col min="8" max="8" width="7.140625" style="143" hidden="1" customWidth="1"/>
    <col min="9" max="10" width="8.7109375" style="143" hidden="1" customWidth="1"/>
    <col min="11" max="11" width="7.140625" style="143" hidden="1" customWidth="1"/>
    <col min="12" max="12" width="8.7109375" style="143" hidden="1" customWidth="1"/>
    <col min="13" max="13" width="8.7109375" style="143" bestFit="1" customWidth="1"/>
    <col min="14" max="15" width="8.28515625" style="143" customWidth="1"/>
    <col min="16" max="16" width="11.5703125" style="143" customWidth="1"/>
    <col min="17" max="17" width="11.28515625" style="143" bestFit="1" customWidth="1"/>
    <col min="18" max="18" width="12.7109375" style="143" customWidth="1"/>
    <col min="19" max="20" width="8.28515625" style="143" customWidth="1"/>
    <col min="21" max="21" width="8.7109375" style="143" bestFit="1" customWidth="1"/>
    <col min="22" max="22" width="14" style="4" bestFit="1" customWidth="1"/>
    <col min="23" max="23" width="4.5703125" style="143" customWidth="1"/>
    <col min="24" max="24" width="116.7109375" style="143" customWidth="1"/>
    <col min="25" max="26" width="8.28515625" style="143" customWidth="1"/>
    <col min="27" max="27" width="12.7109375" style="143" customWidth="1"/>
    <col min="28" max="29" width="8.28515625" style="143" customWidth="1"/>
    <col min="30" max="30" width="12.7109375" style="143" customWidth="1"/>
    <col min="31" max="16384" width="9.140625" style="143"/>
  </cols>
  <sheetData>
    <row r="1" spans="1:30" ht="18" x14ac:dyDescent="0.25">
      <c r="A1" s="577" t="s">
        <v>29</v>
      </c>
      <c r="B1" s="577"/>
      <c r="C1" s="577"/>
      <c r="D1" s="577"/>
      <c r="E1" s="577"/>
      <c r="F1" s="577"/>
      <c r="G1" s="577"/>
      <c r="H1" s="577"/>
      <c r="I1" s="577"/>
      <c r="J1" s="577"/>
      <c r="K1" s="577"/>
      <c r="L1" s="577"/>
      <c r="M1" s="577"/>
      <c r="N1" s="577"/>
      <c r="O1" s="577"/>
      <c r="P1" s="577"/>
      <c r="Q1" s="577"/>
      <c r="R1" s="577"/>
      <c r="S1" s="577"/>
      <c r="T1" s="577"/>
      <c r="U1" s="577"/>
      <c r="V1" s="51" t="s">
        <v>10</v>
      </c>
      <c r="W1" s="6"/>
      <c r="X1" s="199"/>
      <c r="Y1" s="6"/>
      <c r="Z1" s="6"/>
      <c r="AA1" s="6"/>
      <c r="AB1" s="6"/>
      <c r="AC1" s="6"/>
      <c r="AD1" s="6"/>
    </row>
    <row r="2" spans="1:30" ht="15" x14ac:dyDescent="0.2">
      <c r="A2" s="578" t="s">
        <v>152</v>
      </c>
      <c r="B2" s="578"/>
      <c r="C2" s="578"/>
      <c r="D2" s="578"/>
      <c r="E2" s="578"/>
      <c r="F2" s="578"/>
      <c r="G2" s="578"/>
      <c r="H2" s="578"/>
      <c r="I2" s="578"/>
      <c r="J2" s="578"/>
      <c r="K2" s="578"/>
      <c r="L2" s="578"/>
      <c r="M2" s="578"/>
      <c r="N2" s="578"/>
      <c r="O2" s="578"/>
      <c r="P2" s="578"/>
      <c r="Q2" s="578"/>
      <c r="R2" s="578"/>
      <c r="S2" s="578"/>
      <c r="T2" s="578"/>
      <c r="U2" s="578"/>
      <c r="V2" s="51" t="s">
        <v>10</v>
      </c>
      <c r="W2" s="7"/>
      <c r="X2" s="198"/>
      <c r="Y2" s="7"/>
      <c r="Z2" s="7"/>
      <c r="AA2" s="7"/>
      <c r="AB2" s="7"/>
      <c r="AC2" s="7"/>
      <c r="AD2" s="7"/>
    </row>
    <row r="3" spans="1:30" x14ac:dyDescent="0.2">
      <c r="A3" s="579" t="s">
        <v>424</v>
      </c>
      <c r="B3" s="579"/>
      <c r="C3" s="579"/>
      <c r="D3" s="579"/>
      <c r="E3" s="579"/>
      <c r="F3" s="579"/>
      <c r="G3" s="579"/>
      <c r="H3" s="579"/>
      <c r="I3" s="579"/>
      <c r="J3" s="579"/>
      <c r="K3" s="579"/>
      <c r="L3" s="579"/>
      <c r="M3" s="579"/>
      <c r="N3" s="579"/>
      <c r="O3" s="579"/>
      <c r="P3" s="579"/>
      <c r="Q3" s="579"/>
      <c r="R3" s="579"/>
      <c r="S3" s="579"/>
      <c r="T3" s="579"/>
      <c r="U3" s="579"/>
      <c r="V3" s="51" t="s">
        <v>10</v>
      </c>
      <c r="W3" s="163"/>
      <c r="X3" s="198"/>
      <c r="Y3" s="163"/>
      <c r="Z3" s="163"/>
      <c r="AA3" s="163"/>
      <c r="AB3" s="163"/>
      <c r="AC3" s="163"/>
      <c r="AD3" s="163"/>
    </row>
    <row r="4" spans="1:30" x14ac:dyDescent="0.2">
      <c r="A4" s="608" t="s">
        <v>1</v>
      </c>
      <c r="B4" s="608"/>
      <c r="C4" s="608"/>
      <c r="D4" s="608"/>
      <c r="E4" s="608"/>
      <c r="F4" s="608"/>
      <c r="G4" s="608"/>
      <c r="H4" s="608"/>
      <c r="I4" s="608"/>
      <c r="J4" s="608"/>
      <c r="K4" s="608"/>
      <c r="L4" s="608"/>
      <c r="M4" s="608"/>
      <c r="N4" s="608"/>
      <c r="O4" s="608"/>
      <c r="P4" s="608"/>
      <c r="Q4" s="608"/>
      <c r="R4" s="608"/>
      <c r="S4" s="608"/>
      <c r="T4" s="608"/>
      <c r="U4" s="608"/>
      <c r="V4" s="51" t="s">
        <v>10</v>
      </c>
      <c r="W4" s="162"/>
      <c r="X4" s="198"/>
      <c r="Y4" s="162"/>
      <c r="Z4" s="162"/>
      <c r="AA4" s="162"/>
      <c r="AB4" s="162"/>
      <c r="AC4" s="162"/>
      <c r="AD4" s="162"/>
    </row>
    <row r="5" spans="1:30" ht="15" x14ac:dyDescent="0.25">
      <c r="A5" s="162"/>
      <c r="B5" s="162"/>
      <c r="C5" s="162"/>
      <c r="D5" s="162"/>
      <c r="E5" s="162"/>
      <c r="F5" s="162"/>
      <c r="G5" s="162"/>
      <c r="H5" s="162"/>
      <c r="I5" s="162"/>
      <c r="J5" s="162"/>
      <c r="K5" s="162"/>
      <c r="L5" s="162"/>
      <c r="M5" s="162"/>
      <c r="N5" s="162"/>
      <c r="O5" s="162"/>
      <c r="P5" s="162"/>
      <c r="Q5" s="162"/>
      <c r="R5" s="162"/>
      <c r="S5" s="162"/>
      <c r="T5" s="162"/>
      <c r="U5" s="162"/>
      <c r="V5" s="51" t="s">
        <v>10</v>
      </c>
      <c r="W5" s="162"/>
      <c r="X5" s="241"/>
      <c r="Y5" s="162"/>
      <c r="Z5" s="162"/>
      <c r="AA5" s="162"/>
      <c r="AB5" s="162"/>
      <c r="AC5" s="162"/>
      <c r="AD5" s="162"/>
    </row>
    <row r="6" spans="1:30" ht="15" thickBot="1" x14ac:dyDescent="0.25">
      <c r="A6" s="287"/>
      <c r="B6" s="287"/>
      <c r="C6" s="287"/>
      <c r="D6" s="287"/>
      <c r="E6" s="287"/>
      <c r="F6" s="287"/>
      <c r="G6" s="287"/>
      <c r="H6" s="287"/>
      <c r="I6" s="287"/>
      <c r="J6" s="287"/>
      <c r="K6" s="287"/>
      <c r="L6" s="287"/>
      <c r="M6" s="287"/>
      <c r="N6" s="287"/>
      <c r="O6" s="287"/>
      <c r="P6" s="287"/>
      <c r="Q6" s="287"/>
      <c r="R6" s="287"/>
      <c r="S6" s="287"/>
      <c r="T6" s="287"/>
      <c r="U6" s="287"/>
      <c r="V6" s="51" t="s">
        <v>10</v>
      </c>
      <c r="W6" s="162"/>
      <c r="Y6" s="162"/>
      <c r="Z6" s="162"/>
      <c r="AA6" s="162"/>
      <c r="AB6" s="162"/>
      <c r="AC6" s="162"/>
      <c r="AD6" s="162"/>
    </row>
    <row r="7" spans="1:30" ht="33.75" customHeight="1" x14ac:dyDescent="0.25">
      <c r="A7" s="585" t="s">
        <v>101</v>
      </c>
      <c r="B7" s="588" t="s">
        <v>137</v>
      </c>
      <c r="C7" s="588"/>
      <c r="D7" s="588"/>
      <c r="E7" s="588" t="s">
        <v>139</v>
      </c>
      <c r="F7" s="618"/>
      <c r="G7" s="619"/>
      <c r="H7" s="588" t="s">
        <v>97</v>
      </c>
      <c r="I7" s="618"/>
      <c r="J7" s="619"/>
      <c r="K7" s="588" t="s">
        <v>132</v>
      </c>
      <c r="L7" s="618"/>
      <c r="M7" s="619"/>
      <c r="N7" s="588" t="s">
        <v>27</v>
      </c>
      <c r="O7" s="588"/>
      <c r="P7" s="588"/>
      <c r="Q7" s="180" t="s">
        <v>28</v>
      </c>
      <c r="R7" s="180" t="s">
        <v>104</v>
      </c>
      <c r="S7" s="588" t="s">
        <v>133</v>
      </c>
      <c r="T7" s="588"/>
      <c r="U7" s="589"/>
      <c r="V7" s="51" t="s">
        <v>10</v>
      </c>
      <c r="X7" s="5"/>
    </row>
    <row r="8" spans="1:30" ht="28.5" x14ac:dyDescent="0.25">
      <c r="A8" s="586"/>
      <c r="B8" s="235" t="s">
        <v>2</v>
      </c>
      <c r="C8" s="235" t="s">
        <v>95</v>
      </c>
      <c r="D8" s="235" t="s">
        <v>3</v>
      </c>
      <c r="E8" s="235" t="s">
        <v>2</v>
      </c>
      <c r="F8" s="235" t="s">
        <v>95</v>
      </c>
      <c r="G8" s="235" t="s">
        <v>3</v>
      </c>
      <c r="H8" s="235" t="s">
        <v>2</v>
      </c>
      <c r="I8" s="235" t="s">
        <v>95</v>
      </c>
      <c r="J8" s="235" t="s">
        <v>3</v>
      </c>
      <c r="K8" s="235" t="s">
        <v>2</v>
      </c>
      <c r="L8" s="235" t="s">
        <v>95</v>
      </c>
      <c r="M8" s="235" t="s">
        <v>3</v>
      </c>
      <c r="N8" s="235" t="s">
        <v>2</v>
      </c>
      <c r="O8" s="235" t="s">
        <v>95</v>
      </c>
      <c r="P8" s="235" t="s">
        <v>3</v>
      </c>
      <c r="Q8" s="235" t="s">
        <v>3</v>
      </c>
      <c r="R8" s="235" t="s">
        <v>3</v>
      </c>
      <c r="S8" s="235" t="s">
        <v>2</v>
      </c>
      <c r="T8" s="235" t="s">
        <v>95</v>
      </c>
      <c r="U8" s="234" t="s">
        <v>3</v>
      </c>
      <c r="V8" s="51" t="s">
        <v>10</v>
      </c>
      <c r="X8" s="5"/>
    </row>
    <row r="9" spans="1:30" x14ac:dyDescent="0.2">
      <c r="A9" s="173" t="s">
        <v>427</v>
      </c>
      <c r="B9" s="217">
        <v>0</v>
      </c>
      <c r="C9" s="217">
        <v>0</v>
      </c>
      <c r="D9" s="217">
        <v>62000</v>
      </c>
      <c r="E9" s="217">
        <v>0</v>
      </c>
      <c r="F9" s="217">
        <v>0</v>
      </c>
      <c r="G9" s="217">
        <v>0</v>
      </c>
      <c r="H9" s="217">
        <v>0</v>
      </c>
      <c r="I9" s="217">
        <v>0</v>
      </c>
      <c r="J9" s="217">
        <v>0</v>
      </c>
      <c r="K9" s="217">
        <v>0</v>
      </c>
      <c r="L9" s="217">
        <v>0</v>
      </c>
      <c r="M9" s="216">
        <v>-51</v>
      </c>
      <c r="N9" s="217">
        <v>0</v>
      </c>
      <c r="O9" s="217">
        <v>0</v>
      </c>
      <c r="P9" s="217">
        <v>0</v>
      </c>
      <c r="Q9" s="217">
        <v>6388</v>
      </c>
      <c r="R9" s="217">
        <v>5</v>
      </c>
      <c r="S9" s="217">
        <f>B9+N9</f>
        <v>0</v>
      </c>
      <c r="T9" s="217">
        <f>C9+O9</f>
        <v>0</v>
      </c>
      <c r="U9" s="286">
        <f>D9+P9+Q9+R9+J9+M9+G9</f>
        <v>68342</v>
      </c>
      <c r="V9" s="51" t="s">
        <v>10</v>
      </c>
      <c r="X9" s="284"/>
    </row>
    <row r="10" spans="1:30" x14ac:dyDescent="0.2">
      <c r="A10" s="207" t="s">
        <v>425</v>
      </c>
      <c r="B10" s="154">
        <v>0</v>
      </c>
      <c r="C10" s="154">
        <v>0</v>
      </c>
      <c r="D10" s="154">
        <v>15962</v>
      </c>
      <c r="E10" s="154">
        <v>0</v>
      </c>
      <c r="F10" s="154">
        <v>0</v>
      </c>
      <c r="G10" s="154">
        <v>0</v>
      </c>
      <c r="H10" s="154">
        <v>0</v>
      </c>
      <c r="I10" s="154">
        <v>0</v>
      </c>
      <c r="J10" s="154">
        <v>0</v>
      </c>
      <c r="K10" s="154">
        <v>0</v>
      </c>
      <c r="L10" s="154">
        <v>0</v>
      </c>
      <c r="M10" s="268">
        <v>0</v>
      </c>
      <c r="N10" s="154">
        <v>0</v>
      </c>
      <c r="O10" s="154">
        <v>0</v>
      </c>
      <c r="P10" s="154">
        <v>0</v>
      </c>
      <c r="Q10" s="154">
        <v>6460</v>
      </c>
      <c r="R10" s="154">
        <v>258</v>
      </c>
      <c r="S10" s="154">
        <f>B10+N10</f>
        <v>0</v>
      </c>
      <c r="T10" s="154">
        <f>C10+O10</f>
        <v>0</v>
      </c>
      <c r="U10" s="151">
        <f>D10+P10+Q10+R10+J10+M10+G10</f>
        <v>22680</v>
      </c>
      <c r="V10" s="51" t="s">
        <v>10</v>
      </c>
      <c r="X10" s="284"/>
    </row>
    <row r="11" spans="1:30" ht="15" x14ac:dyDescent="0.25">
      <c r="A11" s="13" t="s">
        <v>98</v>
      </c>
      <c r="B11" s="118">
        <f t="shared" ref="B11:U11" si="0">SUM(B9:B10)</f>
        <v>0</v>
      </c>
      <c r="C11" s="118">
        <f t="shared" si="0"/>
        <v>0</v>
      </c>
      <c r="D11" s="118">
        <f t="shared" si="0"/>
        <v>77962</v>
      </c>
      <c r="E11" s="118">
        <f t="shared" si="0"/>
        <v>0</v>
      </c>
      <c r="F11" s="118">
        <f t="shared" si="0"/>
        <v>0</v>
      </c>
      <c r="G11" s="118">
        <f t="shared" si="0"/>
        <v>0</v>
      </c>
      <c r="H11" s="118">
        <f t="shared" si="0"/>
        <v>0</v>
      </c>
      <c r="I11" s="118">
        <f t="shared" si="0"/>
        <v>0</v>
      </c>
      <c r="J11" s="118">
        <f t="shared" si="0"/>
        <v>0</v>
      </c>
      <c r="K11" s="118">
        <f t="shared" si="0"/>
        <v>0</v>
      </c>
      <c r="L11" s="118">
        <f t="shared" si="0"/>
        <v>0</v>
      </c>
      <c r="M11" s="219">
        <f t="shared" si="0"/>
        <v>-51</v>
      </c>
      <c r="N11" s="118">
        <f t="shared" si="0"/>
        <v>0</v>
      </c>
      <c r="O11" s="118">
        <f t="shared" si="0"/>
        <v>0</v>
      </c>
      <c r="P11" s="118">
        <f t="shared" si="0"/>
        <v>0</v>
      </c>
      <c r="Q11" s="118">
        <f t="shared" si="0"/>
        <v>12848</v>
      </c>
      <c r="R11" s="118">
        <f t="shared" si="0"/>
        <v>263</v>
      </c>
      <c r="S11" s="118">
        <f t="shared" si="0"/>
        <v>0</v>
      </c>
      <c r="T11" s="118">
        <f t="shared" si="0"/>
        <v>0</v>
      </c>
      <c r="U11" s="119">
        <f t="shared" si="0"/>
        <v>91022</v>
      </c>
      <c r="V11" s="51" t="s">
        <v>10</v>
      </c>
      <c r="X11" s="5"/>
    </row>
    <row r="12" spans="1:30" x14ac:dyDescent="0.2">
      <c r="A12" s="210" t="s">
        <v>13</v>
      </c>
      <c r="B12" s="209"/>
      <c r="C12" s="209">
        <v>0</v>
      </c>
      <c r="D12" s="209"/>
      <c r="E12" s="209"/>
      <c r="F12" s="209">
        <v>0</v>
      </c>
      <c r="G12" s="209"/>
      <c r="H12" s="209"/>
      <c r="I12" s="209">
        <v>0</v>
      </c>
      <c r="J12" s="209"/>
      <c r="K12" s="209"/>
      <c r="L12" s="209">
        <v>0</v>
      </c>
      <c r="M12" s="209"/>
      <c r="N12" s="209"/>
      <c r="O12" s="209">
        <v>0</v>
      </c>
      <c r="P12" s="209"/>
      <c r="Q12" s="209"/>
      <c r="R12" s="209"/>
      <c r="S12" s="209"/>
      <c r="T12" s="209">
        <f>C12+O12+I12</f>
        <v>0</v>
      </c>
      <c r="U12" s="208"/>
      <c r="V12" s="51" t="s">
        <v>10</v>
      </c>
    </row>
    <row r="13" spans="1:30" ht="15" x14ac:dyDescent="0.25">
      <c r="A13" s="207" t="s">
        <v>99</v>
      </c>
      <c r="B13" s="154"/>
      <c r="C13" s="154">
        <f>C11+C12</f>
        <v>0</v>
      </c>
      <c r="D13" s="154"/>
      <c r="E13" s="154"/>
      <c r="F13" s="154">
        <f>F11+F12</f>
        <v>0</v>
      </c>
      <c r="G13" s="154"/>
      <c r="H13" s="154"/>
      <c r="I13" s="154">
        <f>I11+I12</f>
        <v>0</v>
      </c>
      <c r="J13" s="154"/>
      <c r="K13" s="154"/>
      <c r="L13" s="154">
        <f>L11+L12</f>
        <v>0</v>
      </c>
      <c r="M13" s="154"/>
      <c r="N13" s="154"/>
      <c r="O13" s="154">
        <f>O11+O12</f>
        <v>0</v>
      </c>
      <c r="P13" s="154"/>
      <c r="Q13" s="154"/>
      <c r="R13" s="154"/>
      <c r="S13" s="154"/>
      <c r="T13" s="209">
        <f>T11+T12</f>
        <v>0</v>
      </c>
      <c r="U13" s="151"/>
      <c r="V13" s="51" t="s">
        <v>10</v>
      </c>
      <c r="X13" s="240"/>
    </row>
    <row r="14" spans="1:30" x14ac:dyDescent="0.2">
      <c r="A14" s="207"/>
      <c r="B14" s="154"/>
      <c r="C14" s="154"/>
      <c r="D14" s="154"/>
      <c r="E14" s="154"/>
      <c r="F14" s="154"/>
      <c r="G14" s="154"/>
      <c r="H14" s="154"/>
      <c r="I14" s="154"/>
      <c r="J14" s="154"/>
      <c r="K14" s="154"/>
      <c r="L14" s="154"/>
      <c r="M14" s="154"/>
      <c r="N14" s="154"/>
      <c r="O14" s="154"/>
      <c r="P14" s="154"/>
      <c r="Q14" s="154"/>
      <c r="R14" s="154"/>
      <c r="S14" s="154"/>
      <c r="T14" s="154"/>
      <c r="U14" s="151"/>
      <c r="V14" s="51" t="s">
        <v>10</v>
      </c>
    </row>
    <row r="15" spans="1:30" x14ac:dyDescent="0.2">
      <c r="A15" s="207" t="s">
        <v>14</v>
      </c>
      <c r="B15" s="154"/>
      <c r="C15" s="154"/>
      <c r="D15" s="154"/>
      <c r="E15" s="154"/>
      <c r="F15" s="154"/>
      <c r="G15" s="154"/>
      <c r="H15" s="154"/>
      <c r="I15" s="154"/>
      <c r="J15" s="154"/>
      <c r="K15" s="154"/>
      <c r="L15" s="154"/>
      <c r="M15" s="154"/>
      <c r="N15" s="154"/>
      <c r="O15" s="154"/>
      <c r="P15" s="154"/>
      <c r="Q15" s="154"/>
      <c r="R15" s="154"/>
      <c r="S15" s="154"/>
      <c r="T15" s="154"/>
      <c r="U15" s="151"/>
      <c r="V15" s="51" t="s">
        <v>10</v>
      </c>
    </row>
    <row r="16" spans="1:30" x14ac:dyDescent="0.2">
      <c r="A16" s="206" t="s">
        <v>15</v>
      </c>
      <c r="B16" s="154"/>
      <c r="C16" s="154">
        <v>0</v>
      </c>
      <c r="D16" s="154"/>
      <c r="E16" s="154"/>
      <c r="F16" s="154">
        <v>0</v>
      </c>
      <c r="G16" s="154"/>
      <c r="H16" s="154"/>
      <c r="I16" s="154">
        <v>0</v>
      </c>
      <c r="J16" s="154"/>
      <c r="K16" s="154"/>
      <c r="L16" s="154">
        <v>0</v>
      </c>
      <c r="M16" s="154"/>
      <c r="N16" s="154"/>
      <c r="O16" s="154">
        <v>0</v>
      </c>
      <c r="P16" s="154"/>
      <c r="Q16" s="154"/>
      <c r="R16" s="154"/>
      <c r="S16" s="154"/>
      <c r="T16" s="154">
        <f>C16+O16+I16</f>
        <v>0</v>
      </c>
      <c r="U16" s="151"/>
      <c r="V16" s="51" t="s">
        <v>10</v>
      </c>
    </row>
    <row r="17" spans="1:22" x14ac:dyDescent="0.2">
      <c r="A17" s="205" t="s">
        <v>16</v>
      </c>
      <c r="B17" s="204"/>
      <c r="C17" s="204">
        <v>0</v>
      </c>
      <c r="D17" s="204"/>
      <c r="E17" s="204"/>
      <c r="F17" s="204">
        <v>0</v>
      </c>
      <c r="G17" s="204"/>
      <c r="H17" s="204"/>
      <c r="I17" s="204">
        <v>0</v>
      </c>
      <c r="J17" s="204"/>
      <c r="K17" s="204"/>
      <c r="L17" s="204">
        <v>0</v>
      </c>
      <c r="M17" s="204"/>
      <c r="N17" s="204"/>
      <c r="O17" s="204">
        <v>0</v>
      </c>
      <c r="P17" s="204"/>
      <c r="Q17" s="204"/>
      <c r="R17" s="204"/>
      <c r="S17" s="204"/>
      <c r="T17" s="154">
        <f>C17+O17+I16</f>
        <v>0</v>
      </c>
      <c r="U17" s="203"/>
      <c r="V17" s="51" t="s">
        <v>10</v>
      </c>
    </row>
    <row r="18" spans="1:22" ht="15" thickBot="1" x14ac:dyDescent="0.25">
      <c r="A18" s="202" t="s">
        <v>100</v>
      </c>
      <c r="B18" s="201"/>
      <c r="C18" s="201">
        <f>C13+C16+C17</f>
        <v>0</v>
      </c>
      <c r="D18" s="201"/>
      <c r="E18" s="201"/>
      <c r="F18" s="201">
        <f>F13+F16+F17</f>
        <v>0</v>
      </c>
      <c r="G18" s="201"/>
      <c r="H18" s="201"/>
      <c r="I18" s="201">
        <f>I13+I16+I17</f>
        <v>0</v>
      </c>
      <c r="J18" s="201"/>
      <c r="K18" s="201"/>
      <c r="L18" s="201">
        <f>L13+L16+L17</f>
        <v>0</v>
      </c>
      <c r="M18" s="201"/>
      <c r="N18" s="201"/>
      <c r="O18" s="201">
        <f>O13+O16+O17</f>
        <v>0</v>
      </c>
      <c r="P18" s="201"/>
      <c r="Q18" s="201"/>
      <c r="R18" s="201"/>
      <c r="S18" s="201"/>
      <c r="T18" s="201">
        <f>SUM(T13,T16:T17)</f>
        <v>0</v>
      </c>
      <c r="U18" s="200"/>
      <c r="V18" s="51" t="s">
        <v>10</v>
      </c>
    </row>
    <row r="19" spans="1:22" ht="15" x14ac:dyDescent="0.25">
      <c r="A19" s="170" t="s">
        <v>138</v>
      </c>
      <c r="B19" s="277"/>
      <c r="C19" s="277"/>
      <c r="D19" s="277"/>
      <c r="E19" s="277"/>
      <c r="F19" s="277"/>
      <c r="G19" s="277"/>
      <c r="H19" s="277"/>
      <c r="I19" s="277"/>
      <c r="J19" s="277"/>
      <c r="K19" s="277"/>
      <c r="L19" s="277"/>
      <c r="M19" s="277"/>
      <c r="N19" s="277"/>
      <c r="O19" s="277"/>
      <c r="P19" s="277"/>
      <c r="Q19" s="277"/>
      <c r="R19" s="277"/>
      <c r="S19" s="277"/>
      <c r="T19" s="277"/>
      <c r="U19" s="277"/>
      <c r="V19" s="51" t="s">
        <v>10</v>
      </c>
    </row>
    <row r="20" spans="1:22" x14ac:dyDescent="0.2">
      <c r="A20" s="614" t="s">
        <v>223</v>
      </c>
      <c r="B20" s="614"/>
      <c r="C20" s="614"/>
      <c r="D20" s="614"/>
      <c r="E20" s="614"/>
      <c r="F20" s="614"/>
      <c r="G20" s="614"/>
      <c r="H20" s="614"/>
      <c r="I20" s="614"/>
      <c r="J20" s="614"/>
      <c r="K20" s="614"/>
      <c r="L20" s="614"/>
      <c r="M20" s="614"/>
      <c r="N20" s="614"/>
      <c r="O20" s="614"/>
      <c r="P20" s="614"/>
      <c r="Q20" s="614"/>
      <c r="R20" s="614"/>
      <c r="S20" s="614"/>
      <c r="T20" s="614"/>
      <c r="U20" s="614"/>
      <c r="V20" s="51" t="s">
        <v>10</v>
      </c>
    </row>
    <row r="21" spans="1:22" x14ac:dyDescent="0.2">
      <c r="V21" s="51" t="s">
        <v>10</v>
      </c>
    </row>
    <row r="22" spans="1:22" ht="15" x14ac:dyDescent="0.25">
      <c r="A22" s="5" t="s">
        <v>27</v>
      </c>
      <c r="V22" s="51" t="s">
        <v>10</v>
      </c>
    </row>
    <row r="23" spans="1:22" x14ac:dyDescent="0.2">
      <c r="A23" s="635"/>
      <c r="B23" s="635"/>
      <c r="C23" s="635"/>
      <c r="D23" s="635"/>
      <c r="E23" s="635"/>
      <c r="F23" s="635"/>
      <c r="G23" s="635"/>
      <c r="H23" s="635"/>
      <c r="I23" s="635"/>
      <c r="J23" s="635"/>
      <c r="K23" s="635"/>
      <c r="L23" s="635"/>
      <c r="M23" s="635"/>
      <c r="N23" s="635"/>
      <c r="O23" s="635"/>
      <c r="P23" s="635"/>
      <c r="Q23" s="635"/>
      <c r="R23" s="635"/>
      <c r="S23" s="635"/>
      <c r="T23" s="635"/>
      <c r="U23" s="635"/>
      <c r="V23" s="51" t="s">
        <v>10</v>
      </c>
    </row>
    <row r="24" spans="1:22" x14ac:dyDescent="0.2">
      <c r="A24" s="635"/>
      <c r="B24" s="635"/>
      <c r="C24" s="635"/>
      <c r="D24" s="635"/>
      <c r="E24" s="635"/>
      <c r="F24" s="635"/>
      <c r="G24" s="635"/>
      <c r="H24" s="635"/>
      <c r="I24" s="635"/>
      <c r="J24" s="635"/>
      <c r="K24" s="635"/>
      <c r="L24" s="635"/>
      <c r="M24" s="635"/>
      <c r="N24" s="635"/>
      <c r="O24" s="635"/>
      <c r="P24" s="635"/>
      <c r="Q24" s="635"/>
      <c r="R24" s="635"/>
      <c r="S24" s="635"/>
      <c r="T24" s="635"/>
      <c r="U24" s="635"/>
      <c r="V24" s="51" t="s">
        <v>10</v>
      </c>
    </row>
    <row r="25" spans="1:22" ht="15" x14ac:dyDescent="0.25">
      <c r="A25" s="5" t="s">
        <v>113</v>
      </c>
      <c r="V25" s="51" t="s">
        <v>10</v>
      </c>
    </row>
    <row r="26" spans="1:22" x14ac:dyDescent="0.2">
      <c r="A26" s="616" t="s">
        <v>647</v>
      </c>
      <c r="B26" s="616"/>
      <c r="C26" s="616"/>
      <c r="D26" s="616"/>
      <c r="E26" s="616"/>
      <c r="F26" s="616"/>
      <c r="G26" s="616"/>
      <c r="H26" s="616"/>
      <c r="I26" s="616"/>
      <c r="J26" s="616"/>
      <c r="K26" s="616"/>
      <c r="L26" s="616"/>
      <c r="M26" s="616"/>
      <c r="N26" s="616"/>
      <c r="O26" s="616"/>
      <c r="P26" s="616"/>
      <c r="Q26" s="616"/>
      <c r="R26" s="616"/>
      <c r="S26" s="616"/>
      <c r="T26" s="616"/>
      <c r="U26" s="616"/>
      <c r="V26" s="51" t="s">
        <v>10</v>
      </c>
    </row>
    <row r="27" spans="1:22" x14ac:dyDescent="0.2">
      <c r="A27" s="635"/>
      <c r="B27" s="635"/>
      <c r="C27" s="635"/>
      <c r="D27" s="635"/>
      <c r="E27" s="635"/>
      <c r="F27" s="635"/>
      <c r="G27" s="635"/>
      <c r="H27" s="635"/>
      <c r="I27" s="635"/>
      <c r="J27" s="635"/>
      <c r="K27" s="635"/>
      <c r="L27" s="635"/>
      <c r="M27" s="635"/>
      <c r="N27" s="635"/>
      <c r="O27" s="635"/>
      <c r="P27" s="635"/>
      <c r="Q27" s="635"/>
      <c r="R27" s="635"/>
      <c r="S27" s="635"/>
      <c r="T27" s="635"/>
      <c r="U27" s="635"/>
      <c r="V27" s="51" t="s">
        <v>10</v>
      </c>
    </row>
    <row r="28" spans="1:22" ht="15" x14ac:dyDescent="0.25">
      <c r="A28" s="5" t="s">
        <v>114</v>
      </c>
      <c r="V28" s="51" t="s">
        <v>10</v>
      </c>
    </row>
    <row r="29" spans="1:22" x14ac:dyDescent="0.2">
      <c r="A29" s="616" t="s">
        <v>426</v>
      </c>
      <c r="B29" s="616"/>
      <c r="C29" s="616"/>
      <c r="D29" s="616"/>
      <c r="E29" s="616"/>
      <c r="F29" s="616"/>
      <c r="G29" s="616"/>
      <c r="H29" s="616"/>
      <c r="I29" s="616"/>
      <c r="J29" s="616"/>
      <c r="K29" s="616"/>
      <c r="L29" s="616"/>
      <c r="M29" s="616"/>
      <c r="N29" s="616"/>
      <c r="O29" s="616"/>
      <c r="P29" s="616"/>
      <c r="Q29" s="616"/>
      <c r="R29" s="616"/>
      <c r="S29" s="616"/>
      <c r="T29" s="616"/>
      <c r="U29" s="616"/>
      <c r="V29" s="51" t="s">
        <v>10</v>
      </c>
    </row>
    <row r="30" spans="1:22" x14ac:dyDescent="0.2">
      <c r="A30" s="635"/>
      <c r="B30" s="635"/>
      <c r="C30" s="635"/>
      <c r="D30" s="635"/>
      <c r="E30" s="635"/>
      <c r="F30" s="635"/>
      <c r="G30" s="635"/>
      <c r="H30" s="635"/>
      <c r="I30" s="635"/>
      <c r="J30" s="635"/>
      <c r="K30" s="635"/>
      <c r="L30" s="635"/>
      <c r="M30" s="635"/>
      <c r="N30" s="635"/>
      <c r="O30" s="635"/>
      <c r="P30" s="635"/>
      <c r="Q30" s="635"/>
      <c r="R30" s="635"/>
      <c r="S30" s="635"/>
      <c r="T30" s="635"/>
      <c r="U30" s="635"/>
      <c r="V30" s="51" t="s">
        <v>10</v>
      </c>
    </row>
    <row r="31" spans="1:22" x14ac:dyDescent="0.2">
      <c r="V31" s="51" t="s">
        <v>10</v>
      </c>
    </row>
    <row r="32" spans="1:22" x14ac:dyDescent="0.2">
      <c r="V32" s="4" t="s">
        <v>11</v>
      </c>
    </row>
    <row r="38" spans="17:17" x14ac:dyDescent="0.2">
      <c r="Q38" s="147"/>
    </row>
  </sheetData>
  <customSheetViews>
    <customSheetView guid="{EE916FE7-61FB-4021-ADDD-E082241FC03C}" scale="80" showPageBreaks="1" printArea="1" view="pageBreakPreview" topLeftCell="C1">
      <selection activeCell="S43" sqref="S43"/>
      <pageMargins left="0.7" right="0.7" top="0.64" bottom="0.61" header="0.3" footer="0.3"/>
      <printOptions horizontalCentered="1"/>
      <pageSetup scale="51" orientation="landscape" r:id="rId1"/>
      <headerFooter>
        <oddHeader>&amp;L&amp;"Arial,Bold"&amp;12F. Crosswalk of 2013 Availability</oddHeader>
        <oddFooter>&amp;C&amp;"Arial,Regular"Exhibit F - Crosswalk of 2013 Availability&amp;R&amp;"Arial,Regular"Public Safety Officers Benefits</oddFooter>
      </headerFooter>
    </customSheetView>
    <customSheetView guid="{0BB5DC4B-BC2A-4489-BE17-5E267FA1EF63}" scale="80" showPageBreaks="1" printArea="1" view="pageBreakPreview" topLeftCell="C1">
      <selection activeCell="S43" sqref="S43"/>
      <pageMargins left="0.7" right="0.7" top="0.64" bottom="0.61" header="0.3" footer="0.3"/>
      <printOptions horizontalCentered="1"/>
      <pageSetup scale="51" orientation="landscape" r:id="rId2"/>
      <headerFooter>
        <oddHeader>&amp;L&amp;"Arial,Bold"&amp;12F. Crosswalk of 2013 Availability</oddHeader>
        <oddFooter>&amp;C&amp;"Arial,Regular"Exhibit F - Crosswalk of 2013 Availability&amp;R&amp;"Arial,Regular"Public Safety Officers Benefits</oddFooter>
      </headerFooter>
    </customSheetView>
    <customSheetView guid="{6C58FFE1-D756-42C4-A1BC-AA7F1DC1E56F}" scale="80" showPageBreaks="1" printArea="1" view="pageBreakPreview" topLeftCell="C1">
      <selection activeCell="S43" sqref="S43"/>
      <pageMargins left="0.7" right="0.7" top="0.64" bottom="0.61" header="0.3" footer="0.3"/>
      <printOptions horizontalCentered="1"/>
      <pageSetup scale="51" orientation="landscape" r:id="rId3"/>
      <headerFooter>
        <oddHeader>&amp;L&amp;"Arial,Bold"&amp;12F. Crosswalk of 2013 Availability</oddHeader>
        <oddFooter>&amp;C&amp;"Arial,Regular"Exhibit F - Crosswalk of 2013 Availability&amp;R&amp;"Arial,Regular"Public Safety Officers Benefits</oddFooter>
      </headerFooter>
    </customSheetView>
    <customSheetView guid="{CFA5D1C9-F4C9-4B8D-923D-4C71CB6E7D3B}" scale="80" showPageBreaks="1" printArea="1" view="pageBreakPreview" topLeftCell="C1">
      <selection activeCell="S43" sqref="S43"/>
      <pageMargins left="0.7" right="0.7" top="0.64" bottom="0.61" header="0.3" footer="0.3"/>
      <printOptions horizontalCentered="1"/>
      <pageSetup scale="51" orientation="landscape" r:id="rId4"/>
      <headerFooter>
        <oddHeader>&amp;L&amp;"Arial,Bold"&amp;12F. Crosswalk of 2013 Availability</oddHeader>
        <oddFooter>&amp;C&amp;"Arial,Regular"Exhibit F - Crosswalk of 2013 Availability&amp;R&amp;"Arial,Regular"Public Safety Officers Benefits</oddFooter>
      </headerFooter>
    </customSheetView>
    <customSheetView guid="{A788DF77-74F1-49E4-8B34-BFBDB7664F30}" scale="80" showPageBreaks="1" printArea="1" view="pageBreakPreview" topLeftCell="C1">
      <selection activeCell="S43" sqref="S43"/>
      <pageMargins left="0.7" right="0.7" top="0.64" bottom="0.61" header="0.3" footer="0.3"/>
      <printOptions horizontalCentered="1"/>
      <pageSetup scale="51" orientation="landscape" r:id="rId5"/>
      <headerFooter>
        <oddHeader>&amp;L&amp;"Arial,Bold"&amp;12F. Crosswalk of 2013 Availability</oddHeader>
        <oddFooter>&amp;C&amp;"Arial,Regular"Exhibit F - Crosswalk of 2013 Availability&amp;R&amp;"Arial,Regular"Public Safety Officers Benefits</oddFooter>
      </headerFooter>
    </customSheetView>
  </customSheetViews>
  <mergeCells count="18">
    <mergeCell ref="A1:U1"/>
    <mergeCell ref="A2:U2"/>
    <mergeCell ref="A3:U3"/>
    <mergeCell ref="A4:U4"/>
    <mergeCell ref="H7:J7"/>
    <mergeCell ref="K7:M7"/>
    <mergeCell ref="E7:G7"/>
    <mergeCell ref="A7:A8"/>
    <mergeCell ref="B7:D7"/>
    <mergeCell ref="N7:P7"/>
    <mergeCell ref="S7:U7"/>
    <mergeCell ref="A20:U20"/>
    <mergeCell ref="A30:U30"/>
    <mergeCell ref="A23:U23"/>
    <mergeCell ref="A24:U24"/>
    <mergeCell ref="A26:U26"/>
    <mergeCell ref="A27:U27"/>
    <mergeCell ref="A29:U29"/>
  </mergeCells>
  <printOptions horizontalCentered="1"/>
  <pageMargins left="0.7" right="0.7" top="0.64" bottom="0.61" header="0.3" footer="0.3"/>
  <pageSetup scale="67" orientation="landscape" r:id="rId6"/>
  <headerFooter>
    <oddHeader>&amp;L&amp;"Arial,Bold"&amp;12F. Crosswalk of 2013 Availability</oddHeader>
    <oddFooter>&amp;C&amp;"Arial,Regular"Exhibit F - Crosswalk of 2013 Availability&amp;R&amp;"Arial,Regular"Public Safety Officers Benefits</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
  <sheetViews>
    <sheetView view="pageBreakPreview" zoomScale="80" zoomScaleNormal="100" zoomScaleSheetLayoutView="80" workbookViewId="0">
      <selection activeCell="Q38" sqref="Q38"/>
    </sheetView>
  </sheetViews>
  <sheetFormatPr defaultRowHeight="14.25" x14ac:dyDescent="0.2"/>
  <cols>
    <col min="1" max="1" width="59.85546875" style="143" customWidth="1"/>
    <col min="2" max="3" width="8.28515625" style="143" customWidth="1"/>
    <col min="4" max="4" width="12.7109375" style="143" customWidth="1"/>
    <col min="5" max="5" width="7.140625" style="143" customWidth="1"/>
    <col min="6" max="6" width="8.7109375" style="143" customWidth="1"/>
    <col min="7" max="7" width="8.7109375" style="143" bestFit="1" customWidth="1"/>
    <col min="8" max="8" width="15" style="143" customWidth="1"/>
    <col min="9" max="9" width="8.28515625" style="143" customWidth="1"/>
    <col min="10" max="10" width="9.85546875" style="143" customWidth="1"/>
    <col min="11" max="13" width="12.7109375" style="143" customWidth="1"/>
    <col min="14" max="14" width="8.28515625" style="143" customWidth="1"/>
    <col min="15" max="15" width="9.85546875" style="143" customWidth="1"/>
    <col min="16" max="16" width="12.7109375" style="143" customWidth="1"/>
    <col min="17" max="17" width="14" style="4" bestFit="1" customWidth="1"/>
    <col min="18" max="18" width="4.5703125" style="143" customWidth="1"/>
    <col min="19" max="19" width="116.7109375" style="143" customWidth="1"/>
    <col min="20" max="21" width="8.28515625" style="143" customWidth="1"/>
    <col min="22" max="22" width="12.7109375" style="143" customWidth="1"/>
    <col min="23" max="24" width="8.28515625" style="143" customWidth="1"/>
    <col min="25" max="25" width="12.7109375" style="143" customWidth="1"/>
    <col min="26" max="16384" width="9.140625" style="143"/>
  </cols>
  <sheetData>
    <row r="1" spans="1:25" ht="18" x14ac:dyDescent="0.25">
      <c r="A1" s="577" t="s">
        <v>134</v>
      </c>
      <c r="B1" s="577"/>
      <c r="C1" s="577"/>
      <c r="D1" s="577"/>
      <c r="E1" s="577"/>
      <c r="F1" s="577"/>
      <c r="G1" s="577"/>
      <c r="H1" s="577"/>
      <c r="I1" s="577"/>
      <c r="J1" s="577"/>
      <c r="K1" s="577"/>
      <c r="L1" s="577"/>
      <c r="M1" s="577"/>
      <c r="N1" s="577"/>
      <c r="O1" s="577"/>
      <c r="P1" s="577"/>
      <c r="Q1" s="51" t="s">
        <v>10</v>
      </c>
      <c r="R1" s="6"/>
      <c r="S1" s="199"/>
      <c r="T1" s="6"/>
      <c r="U1" s="6"/>
      <c r="V1" s="6"/>
      <c r="W1" s="6"/>
      <c r="X1" s="6"/>
      <c r="Y1" s="6"/>
    </row>
    <row r="2" spans="1:25" ht="15" x14ac:dyDescent="0.2">
      <c r="A2" s="578" t="s">
        <v>152</v>
      </c>
      <c r="B2" s="578"/>
      <c r="C2" s="578"/>
      <c r="D2" s="578"/>
      <c r="E2" s="578"/>
      <c r="F2" s="578"/>
      <c r="G2" s="578"/>
      <c r="H2" s="578"/>
      <c r="I2" s="578"/>
      <c r="J2" s="578"/>
      <c r="K2" s="578"/>
      <c r="L2" s="578"/>
      <c r="M2" s="578"/>
      <c r="N2" s="578"/>
      <c r="O2" s="578"/>
      <c r="P2" s="578"/>
      <c r="Q2" s="51" t="s">
        <v>10</v>
      </c>
      <c r="R2" s="7"/>
      <c r="S2" s="198"/>
      <c r="T2" s="7"/>
      <c r="U2" s="7"/>
      <c r="V2" s="7"/>
      <c r="W2" s="7"/>
      <c r="X2" s="7"/>
      <c r="Y2" s="7"/>
    </row>
    <row r="3" spans="1:25" x14ac:dyDescent="0.2">
      <c r="A3" s="579" t="s">
        <v>424</v>
      </c>
      <c r="B3" s="579"/>
      <c r="C3" s="579"/>
      <c r="D3" s="579"/>
      <c r="E3" s="579"/>
      <c r="F3" s="579"/>
      <c r="G3" s="579"/>
      <c r="H3" s="579"/>
      <c r="I3" s="579"/>
      <c r="J3" s="579"/>
      <c r="K3" s="579"/>
      <c r="L3" s="579"/>
      <c r="M3" s="579"/>
      <c r="N3" s="579"/>
      <c r="O3" s="579"/>
      <c r="P3" s="579"/>
      <c r="Q3" s="51" t="s">
        <v>10</v>
      </c>
      <c r="R3" s="163"/>
      <c r="S3" s="198"/>
      <c r="T3" s="163"/>
      <c r="U3" s="163"/>
      <c r="V3" s="163"/>
      <c r="W3" s="163"/>
      <c r="X3" s="163"/>
      <c r="Y3" s="163"/>
    </row>
    <row r="4" spans="1:25" x14ac:dyDescent="0.2">
      <c r="A4" s="608" t="s">
        <v>1</v>
      </c>
      <c r="B4" s="608"/>
      <c r="C4" s="608"/>
      <c r="D4" s="608"/>
      <c r="E4" s="608"/>
      <c r="F4" s="608"/>
      <c r="G4" s="608"/>
      <c r="H4" s="608"/>
      <c r="I4" s="608"/>
      <c r="J4" s="608"/>
      <c r="K4" s="608"/>
      <c r="L4" s="608"/>
      <c r="M4" s="608"/>
      <c r="N4" s="608"/>
      <c r="O4" s="608"/>
      <c r="P4" s="608"/>
      <c r="Q4" s="51" t="s">
        <v>10</v>
      </c>
      <c r="R4" s="162"/>
      <c r="S4" s="198"/>
      <c r="T4" s="162"/>
      <c r="U4" s="162"/>
      <c r="V4" s="162"/>
      <c r="W4" s="162"/>
      <c r="X4" s="162"/>
      <c r="Y4" s="162"/>
    </row>
    <row r="5" spans="1:25" ht="15" x14ac:dyDescent="0.25">
      <c r="A5" s="162"/>
      <c r="B5" s="162"/>
      <c r="C5" s="162"/>
      <c r="D5" s="162"/>
      <c r="E5" s="162"/>
      <c r="F5" s="162"/>
      <c r="G5" s="162"/>
      <c r="H5" s="162"/>
      <c r="I5" s="162"/>
      <c r="J5" s="162"/>
      <c r="K5" s="162"/>
      <c r="L5" s="162"/>
      <c r="M5" s="162"/>
      <c r="N5" s="162"/>
      <c r="O5" s="162"/>
      <c r="P5" s="162"/>
      <c r="Q5" s="51" t="s">
        <v>10</v>
      </c>
      <c r="R5" s="162"/>
      <c r="S5" s="241"/>
      <c r="T5" s="162"/>
      <c r="U5" s="162"/>
      <c r="V5" s="162"/>
      <c r="W5" s="162"/>
      <c r="X5" s="162"/>
      <c r="Y5" s="162"/>
    </row>
    <row r="6" spans="1:25" ht="15" thickBot="1" x14ac:dyDescent="0.25">
      <c r="A6" s="287"/>
      <c r="B6" s="287"/>
      <c r="C6" s="287"/>
      <c r="D6" s="287"/>
      <c r="E6" s="287"/>
      <c r="F6" s="287"/>
      <c r="G6" s="287"/>
      <c r="H6" s="287"/>
      <c r="I6" s="287"/>
      <c r="J6" s="287"/>
      <c r="K6" s="287"/>
      <c r="L6" s="287"/>
      <c r="M6" s="287"/>
      <c r="N6" s="287"/>
      <c r="O6" s="287"/>
      <c r="P6" s="276"/>
      <c r="Q6" s="51" t="s">
        <v>10</v>
      </c>
      <c r="R6" s="162"/>
      <c r="S6" s="162"/>
      <c r="T6" s="162"/>
      <c r="U6" s="162"/>
      <c r="V6" s="162"/>
      <c r="W6" s="162"/>
      <c r="X6" s="162"/>
      <c r="Y6" s="162"/>
    </row>
    <row r="7" spans="1:25" ht="47.25" customHeight="1" x14ac:dyDescent="0.25">
      <c r="A7" s="585" t="s">
        <v>101</v>
      </c>
      <c r="B7" s="588" t="s">
        <v>150</v>
      </c>
      <c r="C7" s="588"/>
      <c r="D7" s="588"/>
      <c r="E7" s="588" t="s">
        <v>132</v>
      </c>
      <c r="F7" s="618"/>
      <c r="G7" s="619"/>
      <c r="H7" s="588" t="s">
        <v>27</v>
      </c>
      <c r="I7" s="588"/>
      <c r="J7" s="588"/>
      <c r="K7" s="180" t="s">
        <v>28</v>
      </c>
      <c r="L7" s="180" t="s">
        <v>104</v>
      </c>
      <c r="M7" s="588" t="s">
        <v>135</v>
      </c>
      <c r="N7" s="588"/>
      <c r="O7" s="589"/>
      <c r="P7" s="51" t="s">
        <v>10</v>
      </c>
      <c r="Q7" s="143"/>
      <c r="R7" s="5"/>
    </row>
    <row r="8" spans="1:25" ht="28.5" x14ac:dyDescent="0.25">
      <c r="A8" s="586"/>
      <c r="B8" s="235" t="s">
        <v>2</v>
      </c>
      <c r="C8" s="235" t="s">
        <v>96</v>
      </c>
      <c r="D8" s="235" t="s">
        <v>3</v>
      </c>
      <c r="E8" s="235" t="s">
        <v>2</v>
      </c>
      <c r="F8" s="235" t="s">
        <v>95</v>
      </c>
      <c r="G8" s="235" t="s">
        <v>3</v>
      </c>
      <c r="H8" s="235" t="s">
        <v>2</v>
      </c>
      <c r="I8" s="235" t="s">
        <v>96</v>
      </c>
      <c r="J8" s="235" t="s">
        <v>3</v>
      </c>
      <c r="K8" s="235" t="s">
        <v>3</v>
      </c>
      <c r="L8" s="235" t="s">
        <v>3</v>
      </c>
      <c r="M8" s="235" t="s">
        <v>2</v>
      </c>
      <c r="N8" s="235" t="s">
        <v>96</v>
      </c>
      <c r="O8" s="234" t="s">
        <v>3</v>
      </c>
      <c r="P8" s="51" t="s">
        <v>10</v>
      </c>
      <c r="Q8" s="143"/>
      <c r="R8" s="5"/>
    </row>
    <row r="9" spans="1:25" x14ac:dyDescent="0.2">
      <c r="A9" s="173" t="s">
        <v>427</v>
      </c>
      <c r="B9" s="217">
        <v>0</v>
      </c>
      <c r="C9" s="217">
        <v>0</v>
      </c>
      <c r="D9" s="217">
        <v>81000</v>
      </c>
      <c r="E9" s="217">
        <v>0</v>
      </c>
      <c r="F9" s="217">
        <v>0</v>
      </c>
      <c r="G9" s="216">
        <v>-72</v>
      </c>
      <c r="H9" s="217">
        <v>0</v>
      </c>
      <c r="I9" s="217">
        <v>0</v>
      </c>
      <c r="J9" s="217">
        <v>0</v>
      </c>
      <c r="K9" s="217">
        <v>0</v>
      </c>
      <c r="L9" s="217">
        <v>287</v>
      </c>
      <c r="M9" s="414">
        <f>B9+H9</f>
        <v>0</v>
      </c>
      <c r="N9" s="414">
        <f>C9+I9</f>
        <v>0</v>
      </c>
      <c r="O9" s="415">
        <f>D9+G9+J9+K9+L9</f>
        <v>81215</v>
      </c>
      <c r="P9" s="51" t="s">
        <v>10</v>
      </c>
      <c r="Q9" s="143"/>
      <c r="R9" s="284"/>
    </row>
    <row r="10" spans="1:25" x14ac:dyDescent="0.2">
      <c r="A10" s="207" t="s">
        <v>425</v>
      </c>
      <c r="B10" s="154">
        <v>0</v>
      </c>
      <c r="C10" s="154">
        <v>0</v>
      </c>
      <c r="D10" s="154">
        <v>16300</v>
      </c>
      <c r="E10" s="154">
        <v>0</v>
      </c>
      <c r="F10" s="154">
        <v>0</v>
      </c>
      <c r="G10" s="268">
        <v>0</v>
      </c>
      <c r="H10" s="154">
        <v>0</v>
      </c>
      <c r="I10" s="154">
        <v>0</v>
      </c>
      <c r="J10" s="154">
        <v>0</v>
      </c>
      <c r="K10" s="154">
        <v>12922</v>
      </c>
      <c r="L10" s="154">
        <v>0</v>
      </c>
      <c r="M10" s="154">
        <f>B10+H10</f>
        <v>0</v>
      </c>
      <c r="N10" s="154">
        <f>C10+I10</f>
        <v>0</v>
      </c>
      <c r="O10" s="151">
        <f>D10+J10+K10+L10</f>
        <v>29222</v>
      </c>
      <c r="P10" s="51" t="s">
        <v>10</v>
      </c>
      <c r="Q10" s="143"/>
      <c r="R10" s="284"/>
    </row>
    <row r="11" spans="1:25" ht="15" x14ac:dyDescent="0.25">
      <c r="A11" s="13" t="s">
        <v>98</v>
      </c>
      <c r="B11" s="118">
        <f t="shared" ref="B11:N11" si="0">SUM(B9:B10)</f>
        <v>0</v>
      </c>
      <c r="C11" s="118">
        <f t="shared" si="0"/>
        <v>0</v>
      </c>
      <c r="D11" s="118">
        <f t="shared" si="0"/>
        <v>97300</v>
      </c>
      <c r="E11" s="118">
        <f t="shared" si="0"/>
        <v>0</v>
      </c>
      <c r="F11" s="118">
        <f t="shared" si="0"/>
        <v>0</v>
      </c>
      <c r="G11" s="219">
        <f t="shared" si="0"/>
        <v>-72</v>
      </c>
      <c r="H11" s="118">
        <f t="shared" si="0"/>
        <v>0</v>
      </c>
      <c r="I11" s="118">
        <f t="shared" si="0"/>
        <v>0</v>
      </c>
      <c r="J11" s="118">
        <f t="shared" si="0"/>
        <v>0</v>
      </c>
      <c r="K11" s="118">
        <f t="shared" si="0"/>
        <v>12922</v>
      </c>
      <c r="L11" s="118">
        <f t="shared" si="0"/>
        <v>287</v>
      </c>
      <c r="M11" s="118">
        <f t="shared" si="0"/>
        <v>0</v>
      </c>
      <c r="N11" s="118">
        <f t="shared" si="0"/>
        <v>0</v>
      </c>
      <c r="O11" s="119">
        <f>D11+J11+K11+L11+G11</f>
        <v>110437</v>
      </c>
      <c r="P11" s="51" t="s">
        <v>10</v>
      </c>
      <c r="Q11" s="143"/>
      <c r="R11" s="5"/>
    </row>
    <row r="12" spans="1:25" x14ac:dyDescent="0.2">
      <c r="A12" s="290" t="s">
        <v>97</v>
      </c>
      <c r="B12" s="217"/>
      <c r="C12" s="217"/>
      <c r="D12" s="217">
        <v>0</v>
      </c>
      <c r="E12" s="209"/>
      <c r="F12" s="209">
        <v>0</v>
      </c>
      <c r="G12" s="209"/>
      <c r="H12" s="217"/>
      <c r="I12" s="217"/>
      <c r="J12" s="217"/>
      <c r="K12" s="217"/>
      <c r="L12" s="217"/>
      <c r="M12" s="414"/>
      <c r="N12" s="414"/>
      <c r="O12" s="415">
        <f>D12+J12+K12+L12</f>
        <v>0</v>
      </c>
      <c r="P12" s="51" t="s">
        <v>10</v>
      </c>
      <c r="Q12" s="143"/>
    </row>
    <row r="13" spans="1:25" ht="15" x14ac:dyDescent="0.25">
      <c r="A13" s="289" t="s">
        <v>111</v>
      </c>
      <c r="B13" s="213"/>
      <c r="C13" s="213"/>
      <c r="D13" s="213">
        <f t="shared" ref="D13:N13" si="1">SUM(D11:D12)</f>
        <v>97300</v>
      </c>
      <c r="E13" s="213">
        <f t="shared" si="1"/>
        <v>0</v>
      </c>
      <c r="F13" s="213">
        <f t="shared" si="1"/>
        <v>0</v>
      </c>
      <c r="G13" s="212">
        <f t="shared" si="1"/>
        <v>-72</v>
      </c>
      <c r="H13" s="213">
        <f t="shared" si="1"/>
        <v>0</v>
      </c>
      <c r="I13" s="213">
        <f t="shared" si="1"/>
        <v>0</v>
      </c>
      <c r="J13" s="213">
        <f t="shared" si="1"/>
        <v>0</v>
      </c>
      <c r="K13" s="213">
        <f t="shared" si="1"/>
        <v>12922</v>
      </c>
      <c r="L13" s="213">
        <f t="shared" si="1"/>
        <v>287</v>
      </c>
      <c r="M13" s="213">
        <f t="shared" si="1"/>
        <v>0</v>
      </c>
      <c r="N13" s="213">
        <f t="shared" si="1"/>
        <v>0</v>
      </c>
      <c r="O13" s="211">
        <f>D13+J13+K13+L13+G13</f>
        <v>110437</v>
      </c>
      <c r="P13" s="51" t="s">
        <v>10</v>
      </c>
      <c r="Q13" s="143"/>
      <c r="R13" s="240"/>
    </row>
    <row r="14" spans="1:25" x14ac:dyDescent="0.2">
      <c r="A14" s="210" t="s">
        <v>13</v>
      </c>
      <c r="B14" s="209"/>
      <c r="C14" s="209">
        <v>0</v>
      </c>
      <c r="D14" s="209"/>
      <c r="E14" s="154"/>
      <c r="F14" s="154"/>
      <c r="G14" s="154"/>
      <c r="H14" s="209"/>
      <c r="I14" s="209">
        <v>0</v>
      </c>
      <c r="J14" s="209"/>
      <c r="K14" s="209"/>
      <c r="L14" s="209"/>
      <c r="M14" s="209"/>
      <c r="N14" s="209">
        <f>C14+I14</f>
        <v>0</v>
      </c>
      <c r="O14" s="208"/>
      <c r="P14" s="51" t="s">
        <v>10</v>
      </c>
      <c r="Q14" s="143"/>
    </row>
    <row r="15" spans="1:25" x14ac:dyDescent="0.2">
      <c r="A15" s="207" t="s">
        <v>99</v>
      </c>
      <c r="B15" s="154"/>
      <c r="C15" s="154">
        <f>C11+C14</f>
        <v>0</v>
      </c>
      <c r="D15" s="154"/>
      <c r="E15" s="154"/>
      <c r="F15" s="154"/>
      <c r="G15" s="154"/>
      <c r="H15" s="154"/>
      <c r="I15" s="154">
        <f>I11+I14</f>
        <v>0</v>
      </c>
      <c r="J15" s="154"/>
      <c r="K15" s="154"/>
      <c r="L15" s="154"/>
      <c r="M15" s="154"/>
      <c r="N15" s="154">
        <f>N11+N14</f>
        <v>0</v>
      </c>
      <c r="O15" s="151"/>
      <c r="P15" s="51" t="s">
        <v>10</v>
      </c>
      <c r="Q15" s="143"/>
    </row>
    <row r="16" spans="1:25" x14ac:dyDescent="0.2">
      <c r="A16" s="207"/>
      <c r="B16" s="154"/>
      <c r="C16" s="154"/>
      <c r="D16" s="154"/>
      <c r="E16" s="154"/>
      <c r="F16" s="154">
        <v>0</v>
      </c>
      <c r="G16" s="154"/>
      <c r="H16" s="154"/>
      <c r="I16" s="154"/>
      <c r="J16" s="154"/>
      <c r="K16" s="154"/>
      <c r="L16" s="154"/>
      <c r="M16" s="154"/>
      <c r="N16" s="154"/>
      <c r="O16" s="151"/>
      <c r="P16" s="51" t="s">
        <v>10</v>
      </c>
      <c r="Q16" s="143"/>
    </row>
    <row r="17" spans="1:17" x14ac:dyDescent="0.2">
      <c r="A17" s="207" t="s">
        <v>14</v>
      </c>
      <c r="B17" s="154"/>
      <c r="C17" s="154"/>
      <c r="D17" s="154"/>
      <c r="E17" s="204"/>
      <c r="F17" s="204">
        <v>0</v>
      </c>
      <c r="G17" s="204"/>
      <c r="H17" s="154"/>
      <c r="I17" s="154"/>
      <c r="J17" s="154"/>
      <c r="K17" s="154"/>
      <c r="L17" s="154"/>
      <c r="M17" s="154"/>
      <c r="N17" s="154"/>
      <c r="O17" s="151"/>
      <c r="P17" s="51" t="s">
        <v>10</v>
      </c>
      <c r="Q17" s="143"/>
    </row>
    <row r="18" spans="1:17" x14ac:dyDescent="0.2">
      <c r="A18" s="206" t="s">
        <v>15</v>
      </c>
      <c r="B18" s="154"/>
      <c r="C18" s="154">
        <v>0</v>
      </c>
      <c r="D18" s="154"/>
      <c r="E18" s="154"/>
      <c r="F18" s="154">
        <f>F13+F16+F17</f>
        <v>0</v>
      </c>
      <c r="G18" s="154"/>
      <c r="H18" s="154"/>
      <c r="I18" s="154">
        <v>0</v>
      </c>
      <c r="J18" s="154"/>
      <c r="K18" s="154">
        <v>0</v>
      </c>
      <c r="L18" s="154"/>
      <c r="M18" s="154"/>
      <c r="N18" s="154">
        <f>C18+I18</f>
        <v>0</v>
      </c>
      <c r="O18" s="151"/>
      <c r="P18" s="51" t="s">
        <v>10</v>
      </c>
      <c r="Q18" s="143"/>
    </row>
    <row r="19" spans="1:17" x14ac:dyDescent="0.2">
      <c r="A19" s="205" t="s">
        <v>16</v>
      </c>
      <c r="B19" s="204"/>
      <c r="C19" s="204">
        <v>0</v>
      </c>
      <c r="D19" s="204"/>
      <c r="E19" s="204"/>
      <c r="F19" s="204"/>
      <c r="G19" s="204"/>
      <c r="H19" s="204"/>
      <c r="I19" s="204">
        <v>0</v>
      </c>
      <c r="J19" s="204"/>
      <c r="K19" s="204">
        <v>0</v>
      </c>
      <c r="L19" s="204"/>
      <c r="M19" s="204"/>
      <c r="N19" s="204">
        <f>C19+I19</f>
        <v>0</v>
      </c>
      <c r="O19" s="203"/>
      <c r="P19" s="51" t="s">
        <v>10</v>
      </c>
      <c r="Q19" s="143"/>
    </row>
    <row r="20" spans="1:17" ht="15" thickBot="1" x14ac:dyDescent="0.25">
      <c r="A20" s="202" t="s">
        <v>100</v>
      </c>
      <c r="B20" s="201"/>
      <c r="C20" s="201">
        <f>C15+C18+C19</f>
        <v>0</v>
      </c>
      <c r="D20" s="201"/>
      <c r="E20" s="201"/>
      <c r="F20" s="201"/>
      <c r="G20" s="201"/>
      <c r="H20" s="201"/>
      <c r="I20" s="201">
        <f>I15+I18+I19</f>
        <v>0</v>
      </c>
      <c r="J20" s="201"/>
      <c r="K20" s="201">
        <f>K15+K18+K19</f>
        <v>0</v>
      </c>
      <c r="L20" s="201"/>
      <c r="M20" s="201"/>
      <c r="N20" s="201">
        <f>SUM(N15,N18:N19)</f>
        <v>0</v>
      </c>
      <c r="O20" s="200"/>
      <c r="P20" s="51" t="s">
        <v>10</v>
      </c>
      <c r="Q20" s="143"/>
    </row>
    <row r="21" spans="1:17" x14ac:dyDescent="0.2">
      <c r="P21" s="51" t="s">
        <v>10</v>
      </c>
    </row>
    <row r="22" spans="1:17" x14ac:dyDescent="0.2">
      <c r="P22" s="51" t="s">
        <v>10</v>
      </c>
    </row>
    <row r="23" spans="1:17" ht="15" x14ac:dyDescent="0.25">
      <c r="A23" s="5" t="s">
        <v>27</v>
      </c>
      <c r="P23" s="51" t="s">
        <v>10</v>
      </c>
    </row>
    <row r="24" spans="1:17" x14ac:dyDescent="0.2">
      <c r="A24" s="176"/>
      <c r="B24" s="176"/>
      <c r="C24" s="176"/>
      <c r="D24" s="176"/>
      <c r="E24" s="176"/>
      <c r="F24" s="176"/>
      <c r="G24" s="176"/>
      <c r="H24" s="176"/>
      <c r="I24" s="176"/>
      <c r="J24" s="176"/>
      <c r="K24" s="176"/>
      <c r="L24" s="176"/>
      <c r="M24" s="176"/>
      <c r="N24" s="176"/>
      <c r="O24" s="176"/>
      <c r="P24" s="51" t="s">
        <v>10</v>
      </c>
    </row>
    <row r="25" spans="1:17" x14ac:dyDescent="0.2">
      <c r="A25" s="176"/>
      <c r="B25" s="176"/>
      <c r="C25" s="176"/>
      <c r="D25" s="176"/>
      <c r="H25" s="176"/>
      <c r="I25" s="176"/>
      <c r="J25" s="176"/>
      <c r="K25" s="176"/>
      <c r="L25" s="176"/>
      <c r="M25" s="176"/>
      <c r="N25" s="176"/>
      <c r="O25" s="176"/>
      <c r="P25" s="51" t="s">
        <v>10</v>
      </c>
    </row>
    <row r="26" spans="1:17" ht="15" x14ac:dyDescent="0.25">
      <c r="A26" s="5" t="s">
        <v>113</v>
      </c>
      <c r="P26" s="51" t="s">
        <v>10</v>
      </c>
    </row>
    <row r="27" spans="1:17" x14ac:dyDescent="0.2">
      <c r="A27" s="176" t="s">
        <v>470</v>
      </c>
      <c r="B27" s="176"/>
      <c r="C27" s="176"/>
      <c r="D27" s="176"/>
      <c r="E27" s="176"/>
      <c r="F27" s="176"/>
      <c r="G27" s="176"/>
      <c r="H27" s="356"/>
      <c r="I27" s="356"/>
      <c r="J27" s="356"/>
      <c r="K27" s="176"/>
      <c r="L27" s="176"/>
      <c r="M27" s="176"/>
      <c r="N27" s="176"/>
      <c r="O27" s="176"/>
      <c r="P27" s="51" t="s">
        <v>10</v>
      </c>
    </row>
    <row r="28" spans="1:17" x14ac:dyDescent="0.2">
      <c r="A28" s="288"/>
      <c r="B28" s="288"/>
      <c r="C28" s="288"/>
      <c r="D28" s="288"/>
      <c r="H28" s="421"/>
      <c r="I28" s="277"/>
      <c r="J28" s="421"/>
      <c r="K28" s="288"/>
      <c r="L28" s="288"/>
      <c r="M28" s="288"/>
      <c r="N28" s="288"/>
      <c r="O28" s="288"/>
      <c r="P28" s="51" t="s">
        <v>10</v>
      </c>
    </row>
    <row r="29" spans="1:17" ht="15" x14ac:dyDescent="0.25">
      <c r="A29" s="5" t="s">
        <v>114</v>
      </c>
      <c r="H29" s="247"/>
      <c r="I29" s="277"/>
      <c r="J29" s="247"/>
      <c r="P29" s="51" t="s">
        <v>10</v>
      </c>
    </row>
    <row r="30" spans="1:17" x14ac:dyDescent="0.2">
      <c r="A30" s="176" t="s">
        <v>428</v>
      </c>
      <c r="B30" s="176"/>
      <c r="C30" s="176"/>
      <c r="D30" s="176"/>
      <c r="E30" s="176"/>
      <c r="F30" s="176"/>
      <c r="G30" s="176"/>
      <c r="H30" s="356"/>
      <c r="I30" s="356"/>
      <c r="J30" s="356"/>
      <c r="K30" s="176"/>
      <c r="L30" s="176"/>
      <c r="M30" s="176"/>
      <c r="N30" s="176"/>
      <c r="O30" s="176"/>
      <c r="P30" s="51" t="s">
        <v>10</v>
      </c>
    </row>
    <row r="31" spans="1:17" x14ac:dyDescent="0.2">
      <c r="P31" s="4" t="s">
        <v>11</v>
      </c>
    </row>
    <row r="32" spans="1:17" x14ac:dyDescent="0.2">
      <c r="P32" s="4"/>
      <c r="Q32" s="51"/>
    </row>
  </sheetData>
  <customSheetViews>
    <customSheetView guid="{EE916FE7-61FB-4021-ADDD-E082241FC03C}" scale="80" showPageBreaks="1" printArea="1" view="pageBreakPreview">
      <selection activeCell="D47" sqref="D47"/>
      <pageMargins left="0.7" right="0.7" top="0.66" bottom="0.66" header="0.3" footer="0.3"/>
      <printOptions horizontalCentered="1"/>
      <pageSetup scale="67" orientation="landscape" r:id="rId1"/>
      <headerFooter>
        <oddHeader>&amp;L&amp;"Arial,Bold"&amp;12G. Crosswalk of 2014 Availability</oddHeader>
        <oddFooter>&amp;C&amp;"Arial,Regular"Exhibit G - Crosswalk of 2014 Availability&amp;R&amp;"Arial,Regular"Public Safety Officers Benefits</oddFooter>
      </headerFooter>
    </customSheetView>
    <customSheetView guid="{0BB5DC4B-BC2A-4489-BE17-5E267FA1EF63}" scale="80" showPageBreaks="1" printArea="1" view="pageBreakPreview">
      <selection activeCell="D47" sqref="D47"/>
      <pageMargins left="0.7" right="0.7" top="0.66" bottom="0.66" header="0.3" footer="0.3"/>
      <printOptions horizontalCentered="1"/>
      <pageSetup scale="67" orientation="landscape" r:id="rId2"/>
      <headerFooter>
        <oddHeader>&amp;L&amp;"Arial,Bold"&amp;12G. Crosswalk of 2014 Availability</oddHeader>
        <oddFooter>&amp;C&amp;"Arial,Regular"Exhibit G - Crosswalk of 2014 Availability&amp;R&amp;"Arial,Regular"Public Safety Officers Benefits</oddFooter>
      </headerFooter>
    </customSheetView>
    <customSheetView guid="{6C58FFE1-D756-42C4-A1BC-AA7F1DC1E56F}" scale="80" showPageBreaks="1" printArea="1" view="pageBreakPreview">
      <selection activeCell="D47" sqref="D47"/>
      <pageMargins left="0.7" right="0.7" top="0.66" bottom="0.66" header="0.3" footer="0.3"/>
      <printOptions horizontalCentered="1"/>
      <pageSetup scale="60" orientation="landscape" r:id="rId3"/>
      <headerFooter>
        <oddHeader>&amp;L&amp;"Arial,Bold"&amp;12G. Crosswalk of 2014 Availability</oddHeader>
        <oddFooter>&amp;C&amp;"Arial,Regular"Exhibit G - Crosswalk of 2014 Availability&amp;R&amp;"Arial,Regular"Public Safety Officers Benefits</oddFooter>
      </headerFooter>
    </customSheetView>
    <customSheetView guid="{CFA5D1C9-F4C9-4B8D-923D-4C71CB6E7D3B}" scale="80" showPageBreaks="1" printArea="1" view="pageBreakPreview">
      <selection activeCell="D47" sqref="D47"/>
      <pageMargins left="0.7" right="0.7" top="0.66" bottom="0.66" header="0.3" footer="0.3"/>
      <printOptions horizontalCentered="1"/>
      <pageSetup scale="67" orientation="landscape" r:id="rId4"/>
      <headerFooter>
        <oddHeader>&amp;L&amp;"Arial,Bold"&amp;12G. Crosswalk of 2014 Availability</oddHeader>
        <oddFooter>&amp;C&amp;"Arial,Regular"Exhibit G - Crosswalk of 2014 Availability&amp;R&amp;"Arial,Regular"Public Safety Officers Benefits</oddFooter>
      </headerFooter>
    </customSheetView>
    <customSheetView guid="{A788DF77-74F1-49E4-8B34-BFBDB7664F30}" scale="80" showPageBreaks="1" printArea="1" view="pageBreakPreview">
      <selection activeCell="K10" sqref="K10"/>
      <pageMargins left="0.7" right="0.7" top="0.66" bottom="0.66" header="0.3" footer="0.3"/>
      <printOptions horizontalCentered="1"/>
      <pageSetup scale="60" orientation="landscape" r:id="rId5"/>
      <headerFooter>
        <oddHeader>&amp;L&amp;"Arial,Bold"&amp;12G. Crosswalk of 2014 Availability</oddHeader>
        <oddFooter>&amp;C&amp;"Arial,Regular"Exhibit G - Crosswalk of 2014 Availability&amp;R&amp;"Arial,Regular"Public Safety Officers Benefits</oddFooter>
      </headerFooter>
    </customSheetView>
  </customSheetViews>
  <mergeCells count="9">
    <mergeCell ref="A1:P1"/>
    <mergeCell ref="A2:P2"/>
    <mergeCell ref="A3:P3"/>
    <mergeCell ref="A4:P4"/>
    <mergeCell ref="A7:A8"/>
    <mergeCell ref="B7:D7"/>
    <mergeCell ref="H7:J7"/>
    <mergeCell ref="M7:O7"/>
    <mergeCell ref="E7:G7"/>
  </mergeCells>
  <printOptions horizontalCentered="1"/>
  <pageMargins left="0.7" right="0.7" top="0.66" bottom="0.66" header="0.3" footer="0.3"/>
  <pageSetup scale="60" orientation="landscape" r:id="rId6"/>
  <headerFooter>
    <oddHeader>&amp;L&amp;"Arial,Bold"&amp;12G. Crosswalk of 2014 Availability</oddHeader>
    <oddFooter>&amp;C&amp;"Arial,Regular"Exhibit G - Crosswalk of 2014 Availability&amp;R&amp;"Arial,Regular"Public Safety Officers Benefits</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view="pageBreakPreview" zoomScale="90" zoomScaleNormal="100" zoomScaleSheetLayoutView="90" workbookViewId="0">
      <pane xSplit="1" ySplit="7" topLeftCell="B29" activePane="bottomRight" state="frozen"/>
      <selection pane="topRight" activeCell="B1" sqref="B1"/>
      <selection pane="bottomLeft" activeCell="A8" sqref="A8"/>
      <selection pane="bottomRight" activeCell="H22" sqref="H22"/>
    </sheetView>
  </sheetViews>
  <sheetFormatPr defaultRowHeight="14.25" x14ac:dyDescent="0.2"/>
  <cols>
    <col min="1" max="1" width="86.5703125" style="143" customWidth="1"/>
    <col min="2" max="2" width="8.28515625" style="143" customWidth="1"/>
    <col min="3" max="3" width="12.7109375" style="143" customWidth="1"/>
    <col min="4" max="4" width="8.28515625" style="143" customWidth="1"/>
    <col min="5" max="5" width="12.7109375" style="143" customWidth="1"/>
    <col min="6" max="6" width="8.28515625" style="143" customWidth="1"/>
    <col min="7" max="7" width="12.7109375" style="143" customWidth="1"/>
    <col min="8" max="8" width="8.28515625" style="143" customWidth="1"/>
    <col min="9" max="9" width="12.7109375" style="143" customWidth="1"/>
    <col min="10" max="10" width="14" style="4" bestFit="1" customWidth="1"/>
    <col min="11" max="11" width="4.5703125" style="143" customWidth="1"/>
    <col min="12" max="12" width="116.7109375" style="257" customWidth="1"/>
    <col min="13" max="14" width="8.28515625" style="143" customWidth="1"/>
    <col min="15" max="15" width="12.7109375" style="143" customWidth="1"/>
    <col min="16" max="17" width="8.28515625" style="143" customWidth="1"/>
    <col min="18" max="18" width="12.7109375" style="143" customWidth="1"/>
    <col min="19" max="16384" width="9.140625" style="143"/>
  </cols>
  <sheetData>
    <row r="1" spans="1:18" ht="18" x14ac:dyDescent="0.25">
      <c r="A1" s="577" t="s">
        <v>59</v>
      </c>
      <c r="B1" s="577"/>
      <c r="C1" s="577"/>
      <c r="D1" s="577"/>
      <c r="E1" s="577"/>
      <c r="F1" s="577"/>
      <c r="G1" s="577"/>
      <c r="H1" s="577"/>
      <c r="I1" s="577"/>
      <c r="J1" s="51" t="s">
        <v>10</v>
      </c>
      <c r="K1" s="6"/>
      <c r="L1" s="199"/>
      <c r="M1" s="6"/>
      <c r="N1" s="6"/>
      <c r="O1" s="6"/>
      <c r="P1" s="6"/>
      <c r="Q1" s="6"/>
      <c r="R1" s="6"/>
    </row>
    <row r="2" spans="1:18" ht="15" x14ac:dyDescent="0.2">
      <c r="A2" s="578" t="s">
        <v>152</v>
      </c>
      <c r="B2" s="578"/>
      <c r="C2" s="578"/>
      <c r="D2" s="578"/>
      <c r="E2" s="578"/>
      <c r="F2" s="578"/>
      <c r="G2" s="578"/>
      <c r="H2" s="578"/>
      <c r="I2" s="578"/>
      <c r="J2" s="51" t="s">
        <v>10</v>
      </c>
      <c r="K2" s="7"/>
      <c r="L2" s="198"/>
      <c r="M2" s="7"/>
      <c r="N2" s="7"/>
      <c r="O2" s="7"/>
      <c r="P2" s="7"/>
      <c r="Q2" s="7"/>
      <c r="R2" s="7"/>
    </row>
    <row r="3" spans="1:18" x14ac:dyDescent="0.2">
      <c r="A3" s="579" t="s">
        <v>424</v>
      </c>
      <c r="B3" s="579"/>
      <c r="C3" s="579"/>
      <c r="D3" s="579"/>
      <c r="E3" s="579"/>
      <c r="F3" s="579"/>
      <c r="G3" s="579"/>
      <c r="H3" s="579"/>
      <c r="I3" s="579"/>
      <c r="J3" s="51" t="s">
        <v>10</v>
      </c>
      <c r="K3" s="163"/>
      <c r="L3" s="198"/>
      <c r="M3" s="163"/>
      <c r="N3" s="163"/>
      <c r="O3" s="163"/>
      <c r="P3" s="163"/>
      <c r="Q3" s="163"/>
      <c r="R3" s="163"/>
    </row>
    <row r="4" spans="1:18" x14ac:dyDescent="0.2">
      <c r="A4" s="608" t="s">
        <v>1</v>
      </c>
      <c r="B4" s="608"/>
      <c r="C4" s="608"/>
      <c r="D4" s="608"/>
      <c r="E4" s="608"/>
      <c r="F4" s="608"/>
      <c r="G4" s="608"/>
      <c r="H4" s="608"/>
      <c r="I4" s="608"/>
      <c r="J4" s="51" t="s">
        <v>10</v>
      </c>
      <c r="K4" s="162"/>
      <c r="L4" s="198"/>
      <c r="M4" s="162"/>
      <c r="N4" s="162"/>
      <c r="O4" s="162"/>
      <c r="P4" s="162"/>
      <c r="Q4" s="162"/>
      <c r="R4" s="162"/>
    </row>
    <row r="5" spans="1:18" ht="15.75" thickBot="1" x14ac:dyDescent="0.3">
      <c r="A5" s="608"/>
      <c r="B5" s="608"/>
      <c r="C5" s="608"/>
      <c r="D5" s="608"/>
      <c r="E5" s="608"/>
      <c r="F5" s="608"/>
      <c r="G5" s="608"/>
      <c r="H5" s="608"/>
      <c r="I5" s="608"/>
      <c r="J5" s="51" t="s">
        <v>10</v>
      </c>
      <c r="K5" s="162"/>
      <c r="L5" s="241"/>
      <c r="M5" s="162"/>
      <c r="N5" s="162"/>
      <c r="O5" s="162"/>
      <c r="P5" s="162"/>
      <c r="Q5" s="162"/>
      <c r="R5" s="162"/>
    </row>
    <row r="6" spans="1:18" ht="15" x14ac:dyDescent="0.2">
      <c r="A6" s="585" t="s">
        <v>60</v>
      </c>
      <c r="B6" s="588" t="s">
        <v>133</v>
      </c>
      <c r="C6" s="588"/>
      <c r="D6" s="588" t="s">
        <v>135</v>
      </c>
      <c r="E6" s="588"/>
      <c r="F6" s="588" t="s">
        <v>130</v>
      </c>
      <c r="G6" s="588"/>
      <c r="H6" s="588" t="s">
        <v>31</v>
      </c>
      <c r="I6" s="589"/>
      <c r="J6" s="51" t="s">
        <v>10</v>
      </c>
      <c r="L6" s="302"/>
    </row>
    <row r="7" spans="1:18" ht="28.5" x14ac:dyDescent="0.2">
      <c r="A7" s="586"/>
      <c r="B7" s="235" t="s">
        <v>17</v>
      </c>
      <c r="C7" s="235" t="s">
        <v>3</v>
      </c>
      <c r="D7" s="235" t="s">
        <v>17</v>
      </c>
      <c r="E7" s="235" t="s">
        <v>3</v>
      </c>
      <c r="F7" s="235" t="s">
        <v>17</v>
      </c>
      <c r="G7" s="235" t="s">
        <v>3</v>
      </c>
      <c r="H7" s="235" t="s">
        <v>17</v>
      </c>
      <c r="I7" s="234" t="s">
        <v>3</v>
      </c>
      <c r="J7" s="51" t="s">
        <v>10</v>
      </c>
      <c r="L7" s="306"/>
    </row>
    <row r="8" spans="1:18" x14ac:dyDescent="0.2">
      <c r="A8" s="218" t="s">
        <v>61</v>
      </c>
      <c r="B8" s="217">
        <v>0</v>
      </c>
      <c r="C8" s="217">
        <v>0</v>
      </c>
      <c r="D8" s="217">
        <v>0</v>
      </c>
      <c r="E8" s="217">
        <v>0</v>
      </c>
      <c r="F8" s="217">
        <v>0</v>
      </c>
      <c r="G8" s="217">
        <v>0</v>
      </c>
      <c r="H8" s="217">
        <f t="shared" ref="H8:I13" si="0">F8-D8</f>
        <v>0</v>
      </c>
      <c r="I8" s="286">
        <f t="shared" si="0"/>
        <v>0</v>
      </c>
      <c r="J8" s="51" t="s">
        <v>10</v>
      </c>
      <c r="L8" s="302"/>
    </row>
    <row r="9" spans="1:18" x14ac:dyDescent="0.2">
      <c r="A9" s="142" t="s">
        <v>62</v>
      </c>
      <c r="B9" s="154">
        <v>0</v>
      </c>
      <c r="C9" s="154">
        <v>0</v>
      </c>
      <c r="D9" s="154">
        <v>0</v>
      </c>
      <c r="E9" s="154">
        <v>0</v>
      </c>
      <c r="F9" s="154">
        <v>0</v>
      </c>
      <c r="G9" s="154">
        <v>0</v>
      </c>
      <c r="H9" s="154">
        <f t="shared" si="0"/>
        <v>0</v>
      </c>
      <c r="I9" s="151">
        <f t="shared" si="0"/>
        <v>0</v>
      </c>
      <c r="J9" s="51" t="s">
        <v>10</v>
      </c>
    </row>
    <row r="10" spans="1:18" x14ac:dyDescent="0.2">
      <c r="A10" s="142" t="s">
        <v>106</v>
      </c>
      <c r="B10" s="154">
        <f t="shared" ref="B10:G10" si="1">SUM(B11:B12)</f>
        <v>0</v>
      </c>
      <c r="C10" s="154">
        <f t="shared" si="1"/>
        <v>0</v>
      </c>
      <c r="D10" s="154">
        <f t="shared" si="1"/>
        <v>0</v>
      </c>
      <c r="E10" s="154">
        <f t="shared" si="1"/>
        <v>0</v>
      </c>
      <c r="F10" s="154">
        <f t="shared" si="1"/>
        <v>0</v>
      </c>
      <c r="G10" s="154">
        <f t="shared" si="1"/>
        <v>0</v>
      </c>
      <c r="H10" s="154">
        <f t="shared" si="0"/>
        <v>0</v>
      </c>
      <c r="I10" s="151">
        <f t="shared" si="0"/>
        <v>0</v>
      </c>
      <c r="J10" s="51" t="s">
        <v>10</v>
      </c>
    </row>
    <row r="11" spans="1:18" x14ac:dyDescent="0.2">
      <c r="A11" s="62" t="s">
        <v>16</v>
      </c>
      <c r="B11" s="134">
        <v>0</v>
      </c>
      <c r="C11" s="134">
        <v>0</v>
      </c>
      <c r="D11" s="134">
        <v>0</v>
      </c>
      <c r="E11" s="134">
        <v>0</v>
      </c>
      <c r="F11" s="134">
        <v>0</v>
      </c>
      <c r="G11" s="134">
        <v>0</v>
      </c>
      <c r="H11" s="134">
        <f t="shared" si="0"/>
        <v>0</v>
      </c>
      <c r="I11" s="135">
        <f t="shared" si="0"/>
        <v>0</v>
      </c>
      <c r="J11" s="51" t="s">
        <v>10</v>
      </c>
    </row>
    <row r="12" spans="1:18" x14ac:dyDescent="0.2">
      <c r="A12" s="62" t="s">
        <v>63</v>
      </c>
      <c r="B12" s="134">
        <v>0</v>
      </c>
      <c r="C12" s="134">
        <v>0</v>
      </c>
      <c r="D12" s="134">
        <v>0</v>
      </c>
      <c r="E12" s="134">
        <v>0</v>
      </c>
      <c r="F12" s="134">
        <v>0</v>
      </c>
      <c r="G12" s="134">
        <v>0</v>
      </c>
      <c r="H12" s="134">
        <f t="shared" si="0"/>
        <v>0</v>
      </c>
      <c r="I12" s="135">
        <f t="shared" si="0"/>
        <v>0</v>
      </c>
      <c r="J12" s="51" t="s">
        <v>10</v>
      </c>
    </row>
    <row r="13" spans="1:18" x14ac:dyDescent="0.2">
      <c r="A13" s="142" t="s">
        <v>64</v>
      </c>
      <c r="B13" s="213">
        <v>0</v>
      </c>
      <c r="C13" s="213">
        <v>0</v>
      </c>
      <c r="D13" s="213">
        <v>0</v>
      </c>
      <c r="E13" s="213">
        <v>0</v>
      </c>
      <c r="F13" s="213">
        <v>0</v>
      </c>
      <c r="G13" s="213">
        <v>0</v>
      </c>
      <c r="H13" s="213">
        <f t="shared" si="0"/>
        <v>0</v>
      </c>
      <c r="I13" s="211">
        <f t="shared" si="0"/>
        <v>0</v>
      </c>
      <c r="J13" s="51" t="s">
        <v>10</v>
      </c>
    </row>
    <row r="14" spans="1:18" ht="15" x14ac:dyDescent="0.25">
      <c r="A14" s="64" t="s">
        <v>12</v>
      </c>
      <c r="B14" s="105">
        <f t="shared" ref="B14:I14" si="2">SUM(B8:B10,B13)</f>
        <v>0</v>
      </c>
      <c r="C14" s="105">
        <f t="shared" si="2"/>
        <v>0</v>
      </c>
      <c r="D14" s="105">
        <f t="shared" si="2"/>
        <v>0</v>
      </c>
      <c r="E14" s="105">
        <f t="shared" si="2"/>
        <v>0</v>
      </c>
      <c r="F14" s="105">
        <f t="shared" si="2"/>
        <v>0</v>
      </c>
      <c r="G14" s="105">
        <f t="shared" si="2"/>
        <v>0</v>
      </c>
      <c r="H14" s="105">
        <f t="shared" si="2"/>
        <v>0</v>
      </c>
      <c r="I14" s="109">
        <f t="shared" si="2"/>
        <v>0</v>
      </c>
      <c r="J14" s="51" t="s">
        <v>10</v>
      </c>
    </row>
    <row r="15" spans="1:18" ht="15" x14ac:dyDescent="0.25">
      <c r="A15" s="63" t="s">
        <v>65</v>
      </c>
      <c r="B15" s="154"/>
      <c r="C15" s="154"/>
      <c r="D15" s="154"/>
      <c r="E15" s="154"/>
      <c r="F15" s="154"/>
      <c r="G15" s="154"/>
      <c r="H15" s="154"/>
      <c r="I15" s="151"/>
      <c r="J15" s="51" t="s">
        <v>10</v>
      </c>
    </row>
    <row r="16" spans="1:18" x14ac:dyDescent="0.2">
      <c r="A16" s="142" t="s">
        <v>66</v>
      </c>
      <c r="B16" s="154">
        <v>0</v>
      </c>
      <c r="C16" s="154">
        <v>0</v>
      </c>
      <c r="D16" s="154">
        <v>0</v>
      </c>
      <c r="E16" s="154">
        <v>0</v>
      </c>
      <c r="F16" s="154">
        <v>0</v>
      </c>
      <c r="G16" s="154">
        <v>0</v>
      </c>
      <c r="H16" s="154">
        <v>0</v>
      </c>
      <c r="I16" s="151">
        <f t="shared" ref="I16:I36" si="3">G16-E16</f>
        <v>0</v>
      </c>
      <c r="J16" s="51" t="s">
        <v>10</v>
      </c>
    </row>
    <row r="17" spans="1:10" x14ac:dyDescent="0.2">
      <c r="A17" s="142" t="s">
        <v>67</v>
      </c>
      <c r="B17" s="154">
        <v>0</v>
      </c>
      <c r="C17" s="154">
        <v>0</v>
      </c>
      <c r="D17" s="154">
        <v>0</v>
      </c>
      <c r="E17" s="154">
        <v>0</v>
      </c>
      <c r="F17" s="154">
        <v>0</v>
      </c>
      <c r="G17" s="154">
        <v>0</v>
      </c>
      <c r="H17" s="154">
        <v>0</v>
      </c>
      <c r="I17" s="151">
        <f t="shared" si="3"/>
        <v>0</v>
      </c>
      <c r="J17" s="51" t="s">
        <v>10</v>
      </c>
    </row>
    <row r="18" spans="1:10" x14ac:dyDescent="0.2">
      <c r="A18" s="142" t="s">
        <v>68</v>
      </c>
      <c r="B18" s="154">
        <v>0</v>
      </c>
      <c r="C18" s="154">
        <v>0</v>
      </c>
      <c r="D18" s="154">
        <v>0</v>
      </c>
      <c r="E18" s="154">
        <v>0</v>
      </c>
      <c r="F18" s="154">
        <v>0</v>
      </c>
      <c r="G18" s="154">
        <v>0</v>
      </c>
      <c r="H18" s="154">
        <v>0</v>
      </c>
      <c r="I18" s="151">
        <f t="shared" si="3"/>
        <v>0</v>
      </c>
      <c r="J18" s="51" t="s">
        <v>10</v>
      </c>
    </row>
    <row r="19" spans="1:10" x14ac:dyDescent="0.2">
      <c r="A19" s="142" t="s">
        <v>107</v>
      </c>
      <c r="B19" s="154">
        <v>0</v>
      </c>
      <c r="C19" s="154">
        <v>0</v>
      </c>
      <c r="D19" s="154">
        <v>0</v>
      </c>
      <c r="E19" s="154">
        <v>0</v>
      </c>
      <c r="F19" s="154">
        <v>0</v>
      </c>
      <c r="G19" s="154">
        <v>0</v>
      </c>
      <c r="H19" s="154">
        <v>0</v>
      </c>
      <c r="I19" s="151">
        <f t="shared" si="3"/>
        <v>0</v>
      </c>
      <c r="J19" s="51" t="s">
        <v>10</v>
      </c>
    </row>
    <row r="20" spans="1:10" x14ac:dyDescent="0.2">
      <c r="A20" s="142" t="s">
        <v>69</v>
      </c>
      <c r="B20" s="154">
        <v>0</v>
      </c>
      <c r="C20" s="154">
        <v>0</v>
      </c>
      <c r="D20" s="154">
        <v>0</v>
      </c>
      <c r="E20" s="154">
        <v>0</v>
      </c>
      <c r="F20" s="154">
        <v>0</v>
      </c>
      <c r="G20" s="154">
        <v>0</v>
      </c>
      <c r="H20" s="154">
        <v>0</v>
      </c>
      <c r="I20" s="151">
        <f t="shared" si="3"/>
        <v>0</v>
      </c>
      <c r="J20" s="51" t="s">
        <v>10</v>
      </c>
    </row>
    <row r="21" spans="1:10" x14ac:dyDescent="0.2">
      <c r="A21" s="142" t="s">
        <v>70</v>
      </c>
      <c r="B21" s="154">
        <v>0</v>
      </c>
      <c r="C21" s="154">
        <v>0</v>
      </c>
      <c r="D21" s="154">
        <v>0</v>
      </c>
      <c r="E21" s="154">
        <v>0</v>
      </c>
      <c r="F21" s="154">
        <v>0</v>
      </c>
      <c r="G21" s="154">
        <v>0</v>
      </c>
      <c r="H21" s="154">
        <v>0</v>
      </c>
      <c r="I21" s="151">
        <f t="shared" si="3"/>
        <v>0</v>
      </c>
      <c r="J21" s="51" t="s">
        <v>10</v>
      </c>
    </row>
    <row r="22" spans="1:10" x14ac:dyDescent="0.2">
      <c r="A22" s="142" t="s">
        <v>71</v>
      </c>
      <c r="B22" s="154">
        <v>0</v>
      </c>
      <c r="C22" s="154">
        <v>0</v>
      </c>
      <c r="D22" s="154">
        <v>0</v>
      </c>
      <c r="E22" s="154">
        <v>0</v>
      </c>
      <c r="F22" s="154">
        <v>0</v>
      </c>
      <c r="G22" s="154">
        <v>0</v>
      </c>
      <c r="H22" s="154">
        <v>0</v>
      </c>
      <c r="I22" s="151">
        <f t="shared" si="3"/>
        <v>0</v>
      </c>
      <c r="J22" s="51" t="s">
        <v>10</v>
      </c>
    </row>
    <row r="23" spans="1:10" x14ac:dyDescent="0.2">
      <c r="A23" s="142" t="s">
        <v>72</v>
      </c>
      <c r="B23" s="154">
        <v>0</v>
      </c>
      <c r="C23" s="154">
        <v>0</v>
      </c>
      <c r="D23" s="154">
        <v>0</v>
      </c>
      <c r="E23" s="154">
        <v>0</v>
      </c>
      <c r="F23" s="154">
        <v>0</v>
      </c>
      <c r="G23" s="154">
        <v>0</v>
      </c>
      <c r="H23" s="154">
        <v>0</v>
      </c>
      <c r="I23" s="151">
        <f t="shared" si="3"/>
        <v>0</v>
      </c>
      <c r="J23" s="51" t="s">
        <v>10</v>
      </c>
    </row>
    <row r="24" spans="1:10" x14ac:dyDescent="0.2">
      <c r="A24" s="142" t="s">
        <v>73</v>
      </c>
      <c r="B24" s="154">
        <v>0</v>
      </c>
      <c r="C24" s="154">
        <v>4392</v>
      </c>
      <c r="D24" s="154">
        <v>0</v>
      </c>
      <c r="E24" s="154">
        <v>4500</v>
      </c>
      <c r="F24" s="154">
        <v>0</v>
      </c>
      <c r="G24" s="154">
        <v>4500</v>
      </c>
      <c r="H24" s="154">
        <v>0</v>
      </c>
      <c r="I24" s="151">
        <f t="shared" si="3"/>
        <v>0</v>
      </c>
      <c r="J24" s="51" t="s">
        <v>10</v>
      </c>
    </row>
    <row r="25" spans="1:10" x14ac:dyDescent="0.2">
      <c r="A25" s="142" t="s">
        <v>74</v>
      </c>
      <c r="B25" s="154">
        <v>0</v>
      </c>
      <c r="C25" s="154">
        <v>3489</v>
      </c>
      <c r="D25" s="154">
        <v>0</v>
      </c>
      <c r="E25" s="154">
        <v>1</v>
      </c>
      <c r="F25" s="154">
        <v>0</v>
      </c>
      <c r="G25" s="154">
        <v>1</v>
      </c>
      <c r="H25" s="154">
        <v>0</v>
      </c>
      <c r="I25" s="151">
        <f t="shared" si="3"/>
        <v>0</v>
      </c>
      <c r="J25" s="51" t="s">
        <v>10</v>
      </c>
    </row>
    <row r="26" spans="1:10" x14ac:dyDescent="0.2">
      <c r="A26" s="142" t="s">
        <v>75</v>
      </c>
      <c r="B26" s="154">
        <v>0</v>
      </c>
      <c r="C26" s="154">
        <v>0</v>
      </c>
      <c r="D26" s="154">
        <v>0</v>
      </c>
      <c r="E26" s="154">
        <v>4500</v>
      </c>
      <c r="F26" s="154">
        <v>0</v>
      </c>
      <c r="G26" s="154">
        <v>4500</v>
      </c>
      <c r="H26" s="154">
        <v>0</v>
      </c>
      <c r="I26" s="151">
        <f t="shared" si="3"/>
        <v>0</v>
      </c>
      <c r="J26" s="51" t="s">
        <v>10</v>
      </c>
    </row>
    <row r="27" spans="1:10" x14ac:dyDescent="0.2">
      <c r="A27" s="142" t="s">
        <v>76</v>
      </c>
      <c r="B27" s="154">
        <v>0</v>
      </c>
      <c r="C27" s="154">
        <v>0</v>
      </c>
      <c r="D27" s="154">
        <v>0</v>
      </c>
      <c r="E27" s="154">
        <v>0</v>
      </c>
      <c r="F27" s="154">
        <v>0</v>
      </c>
      <c r="G27" s="154">
        <v>0</v>
      </c>
      <c r="H27" s="154">
        <v>0</v>
      </c>
      <c r="I27" s="151">
        <f t="shared" si="3"/>
        <v>0</v>
      </c>
      <c r="J27" s="51" t="s">
        <v>10</v>
      </c>
    </row>
    <row r="28" spans="1:10" x14ac:dyDescent="0.2">
      <c r="A28" s="142" t="s">
        <v>77</v>
      </c>
      <c r="B28" s="154">
        <v>0</v>
      </c>
      <c r="C28" s="154">
        <v>0</v>
      </c>
      <c r="D28" s="154">
        <v>0</v>
      </c>
      <c r="E28" s="154">
        <v>0</v>
      </c>
      <c r="F28" s="154">
        <v>0</v>
      </c>
      <c r="G28" s="154">
        <v>0</v>
      </c>
      <c r="H28" s="154">
        <v>0</v>
      </c>
      <c r="I28" s="151">
        <f t="shared" si="3"/>
        <v>0</v>
      </c>
      <c r="J28" s="51" t="s">
        <v>10</v>
      </c>
    </row>
    <row r="29" spans="1:10" x14ac:dyDescent="0.2">
      <c r="A29" s="142" t="s">
        <v>23</v>
      </c>
      <c r="B29" s="154">
        <v>0</v>
      </c>
      <c r="C29" s="154">
        <v>0</v>
      </c>
      <c r="D29" s="154">
        <v>0</v>
      </c>
      <c r="E29" s="154">
        <v>0</v>
      </c>
      <c r="F29" s="154">
        <v>0</v>
      </c>
      <c r="G29" s="154">
        <v>0</v>
      </c>
      <c r="H29" s="154">
        <v>0</v>
      </c>
      <c r="I29" s="151">
        <f t="shared" si="3"/>
        <v>0</v>
      </c>
      <c r="J29" s="51" t="s">
        <v>10</v>
      </c>
    </row>
    <row r="30" spans="1:10" x14ac:dyDescent="0.2">
      <c r="A30" s="142" t="s">
        <v>78</v>
      </c>
      <c r="B30" s="154">
        <v>0</v>
      </c>
      <c r="C30" s="154">
        <v>0</v>
      </c>
      <c r="D30" s="154">
        <v>0</v>
      </c>
      <c r="E30" s="154">
        <v>0</v>
      </c>
      <c r="F30" s="154">
        <v>0</v>
      </c>
      <c r="G30" s="154">
        <v>0</v>
      </c>
      <c r="H30" s="154">
        <v>0</v>
      </c>
      <c r="I30" s="151">
        <f t="shared" si="3"/>
        <v>0</v>
      </c>
      <c r="J30" s="51" t="s">
        <v>10</v>
      </c>
    </row>
    <row r="31" spans="1:10" x14ac:dyDescent="0.2">
      <c r="A31" s="142" t="s">
        <v>79</v>
      </c>
      <c r="B31" s="154">
        <v>0</v>
      </c>
      <c r="C31" s="154">
        <v>0</v>
      </c>
      <c r="D31" s="154">
        <v>0</v>
      </c>
      <c r="E31" s="154">
        <v>0</v>
      </c>
      <c r="F31" s="154">
        <v>0</v>
      </c>
      <c r="G31" s="154">
        <v>0</v>
      </c>
      <c r="H31" s="154">
        <v>0</v>
      </c>
      <c r="I31" s="151">
        <f t="shared" si="3"/>
        <v>0</v>
      </c>
      <c r="J31" s="51" t="s">
        <v>10</v>
      </c>
    </row>
    <row r="32" spans="1:10" x14ac:dyDescent="0.2">
      <c r="A32" s="142" t="s">
        <v>80</v>
      </c>
      <c r="B32" s="154">
        <v>0</v>
      </c>
      <c r="C32" s="154">
        <v>0</v>
      </c>
      <c r="D32" s="154">
        <v>0</v>
      </c>
      <c r="E32" s="154">
        <v>0</v>
      </c>
      <c r="F32" s="154">
        <v>0</v>
      </c>
      <c r="G32" s="154">
        <v>0</v>
      </c>
      <c r="H32" s="154">
        <v>0</v>
      </c>
      <c r="I32" s="151">
        <f t="shared" si="3"/>
        <v>0</v>
      </c>
      <c r="J32" s="51" t="s">
        <v>10</v>
      </c>
    </row>
    <row r="33" spans="1:12" x14ac:dyDescent="0.2">
      <c r="A33" s="142" t="s">
        <v>81</v>
      </c>
      <c r="B33" s="154">
        <v>0</v>
      </c>
      <c r="C33" s="154">
        <v>0</v>
      </c>
      <c r="D33" s="154">
        <v>0</v>
      </c>
      <c r="E33" s="154">
        <v>0</v>
      </c>
      <c r="F33" s="154">
        <v>0</v>
      </c>
      <c r="G33" s="154">
        <v>0</v>
      </c>
      <c r="H33" s="154">
        <v>0</v>
      </c>
      <c r="I33" s="151">
        <f t="shared" si="3"/>
        <v>0</v>
      </c>
      <c r="J33" s="51" t="s">
        <v>10</v>
      </c>
    </row>
    <row r="34" spans="1:12" x14ac:dyDescent="0.2">
      <c r="A34" s="142" t="s">
        <v>82</v>
      </c>
      <c r="B34" s="154">
        <v>0</v>
      </c>
      <c r="C34" s="154">
        <v>0</v>
      </c>
      <c r="D34" s="154">
        <v>0</v>
      </c>
      <c r="E34" s="154">
        <v>0</v>
      </c>
      <c r="F34" s="154">
        <v>0</v>
      </c>
      <c r="G34" s="154">
        <v>0</v>
      </c>
      <c r="H34" s="154">
        <v>0</v>
      </c>
      <c r="I34" s="151">
        <f t="shared" si="3"/>
        <v>0</v>
      </c>
      <c r="J34" s="51" t="s">
        <v>10</v>
      </c>
    </row>
    <row r="35" spans="1:12" x14ac:dyDescent="0.2">
      <c r="A35" s="142" t="s">
        <v>83</v>
      </c>
      <c r="B35" s="154">
        <v>0</v>
      </c>
      <c r="C35" s="154">
        <v>0</v>
      </c>
      <c r="D35" s="154">
        <v>0</v>
      </c>
      <c r="E35" s="154">
        <v>6000</v>
      </c>
      <c r="F35" s="154">
        <v>0</v>
      </c>
      <c r="G35" s="154">
        <v>6000</v>
      </c>
      <c r="H35" s="154">
        <v>0</v>
      </c>
      <c r="I35" s="151">
        <f t="shared" si="3"/>
        <v>0</v>
      </c>
      <c r="J35" s="51" t="s">
        <v>10</v>
      </c>
    </row>
    <row r="36" spans="1:12" x14ac:dyDescent="0.2">
      <c r="A36" s="142" t="s">
        <v>84</v>
      </c>
      <c r="B36" s="154">
        <v>0</v>
      </c>
      <c r="C36" s="154">
        <v>47835</v>
      </c>
      <c r="D36" s="154">
        <v>0</v>
      </c>
      <c r="E36" s="154">
        <v>95436</v>
      </c>
      <c r="F36" s="154">
        <v>0</v>
      </c>
      <c r="G36" s="154">
        <v>82299</v>
      </c>
      <c r="H36" s="154">
        <v>0</v>
      </c>
      <c r="I36" s="279">
        <f t="shared" si="3"/>
        <v>-13137</v>
      </c>
      <c r="J36" s="51" t="s">
        <v>10</v>
      </c>
    </row>
    <row r="37" spans="1:12" ht="15" x14ac:dyDescent="0.25">
      <c r="A37" s="64" t="s">
        <v>85</v>
      </c>
      <c r="B37" s="70">
        <v>0</v>
      </c>
      <c r="C37" s="70">
        <f>SUM(C14:C36)</f>
        <v>55716</v>
      </c>
      <c r="D37" s="70">
        <v>0</v>
      </c>
      <c r="E37" s="70">
        <f>SUM(E14:E36)</f>
        <v>110437</v>
      </c>
      <c r="F37" s="70">
        <v>0</v>
      </c>
      <c r="G37" s="70">
        <f>SUM(G14:G36)</f>
        <v>97300</v>
      </c>
      <c r="H37" s="70">
        <v>0</v>
      </c>
      <c r="I37" s="318">
        <f>SUM(I14:I36)</f>
        <v>-13137</v>
      </c>
      <c r="J37" s="51" t="s">
        <v>10</v>
      </c>
      <c r="L37" s="302"/>
    </row>
    <row r="38" spans="1:12" x14ac:dyDescent="0.2">
      <c r="A38" s="142" t="s">
        <v>108</v>
      </c>
      <c r="B38" s="154">
        <v>0</v>
      </c>
      <c r="C38" s="268">
        <v>-12848</v>
      </c>
      <c r="D38" s="154">
        <v>0</v>
      </c>
      <c r="E38" s="268">
        <v>-12922</v>
      </c>
      <c r="F38" s="154">
        <v>0</v>
      </c>
      <c r="G38" s="154">
        <v>0</v>
      </c>
      <c r="H38" s="154">
        <v>0</v>
      </c>
      <c r="I38" s="151">
        <f>G38-E38</f>
        <v>12922</v>
      </c>
      <c r="J38" s="51" t="s">
        <v>10</v>
      </c>
      <c r="L38" s="302"/>
    </row>
    <row r="39" spans="1:12" x14ac:dyDescent="0.2">
      <c r="A39" s="142" t="s">
        <v>117</v>
      </c>
      <c r="B39" s="154">
        <v>0</v>
      </c>
      <c r="C39" s="268">
        <v>0</v>
      </c>
      <c r="D39" s="154">
        <v>0</v>
      </c>
      <c r="E39" s="268">
        <v>0</v>
      </c>
      <c r="F39" s="154">
        <v>0</v>
      </c>
      <c r="G39" s="154">
        <v>0</v>
      </c>
      <c r="H39" s="154">
        <v>0</v>
      </c>
      <c r="I39" s="151">
        <f>G39-E39</f>
        <v>0</v>
      </c>
      <c r="J39" s="51" t="s">
        <v>10</v>
      </c>
      <c r="L39" s="302"/>
    </row>
    <row r="40" spans="1:12" x14ac:dyDescent="0.2">
      <c r="A40" s="142" t="s">
        <v>118</v>
      </c>
      <c r="B40" s="154">
        <v>0</v>
      </c>
      <c r="C40" s="268">
        <v>-263</v>
      </c>
      <c r="D40" s="154">
        <v>0</v>
      </c>
      <c r="E40" s="268">
        <v>-287</v>
      </c>
      <c r="F40" s="154">
        <v>0</v>
      </c>
      <c r="G40" s="154">
        <v>0</v>
      </c>
      <c r="H40" s="154">
        <v>0</v>
      </c>
      <c r="I40" s="151">
        <f>G40-E40</f>
        <v>287</v>
      </c>
      <c r="J40" s="51" t="s">
        <v>10</v>
      </c>
      <c r="L40" s="302"/>
    </row>
    <row r="41" spans="1:12" x14ac:dyDescent="0.2">
      <c r="A41" s="142" t="s">
        <v>429</v>
      </c>
      <c r="B41" s="154"/>
      <c r="C41" s="154">
        <v>22384</v>
      </c>
      <c r="D41" s="154"/>
      <c r="E41" s="268"/>
      <c r="F41" s="154"/>
      <c r="G41" s="154"/>
      <c r="H41" s="154"/>
      <c r="I41" s="151"/>
      <c r="J41" s="51"/>
      <c r="L41" s="302"/>
    </row>
    <row r="42" spans="1:12" x14ac:dyDescent="0.2">
      <c r="A42" s="142" t="s">
        <v>86</v>
      </c>
      <c r="B42" s="154">
        <v>0</v>
      </c>
      <c r="C42" s="154">
        <v>12922</v>
      </c>
      <c r="D42" s="154">
        <v>0</v>
      </c>
      <c r="E42" s="154">
        <v>0</v>
      </c>
      <c r="F42" s="154">
        <v>0</v>
      </c>
      <c r="G42" s="154">
        <v>0</v>
      </c>
      <c r="H42" s="154">
        <v>0</v>
      </c>
      <c r="I42" s="151">
        <f>G42-E42</f>
        <v>0</v>
      </c>
      <c r="J42" s="51" t="s">
        <v>10</v>
      </c>
      <c r="L42" s="302"/>
    </row>
    <row r="43" spans="1:12" x14ac:dyDescent="0.2">
      <c r="A43" s="142" t="s">
        <v>112</v>
      </c>
      <c r="B43" s="154">
        <v>0</v>
      </c>
      <c r="C43" s="154">
        <v>0</v>
      </c>
      <c r="D43" s="154">
        <v>0</v>
      </c>
      <c r="E43" s="154">
        <v>0</v>
      </c>
      <c r="F43" s="154">
        <v>0</v>
      </c>
      <c r="G43" s="154">
        <v>0</v>
      </c>
      <c r="H43" s="154">
        <v>0</v>
      </c>
      <c r="I43" s="151">
        <f>G43-E43</f>
        <v>0</v>
      </c>
      <c r="J43" s="51" t="s">
        <v>10</v>
      </c>
      <c r="L43" s="302"/>
    </row>
    <row r="44" spans="1:12" ht="15.75" thickBot="1" x14ac:dyDescent="0.3">
      <c r="A44" s="65" t="s">
        <v>87</v>
      </c>
      <c r="B44" s="136">
        <f t="shared" ref="B44:I44" si="4">SUM(B37:B43)</f>
        <v>0</v>
      </c>
      <c r="C44" s="136">
        <f t="shared" si="4"/>
        <v>77911</v>
      </c>
      <c r="D44" s="136">
        <f t="shared" si="4"/>
        <v>0</v>
      </c>
      <c r="E44" s="136">
        <f t="shared" si="4"/>
        <v>97228</v>
      </c>
      <c r="F44" s="136">
        <f t="shared" si="4"/>
        <v>0</v>
      </c>
      <c r="G44" s="136">
        <f t="shared" si="4"/>
        <v>97300</v>
      </c>
      <c r="H44" s="136">
        <f t="shared" si="4"/>
        <v>0</v>
      </c>
      <c r="I44" s="137">
        <f t="shared" si="4"/>
        <v>72</v>
      </c>
      <c r="J44" s="51" t="s">
        <v>10</v>
      </c>
      <c r="L44" s="302"/>
    </row>
    <row r="45" spans="1:12" x14ac:dyDescent="0.2">
      <c r="A45" s="305" t="s">
        <v>13</v>
      </c>
      <c r="B45" s="304"/>
      <c r="C45" s="304"/>
      <c r="D45" s="304"/>
      <c r="E45" s="304"/>
      <c r="F45" s="304"/>
      <c r="G45" s="304"/>
      <c r="H45" s="304"/>
      <c r="I45" s="303"/>
      <c r="J45" s="51" t="s">
        <v>10</v>
      </c>
    </row>
    <row r="46" spans="1:12" x14ac:dyDescent="0.2">
      <c r="A46" s="142" t="s">
        <v>88</v>
      </c>
      <c r="B46" s="154">
        <v>0</v>
      </c>
      <c r="C46" s="154"/>
      <c r="D46" s="154">
        <v>0</v>
      </c>
      <c r="E46" s="154"/>
      <c r="F46" s="154">
        <v>0</v>
      </c>
      <c r="G46" s="154"/>
      <c r="H46" s="154">
        <f>F46-D46</f>
        <v>0</v>
      </c>
      <c r="I46" s="151"/>
      <c r="J46" s="51" t="s">
        <v>10</v>
      </c>
    </row>
    <row r="47" spans="1:12" x14ac:dyDescent="0.2">
      <c r="A47" s="142"/>
      <c r="B47" s="154"/>
      <c r="C47" s="154"/>
      <c r="D47" s="154"/>
      <c r="E47" s="154"/>
      <c r="F47" s="154"/>
      <c r="G47" s="154"/>
      <c r="H47" s="154"/>
      <c r="I47" s="151"/>
      <c r="J47" s="51" t="s">
        <v>10</v>
      </c>
      <c r="L47" s="302"/>
    </row>
    <row r="48" spans="1:12" x14ac:dyDescent="0.2">
      <c r="A48" s="142" t="s">
        <v>89</v>
      </c>
      <c r="B48" s="154"/>
      <c r="C48" s="154">
        <v>0</v>
      </c>
      <c r="D48" s="154"/>
      <c r="E48" s="154">
        <v>0</v>
      </c>
      <c r="F48" s="154"/>
      <c r="G48" s="154">
        <v>0</v>
      </c>
      <c r="H48" s="154"/>
      <c r="I48" s="151">
        <f>G48-E48</f>
        <v>0</v>
      </c>
      <c r="J48" s="51" t="s">
        <v>10</v>
      </c>
    </row>
    <row r="49" spans="1:10" ht="15" thickBot="1" x14ac:dyDescent="0.25">
      <c r="A49" s="301" t="s">
        <v>90</v>
      </c>
      <c r="B49" s="300"/>
      <c r="C49" s="300">
        <v>0</v>
      </c>
      <c r="D49" s="300"/>
      <c r="E49" s="300">
        <v>0</v>
      </c>
      <c r="F49" s="300"/>
      <c r="G49" s="300">
        <v>0</v>
      </c>
      <c r="H49" s="300"/>
      <c r="I49" s="299">
        <f>G49-E49</f>
        <v>0</v>
      </c>
      <c r="J49" s="51" t="s">
        <v>10</v>
      </c>
    </row>
    <row r="50" spans="1:10" x14ac:dyDescent="0.2">
      <c r="J50" s="4" t="s">
        <v>11</v>
      </c>
    </row>
    <row r="51" spans="1:10" x14ac:dyDescent="0.2">
      <c r="A51" s="298"/>
    </row>
    <row r="53" spans="1:10" x14ac:dyDescent="0.2">
      <c r="E53" s="147"/>
    </row>
    <row r="54" spans="1:10" x14ac:dyDescent="0.2">
      <c r="E54" s="147"/>
    </row>
  </sheetData>
  <customSheetViews>
    <customSheetView guid="{EE916FE7-61FB-4021-ADDD-E082241FC03C}" scale="90" showPageBreaks="1" printArea="1" view="pageBreakPreview">
      <pane xSplit="1" ySplit="7" topLeftCell="B22" activePane="bottomRight" state="frozen"/>
      <selection pane="bottomRight" activeCell="B60" sqref="B60"/>
      <pageMargins left="0.6" right="0.6" top="0.56999999999999995" bottom="0.55000000000000004" header="0.3" footer="0.3"/>
      <printOptions horizontalCentered="1"/>
      <pageSetup scale="72" orientation="landscape" r:id="rId1"/>
      <headerFooter>
        <oddHeader>&amp;L&amp;"Arial,Bold"&amp;12K. Summary of Requirements by Object Class</oddHeader>
        <oddFooter>&amp;C&amp;"Arial,Regular"Exhibit K - Summary of Requirements by Object Class&amp;R&amp;"Arial,Regular"Public Safety Officers Benefits</oddFooter>
      </headerFooter>
    </customSheetView>
    <customSheetView guid="{0BB5DC4B-BC2A-4489-BE17-5E267FA1EF63}" scale="90" showPageBreaks="1" printArea="1" view="pageBreakPreview">
      <pane xSplit="1" ySplit="7" topLeftCell="B22" activePane="bottomRight" state="frozen"/>
      <selection pane="bottomRight" activeCell="B60" sqref="B60"/>
      <pageMargins left="0.6" right="0.6" top="0.56999999999999995" bottom="0.55000000000000004" header="0.3" footer="0.3"/>
      <printOptions horizontalCentered="1"/>
      <pageSetup scale="72" orientation="landscape" r:id="rId2"/>
      <headerFooter>
        <oddHeader>&amp;L&amp;"Arial,Bold"&amp;12K. Summary of Requirements by Object Class</oddHeader>
        <oddFooter>&amp;C&amp;"Arial,Regular"Exhibit K - Summary of Requirements by Object Class&amp;R&amp;"Arial,Regular"Public Safety Officers Benefits</oddFooter>
      </headerFooter>
    </customSheetView>
    <customSheetView guid="{6C58FFE1-D756-42C4-A1BC-AA7F1DC1E56F}" scale="90" showPageBreaks="1" printArea="1" view="pageBreakPreview">
      <pane xSplit="1" ySplit="7" topLeftCell="B22" activePane="bottomRight" state="frozen"/>
      <selection pane="bottomRight" activeCell="A56" sqref="A56"/>
      <pageMargins left="0.6" right="0.6" top="0.56999999999999995" bottom="0.55000000000000004" header="0.3" footer="0.3"/>
      <printOptions horizontalCentered="1"/>
      <pageSetup scale="72" orientation="landscape" r:id="rId3"/>
      <headerFooter>
        <oddHeader>&amp;L&amp;"Arial,Bold"&amp;12K. Summary of Requirements by Object Class</oddHeader>
        <oddFooter>&amp;C&amp;"Arial,Regular"Exhibit K - Summary of Requirements by Object Class&amp;R&amp;"Arial,Regular"Public Safety Officers Benefits</oddFooter>
      </headerFooter>
    </customSheetView>
    <customSheetView guid="{CFA5D1C9-F4C9-4B8D-923D-4C71CB6E7D3B}" scale="90" showPageBreaks="1" printArea="1" view="pageBreakPreview">
      <pane xSplit="1" ySplit="7" topLeftCell="B22" activePane="bottomRight" state="frozen"/>
      <selection pane="bottomRight" activeCell="B60" sqref="B60"/>
      <pageMargins left="0.6" right="0.6" top="0.56999999999999995" bottom="0.55000000000000004" header="0.3" footer="0.3"/>
      <printOptions horizontalCentered="1"/>
      <pageSetup scale="72" orientation="landscape" r:id="rId4"/>
      <headerFooter>
        <oddHeader>&amp;L&amp;"Arial,Bold"&amp;12K. Summary of Requirements by Object Class</oddHeader>
        <oddFooter>&amp;C&amp;"Arial,Regular"Exhibit K - Summary of Requirements by Object Class&amp;R&amp;"Arial,Regular"Public Safety Officers Benefits</oddFooter>
      </headerFooter>
    </customSheetView>
    <customSheetView guid="{A788DF77-74F1-49E4-8B34-BFBDB7664F30}" scale="90" showPageBreaks="1" printArea="1" view="pageBreakPreview">
      <pane xSplit="1" ySplit="7" topLeftCell="B22" activePane="bottomRight" state="frozen"/>
      <selection pane="bottomRight" activeCell="A56" sqref="A56"/>
      <pageMargins left="0.6" right="0.6" top="0.56999999999999995" bottom="0.55000000000000004" header="0.3" footer="0.3"/>
      <printOptions horizontalCentered="1"/>
      <pageSetup scale="72" orientation="landscape" r:id="rId5"/>
      <headerFooter>
        <oddHeader>&amp;L&amp;"Arial,Bold"&amp;12K. Summary of Requirements by Object Class</oddHeader>
        <oddFooter>&amp;C&amp;"Arial,Regular"Exhibit K - Summary of Requirements by Object Class&amp;R&amp;"Arial,Regular"Public Safety Officers Benefits</oddFooter>
      </headerFooter>
    </customSheetView>
  </customSheetViews>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2" orientation="landscape" r:id="rId6"/>
  <headerFooter>
    <oddHeader>&amp;L&amp;"Arial,Bold"&amp;12K. Summary of Requirements by Object Class</oddHeader>
    <oddFooter>&amp;C&amp;"Arial,Regular"Exhibit K - Summary of Requirements by Object Class&amp;R&amp;"Arial,Regular"Public Safety Officers Benefits</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view="pageBreakPreview" zoomScale="90" zoomScaleNormal="100" zoomScaleSheetLayoutView="90" workbookViewId="0">
      <selection activeCell="C36" sqref="C36"/>
    </sheetView>
  </sheetViews>
  <sheetFormatPr defaultRowHeight="14.25" x14ac:dyDescent="0.2"/>
  <cols>
    <col min="1" max="1" width="113.5703125" style="143" customWidth="1"/>
    <col min="2" max="2" width="17.5703125" style="147" customWidth="1"/>
    <col min="3" max="3" width="11.42578125" style="147" customWidth="1"/>
    <col min="4" max="4" width="14.5703125" style="148" customWidth="1"/>
    <col min="5" max="5" width="11.5703125" style="4" bestFit="1" customWidth="1"/>
    <col min="6" max="6" width="4.85546875" style="143" customWidth="1"/>
    <col min="7" max="7" width="140.28515625" style="143" customWidth="1"/>
    <col min="8" max="16384" width="9.140625" style="143"/>
  </cols>
  <sheetData>
    <row r="1" spans="1:7" ht="18" x14ac:dyDescent="0.25">
      <c r="A1" s="577" t="s">
        <v>0</v>
      </c>
      <c r="B1" s="577"/>
      <c r="C1" s="577"/>
      <c r="D1" s="577"/>
      <c r="E1" s="4" t="s">
        <v>10</v>
      </c>
      <c r="G1" s="199"/>
    </row>
    <row r="2" spans="1:7" ht="15" x14ac:dyDescent="0.2">
      <c r="A2" s="578" t="s">
        <v>152</v>
      </c>
      <c r="B2" s="578"/>
      <c r="C2" s="578"/>
      <c r="D2" s="578"/>
      <c r="E2" s="4" t="s">
        <v>10</v>
      </c>
      <c r="G2" s="198"/>
    </row>
    <row r="3" spans="1:7" x14ac:dyDescent="0.2">
      <c r="A3" s="579" t="s">
        <v>432</v>
      </c>
      <c r="B3" s="579"/>
      <c r="C3" s="579"/>
      <c r="D3" s="579"/>
      <c r="E3" s="4" t="s">
        <v>10</v>
      </c>
      <c r="G3" s="198"/>
    </row>
    <row r="4" spans="1:7" x14ac:dyDescent="0.2">
      <c r="A4" s="608" t="s">
        <v>1</v>
      </c>
      <c r="B4" s="608"/>
      <c r="C4" s="608"/>
      <c r="D4" s="608"/>
      <c r="E4" s="4" t="s">
        <v>10</v>
      </c>
      <c r="G4" s="198"/>
    </row>
    <row r="5" spans="1:7" ht="15" thickBot="1" x14ac:dyDescent="0.25">
      <c r="E5" s="4" t="s">
        <v>10</v>
      </c>
      <c r="G5" s="198"/>
    </row>
    <row r="6" spans="1:7" ht="15" x14ac:dyDescent="0.25">
      <c r="B6" s="581" t="s">
        <v>121</v>
      </c>
      <c r="C6" s="582"/>
      <c r="D6" s="583"/>
      <c r="E6" s="4" t="s">
        <v>10</v>
      </c>
    </row>
    <row r="7" spans="1:7" ht="15.75" thickBot="1" x14ac:dyDescent="0.25">
      <c r="B7" s="1" t="s">
        <v>143</v>
      </c>
      <c r="C7" s="2" t="s">
        <v>144</v>
      </c>
      <c r="D7" s="3" t="s">
        <v>3</v>
      </c>
      <c r="E7" s="4" t="s">
        <v>10</v>
      </c>
      <c r="G7" s="194"/>
    </row>
    <row r="8" spans="1:7" ht="15" x14ac:dyDescent="0.25">
      <c r="A8" s="80" t="s">
        <v>119</v>
      </c>
      <c r="B8" s="193">
        <v>0</v>
      </c>
      <c r="C8" s="82">
        <v>0</v>
      </c>
      <c r="D8" s="83">
        <v>730000</v>
      </c>
      <c r="E8" s="4" t="s">
        <v>10</v>
      </c>
      <c r="G8" s="184"/>
    </row>
    <row r="9" spans="1:7" x14ac:dyDescent="0.2">
      <c r="A9" s="164" t="s">
        <v>120</v>
      </c>
      <c r="B9" s="191" t="s">
        <v>24</v>
      </c>
      <c r="C9" s="190"/>
      <c r="D9" s="380">
        <v>0</v>
      </c>
      <c r="E9" s="4" t="s">
        <v>10</v>
      </c>
      <c r="G9" s="184"/>
    </row>
    <row r="10" spans="1:7" ht="15" x14ac:dyDescent="0.25">
      <c r="A10" s="164" t="s">
        <v>141</v>
      </c>
      <c r="B10" s="386"/>
      <c r="C10" s="88"/>
      <c r="D10" s="385">
        <v>0</v>
      </c>
      <c r="E10" s="4" t="s">
        <v>10</v>
      </c>
      <c r="G10" s="184"/>
    </row>
    <row r="11" spans="1:7" x14ac:dyDescent="0.2">
      <c r="A11" s="149" t="s">
        <v>173</v>
      </c>
      <c r="B11" s="384"/>
      <c r="C11" s="383"/>
      <c r="D11" s="385">
        <v>0</v>
      </c>
      <c r="E11" s="4" t="s">
        <v>10</v>
      </c>
      <c r="G11" s="184"/>
    </row>
    <row r="12" spans="1:7" ht="15" x14ac:dyDescent="0.25">
      <c r="A12" s="369" t="s">
        <v>431</v>
      </c>
      <c r="B12" s="382"/>
      <c r="C12" s="368"/>
      <c r="D12" s="381">
        <v>0</v>
      </c>
      <c r="E12" s="4" t="s">
        <v>10</v>
      </c>
      <c r="G12" s="184"/>
    </row>
    <row r="13" spans="1:7" ht="15" x14ac:dyDescent="0.25">
      <c r="A13" s="79" t="s">
        <v>122</v>
      </c>
      <c r="B13" s="108">
        <f>SUM(B8:B11)</f>
        <v>0</v>
      </c>
      <c r="C13" s="105">
        <f>SUM(C8:C11)</f>
        <v>0</v>
      </c>
      <c r="D13" s="106">
        <f>SUM(D8:D12)</f>
        <v>730000</v>
      </c>
      <c r="E13" s="4" t="s">
        <v>10</v>
      </c>
      <c r="G13" s="182"/>
    </row>
    <row r="14" spans="1:7" ht="15" x14ac:dyDescent="0.25">
      <c r="A14" s="79"/>
      <c r="B14" s="108"/>
      <c r="C14" s="105"/>
      <c r="D14" s="106"/>
      <c r="E14" s="4" t="s">
        <v>10</v>
      </c>
      <c r="G14" s="182"/>
    </row>
    <row r="15" spans="1:7" ht="15" x14ac:dyDescent="0.25">
      <c r="A15" s="68" t="s">
        <v>148</v>
      </c>
      <c r="B15" s="108">
        <v>0</v>
      </c>
      <c r="C15" s="105">
        <v>0</v>
      </c>
      <c r="D15" s="106">
        <v>745000</v>
      </c>
      <c r="E15" s="4" t="s">
        <v>10</v>
      </c>
      <c r="G15" s="184"/>
    </row>
    <row r="16" spans="1:7" ht="15" x14ac:dyDescent="0.25">
      <c r="A16" s="149" t="s">
        <v>172</v>
      </c>
      <c r="B16" s="379">
        <v>0</v>
      </c>
      <c r="C16" s="321">
        <v>0</v>
      </c>
      <c r="D16" s="378">
        <v>0</v>
      </c>
      <c r="E16" s="4" t="s">
        <v>10</v>
      </c>
      <c r="G16" s="184"/>
    </row>
    <row r="17" spans="1:7" ht="15" x14ac:dyDescent="0.25">
      <c r="A17" s="71" t="s">
        <v>149</v>
      </c>
      <c r="B17" s="166">
        <f>SUM(B15:B16)+B13</f>
        <v>0</v>
      </c>
      <c r="C17" s="120">
        <f>SUM(C15:C16)+C13</f>
        <v>0</v>
      </c>
      <c r="D17" s="165">
        <f>SUM(D15:D16)</f>
        <v>745000</v>
      </c>
      <c r="E17" s="4" t="s">
        <v>10</v>
      </c>
      <c r="G17" s="182"/>
    </row>
    <row r="18" spans="1:7" ht="15" x14ac:dyDescent="0.25">
      <c r="A18" s="71"/>
      <c r="B18" s="69"/>
      <c r="C18" s="70"/>
      <c r="D18" s="77"/>
      <c r="E18" s="4" t="s">
        <v>10</v>
      </c>
      <c r="G18" s="184"/>
    </row>
    <row r="19" spans="1:7" ht="15" x14ac:dyDescent="0.25">
      <c r="A19" s="75" t="s">
        <v>123</v>
      </c>
      <c r="B19" s="108">
        <f>B17</f>
        <v>0</v>
      </c>
      <c r="C19" s="105">
        <f>C17</f>
        <v>0</v>
      </c>
      <c r="D19" s="106">
        <f>D17</f>
        <v>745000</v>
      </c>
      <c r="E19" s="4" t="s">
        <v>10</v>
      </c>
      <c r="G19" s="182"/>
    </row>
    <row r="20" spans="1:7" ht="15" x14ac:dyDescent="0.25">
      <c r="A20" s="75" t="s">
        <v>7</v>
      </c>
      <c r="B20" s="108"/>
      <c r="C20" s="105"/>
      <c r="D20" s="106"/>
      <c r="E20" s="4" t="s">
        <v>10</v>
      </c>
      <c r="G20" s="184"/>
    </row>
    <row r="21" spans="1:7" ht="15" x14ac:dyDescent="0.25">
      <c r="A21" s="155" t="s">
        <v>154</v>
      </c>
      <c r="B21" s="69"/>
      <c r="C21" s="70"/>
      <c r="D21" s="77"/>
      <c r="E21" s="4" t="s">
        <v>10</v>
      </c>
      <c r="G21" s="184"/>
    </row>
    <row r="22" spans="1:7" x14ac:dyDescent="0.2">
      <c r="A22" s="156" t="s">
        <v>430</v>
      </c>
      <c r="B22" s="153">
        <v>0</v>
      </c>
      <c r="C22" s="154">
        <v>0</v>
      </c>
      <c r="D22" s="158">
        <v>65000</v>
      </c>
      <c r="E22" s="4" t="s">
        <v>10</v>
      </c>
      <c r="G22" s="184"/>
    </row>
    <row r="23" spans="1:7" x14ac:dyDescent="0.2">
      <c r="A23" s="156" t="s">
        <v>8</v>
      </c>
      <c r="B23" s="153">
        <f>SUM(B22:B22)</f>
        <v>0</v>
      </c>
      <c r="C23" s="154">
        <f>SUM(C22:C22)</f>
        <v>0</v>
      </c>
      <c r="D23" s="158">
        <f>SUM(D22:D22)</f>
        <v>65000</v>
      </c>
      <c r="E23" s="4" t="s">
        <v>10</v>
      </c>
      <c r="G23" s="184"/>
    </row>
    <row r="24" spans="1:7" ht="15" x14ac:dyDescent="0.25">
      <c r="A24" s="71" t="s">
        <v>9</v>
      </c>
      <c r="B24" s="110">
        <f>B23</f>
        <v>0</v>
      </c>
      <c r="C24" s="25">
        <f>C23</f>
        <v>0</v>
      </c>
      <c r="D24" s="111">
        <f>D23</f>
        <v>65000</v>
      </c>
      <c r="E24" s="4" t="s">
        <v>10</v>
      </c>
      <c r="G24" s="182"/>
    </row>
    <row r="25" spans="1:7" ht="15" x14ac:dyDescent="0.25">
      <c r="A25" s="78" t="s">
        <v>124</v>
      </c>
      <c r="B25" s="108">
        <f>B19+B24</f>
        <v>0</v>
      </c>
      <c r="C25" s="105">
        <f>C19+C24</f>
        <v>0</v>
      </c>
      <c r="D25" s="106">
        <f>D19+D24</f>
        <v>810000</v>
      </c>
      <c r="E25" s="4" t="s">
        <v>10</v>
      </c>
      <c r="G25" s="182"/>
    </row>
    <row r="26" spans="1:7" ht="15" x14ac:dyDescent="0.25">
      <c r="A26" s="149" t="s">
        <v>142</v>
      </c>
      <c r="B26" s="110"/>
      <c r="C26" s="25"/>
      <c r="D26" s="150">
        <v>0</v>
      </c>
      <c r="E26" s="4" t="s">
        <v>10</v>
      </c>
      <c r="G26" s="184"/>
    </row>
    <row r="27" spans="1:7" s="5" customFormat="1" ht="15" x14ac:dyDescent="0.25">
      <c r="A27" s="149" t="s">
        <v>125</v>
      </c>
      <c r="B27" s="153">
        <v>0</v>
      </c>
      <c r="C27" s="153">
        <v>0</v>
      </c>
      <c r="D27" s="106">
        <f>D25</f>
        <v>810000</v>
      </c>
      <c r="E27" s="4" t="s">
        <v>10</v>
      </c>
      <c r="G27" s="182"/>
    </row>
    <row r="28" spans="1:7" ht="15.75" thickBot="1" x14ac:dyDescent="0.3">
      <c r="A28" s="159" t="s">
        <v>151</v>
      </c>
      <c r="B28" s="171">
        <f>B25-B15</f>
        <v>0</v>
      </c>
      <c r="C28" s="172">
        <f>C25-C15</f>
        <v>0</v>
      </c>
      <c r="D28" s="183">
        <f>D25-D15</f>
        <v>65000</v>
      </c>
      <c r="E28" s="4" t="s">
        <v>10</v>
      </c>
      <c r="G28" s="182"/>
    </row>
    <row r="29" spans="1:7" x14ac:dyDescent="0.2">
      <c r="A29" s="4"/>
      <c r="E29" s="4" t="s">
        <v>10</v>
      </c>
    </row>
    <row r="30" spans="1:7" ht="17.25" x14ac:dyDescent="0.2">
      <c r="A30" s="575"/>
      <c r="B30" s="576"/>
      <c r="C30" s="576"/>
      <c r="D30" s="576"/>
      <c r="E30" s="4" t="s">
        <v>11</v>
      </c>
    </row>
  </sheetData>
  <customSheetViews>
    <customSheetView guid="{EE916FE7-61FB-4021-ADDD-E082241FC03C}" scale="90" showPageBreaks="1" printArea="1" view="pageBreakPreview">
      <selection activeCell="A32" sqref="A32"/>
      <pageMargins left="0.7" right="0.7" top="0.63" bottom="0.63" header="0.3" footer="0.3"/>
      <printOptions horizontalCentered="1"/>
      <pageSetup scale="69" orientation="landscape" r:id="rId1"/>
      <headerFooter>
        <oddHeader>&amp;L&amp;"Arial,Bold"&amp;12B. Summary of Requirements</oddHeader>
        <oddFooter>&amp;C&amp;"Arial,Regular"Exhibit B - Summary of Requirements&amp;R&amp;"Arial,Regular"Crime Victims Fund</oddFooter>
      </headerFooter>
    </customSheetView>
    <customSheetView guid="{0BB5DC4B-BC2A-4489-BE17-5E267FA1EF63}" scale="90" showPageBreaks="1" printArea="1" view="pageBreakPreview">
      <selection activeCell="A32" sqref="A32"/>
      <pageMargins left="0.7" right="0.7" top="0.63" bottom="0.63" header="0.3" footer="0.3"/>
      <printOptions horizontalCentered="1"/>
      <pageSetup scale="69" orientation="landscape" r:id="rId2"/>
      <headerFooter>
        <oddHeader>&amp;L&amp;"Arial,Bold"&amp;12B. Summary of Requirements</oddHeader>
        <oddFooter>&amp;C&amp;"Arial,Regular"Exhibit B - Summary of Requirements&amp;R&amp;"Arial,Regular"Crime Victims Fund</oddFooter>
      </headerFooter>
    </customSheetView>
    <customSheetView guid="{6C58FFE1-D756-42C4-A1BC-AA7F1DC1E56F}" scale="90" showPageBreaks="1" printArea="1" view="pageBreakPreview">
      <selection activeCell="C36" sqref="C36"/>
      <pageMargins left="0.7" right="0.7" top="0.63" bottom="0.63" header="0.3" footer="0.3"/>
      <printOptions horizontalCentered="1"/>
      <pageSetup scale="69" orientation="landscape" r:id="rId3"/>
      <headerFooter>
        <oddHeader>&amp;L&amp;"Arial,Bold"&amp;12B. Summary of Requirements</oddHeader>
        <oddFooter>&amp;C&amp;"Arial,Regular"Exhibit B - Summary of Requirements&amp;R&amp;"Arial,Regular"Crime Victims Fund</oddFooter>
      </headerFooter>
    </customSheetView>
    <customSheetView guid="{CFA5D1C9-F4C9-4B8D-923D-4C71CB6E7D3B}" scale="90" showPageBreaks="1" printArea="1" view="pageBreakPreview">
      <selection activeCell="A32" sqref="A32"/>
      <pageMargins left="0.7" right="0.7" top="0.63" bottom="0.63" header="0.3" footer="0.3"/>
      <printOptions horizontalCentered="1"/>
      <pageSetup scale="69" orientation="landscape" r:id="rId4"/>
      <headerFooter>
        <oddHeader>&amp;L&amp;"Arial,Bold"&amp;12B. Summary of Requirements</oddHeader>
        <oddFooter>&amp;C&amp;"Arial,Regular"Exhibit B - Summary of Requirements&amp;R&amp;"Arial,Regular"Crime Victims Fund</oddFooter>
      </headerFooter>
    </customSheetView>
    <customSheetView guid="{A788DF77-74F1-49E4-8B34-BFBDB7664F30}" scale="90" showPageBreaks="1" printArea="1" view="pageBreakPreview">
      <selection activeCell="C36" sqref="C36"/>
      <pageMargins left="0.7" right="0.7" top="0.63" bottom="0.63" header="0.3" footer="0.3"/>
      <printOptions horizontalCentered="1"/>
      <pageSetup scale="69" orientation="landscape" r:id="rId5"/>
      <headerFooter>
        <oddHeader>&amp;L&amp;"Arial,Bold"&amp;12B. Summary of Requirements</oddHeader>
        <oddFooter>&amp;C&amp;"Arial,Regular"Exhibit B - Summary of Requirements&amp;R&amp;"Arial,Regular"Crime Victims Fund</oddFooter>
      </headerFooter>
    </customSheetView>
  </customSheetViews>
  <mergeCells count="6">
    <mergeCell ref="A30:D30"/>
    <mergeCell ref="A1:D1"/>
    <mergeCell ref="A2:D2"/>
    <mergeCell ref="A3:D3"/>
    <mergeCell ref="A4:D4"/>
    <mergeCell ref="B6:D6"/>
  </mergeCells>
  <printOptions horizontalCentered="1"/>
  <pageMargins left="0.7" right="0.7" top="0.63" bottom="0.63" header="0.3" footer="0.3"/>
  <pageSetup scale="75" orientation="landscape" r:id="rId6"/>
  <headerFooter>
    <oddHeader>&amp;L&amp;"Arial,Bold"&amp;12B. Summary of Requirements</oddHeader>
    <oddFooter>&amp;C&amp;"Arial,Regular"Exhibit B - Summary of Requirements&amp;R&amp;"Arial,Regular"Crime Victims Fund</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6"/>
  <sheetViews>
    <sheetView view="pageBreakPreview" zoomScale="80" zoomScaleNormal="100" zoomScaleSheetLayoutView="80" workbookViewId="0">
      <selection activeCell="D46" sqref="D46"/>
    </sheetView>
  </sheetViews>
  <sheetFormatPr defaultRowHeight="14.25" x14ac:dyDescent="0.2"/>
  <cols>
    <col min="1" max="1" width="37.140625" style="143" customWidth="1"/>
    <col min="2" max="3" width="8.28515625" style="143" customWidth="1"/>
    <col min="4" max="4" width="12.7109375" style="143" customWidth="1"/>
    <col min="5" max="6" width="8.28515625" style="143" customWidth="1"/>
    <col min="7" max="7" width="12.7109375" style="143" customWidth="1"/>
    <col min="8" max="9" width="8.28515625" style="143" customWidth="1"/>
    <col min="10" max="10" width="12.7109375" style="143" customWidth="1"/>
    <col min="11" max="12" width="8.28515625" style="143" customWidth="1"/>
    <col min="13" max="13" width="12.7109375" style="143" customWidth="1"/>
    <col min="14" max="14" width="14" style="4" bestFit="1" customWidth="1"/>
    <col min="15" max="15" width="4.5703125" style="143" customWidth="1"/>
    <col min="16" max="16" width="116.7109375" style="143" customWidth="1"/>
    <col min="17" max="18" width="8.28515625" style="143" customWidth="1"/>
    <col min="19" max="19" width="12.7109375" style="143" customWidth="1"/>
    <col min="20" max="21" width="8.28515625" style="143" customWidth="1"/>
    <col min="22" max="22" width="12.7109375" style="143" customWidth="1"/>
    <col min="23" max="16384" width="9.140625" style="143"/>
  </cols>
  <sheetData>
    <row r="1" spans="1:22" ht="18" x14ac:dyDescent="0.25">
      <c r="A1" s="577" t="s">
        <v>0</v>
      </c>
      <c r="B1" s="577"/>
      <c r="C1" s="577"/>
      <c r="D1" s="577"/>
      <c r="E1" s="577"/>
      <c r="F1" s="577"/>
      <c r="G1" s="577"/>
      <c r="H1" s="577"/>
      <c r="I1" s="577"/>
      <c r="J1" s="577"/>
      <c r="K1" s="577"/>
      <c r="L1" s="577"/>
      <c r="M1" s="577"/>
      <c r="N1" s="51" t="s">
        <v>10</v>
      </c>
      <c r="O1" s="6"/>
      <c r="P1" s="199"/>
      <c r="Q1" s="6"/>
      <c r="R1" s="6"/>
      <c r="S1" s="6"/>
      <c r="T1" s="6"/>
      <c r="U1" s="6"/>
      <c r="V1" s="6"/>
    </row>
    <row r="2" spans="1:22" ht="15" x14ac:dyDescent="0.2">
      <c r="A2" s="578" t="s">
        <v>152</v>
      </c>
      <c r="B2" s="578"/>
      <c r="C2" s="578"/>
      <c r="D2" s="578"/>
      <c r="E2" s="578"/>
      <c r="F2" s="578"/>
      <c r="G2" s="578"/>
      <c r="H2" s="578"/>
      <c r="I2" s="578"/>
      <c r="J2" s="578"/>
      <c r="K2" s="578"/>
      <c r="L2" s="578"/>
      <c r="M2" s="578"/>
      <c r="N2" s="51" t="s">
        <v>10</v>
      </c>
      <c r="O2" s="7"/>
      <c r="P2" s="198"/>
      <c r="Q2" s="7"/>
      <c r="R2" s="7"/>
      <c r="S2" s="7"/>
      <c r="T2" s="7"/>
      <c r="U2" s="7"/>
      <c r="V2" s="7"/>
    </row>
    <row r="3" spans="1:22" x14ac:dyDescent="0.2">
      <c r="A3" s="579" t="s">
        <v>432</v>
      </c>
      <c r="B3" s="579"/>
      <c r="C3" s="579"/>
      <c r="D3" s="579"/>
      <c r="E3" s="579"/>
      <c r="F3" s="579"/>
      <c r="G3" s="579"/>
      <c r="H3" s="579"/>
      <c r="I3" s="579"/>
      <c r="J3" s="579"/>
      <c r="K3" s="579"/>
      <c r="L3" s="579"/>
      <c r="M3" s="579"/>
      <c r="N3" s="51" t="s">
        <v>10</v>
      </c>
      <c r="O3" s="163"/>
      <c r="P3" s="198"/>
      <c r="Q3" s="163"/>
      <c r="R3" s="163"/>
      <c r="S3" s="163"/>
      <c r="T3" s="163"/>
      <c r="U3" s="163"/>
      <c r="V3" s="163"/>
    </row>
    <row r="4" spans="1:22" x14ac:dyDescent="0.2">
      <c r="A4" s="608" t="s">
        <v>1</v>
      </c>
      <c r="B4" s="608"/>
      <c r="C4" s="608"/>
      <c r="D4" s="608"/>
      <c r="E4" s="608"/>
      <c r="F4" s="608"/>
      <c r="G4" s="608"/>
      <c r="H4" s="608"/>
      <c r="I4" s="608"/>
      <c r="J4" s="608"/>
      <c r="K4" s="608"/>
      <c r="L4" s="608"/>
      <c r="M4" s="608"/>
      <c r="N4" s="51" t="s">
        <v>10</v>
      </c>
      <c r="O4" s="162"/>
      <c r="P4" s="198"/>
      <c r="Q4" s="162"/>
      <c r="R4" s="162"/>
      <c r="S4" s="162"/>
      <c r="T4" s="162"/>
      <c r="U4" s="162"/>
      <c r="V4" s="162"/>
    </row>
    <row r="5" spans="1:22" ht="15" x14ac:dyDescent="0.25">
      <c r="A5" s="608"/>
      <c r="B5" s="608"/>
      <c r="C5" s="608"/>
      <c r="D5" s="608"/>
      <c r="E5" s="608"/>
      <c r="F5" s="608"/>
      <c r="G5" s="608"/>
      <c r="H5" s="608"/>
      <c r="I5" s="608"/>
      <c r="J5" s="608"/>
      <c r="K5" s="608"/>
      <c r="L5" s="608"/>
      <c r="M5" s="608"/>
      <c r="N5" s="51" t="s">
        <v>10</v>
      </c>
      <c r="O5" s="162"/>
      <c r="P5" s="241"/>
      <c r="Q5" s="162"/>
      <c r="R5" s="162"/>
      <c r="S5" s="162"/>
      <c r="T5" s="162"/>
      <c r="U5" s="162"/>
      <c r="V5" s="162"/>
    </row>
    <row r="6" spans="1:22" ht="15" thickBot="1" x14ac:dyDescent="0.25">
      <c r="A6" s="608"/>
      <c r="B6" s="608"/>
      <c r="C6" s="608"/>
      <c r="D6" s="608"/>
      <c r="E6" s="608"/>
      <c r="F6" s="608"/>
      <c r="G6" s="608"/>
      <c r="H6" s="608"/>
      <c r="I6" s="608"/>
      <c r="J6" s="608"/>
      <c r="K6" s="608"/>
      <c r="L6" s="608"/>
      <c r="M6" s="608"/>
      <c r="N6" s="51" t="s">
        <v>10</v>
      </c>
      <c r="O6" s="162"/>
      <c r="P6" s="162"/>
      <c r="Q6" s="162"/>
      <c r="R6" s="162"/>
      <c r="S6" s="162"/>
      <c r="T6" s="162"/>
      <c r="U6" s="162"/>
      <c r="V6" s="162"/>
    </row>
    <row r="7" spans="1:22" ht="45.75" customHeight="1" x14ac:dyDescent="0.2">
      <c r="A7" s="585" t="s">
        <v>101</v>
      </c>
      <c r="B7" s="588" t="s">
        <v>126</v>
      </c>
      <c r="C7" s="588"/>
      <c r="D7" s="588"/>
      <c r="E7" s="588" t="s">
        <v>148</v>
      </c>
      <c r="F7" s="588"/>
      <c r="G7" s="588"/>
      <c r="H7" s="588" t="s">
        <v>127</v>
      </c>
      <c r="I7" s="588"/>
      <c r="J7" s="588"/>
      <c r="K7" s="588" t="s">
        <v>123</v>
      </c>
      <c r="L7" s="588"/>
      <c r="M7" s="589"/>
      <c r="N7" s="51" t="s">
        <v>10</v>
      </c>
    </row>
    <row r="8" spans="1:22" ht="28.5" x14ac:dyDescent="0.25">
      <c r="A8" s="586"/>
      <c r="B8" s="235" t="s">
        <v>2</v>
      </c>
      <c r="C8" s="235" t="s">
        <v>95</v>
      </c>
      <c r="D8" s="235" t="s">
        <v>3</v>
      </c>
      <c r="E8" s="235" t="s">
        <v>2</v>
      </c>
      <c r="F8" s="235" t="s">
        <v>110</v>
      </c>
      <c r="G8" s="235" t="s">
        <v>3</v>
      </c>
      <c r="H8" s="235" t="s">
        <v>2</v>
      </c>
      <c r="I8" s="235" t="s">
        <v>110</v>
      </c>
      <c r="J8" s="235" t="s">
        <v>3</v>
      </c>
      <c r="K8" s="235" t="s">
        <v>2</v>
      </c>
      <c r="L8" s="235" t="s">
        <v>110</v>
      </c>
      <c r="M8" s="234" t="s">
        <v>3</v>
      </c>
      <c r="N8" s="51" t="s">
        <v>10</v>
      </c>
      <c r="P8" s="240"/>
    </row>
    <row r="9" spans="1:22" x14ac:dyDescent="0.2">
      <c r="A9" s="173" t="s">
        <v>432</v>
      </c>
      <c r="B9" s="217">
        <v>0</v>
      </c>
      <c r="C9" s="217">
        <v>0</v>
      </c>
      <c r="D9" s="217">
        <v>730000</v>
      </c>
      <c r="E9" s="217">
        <v>0</v>
      </c>
      <c r="F9" s="217">
        <v>0</v>
      </c>
      <c r="G9" s="217">
        <v>745000</v>
      </c>
      <c r="H9" s="217">
        <v>0</v>
      </c>
      <c r="I9" s="217">
        <v>0</v>
      </c>
      <c r="J9" s="217">
        <v>0</v>
      </c>
      <c r="K9" s="217">
        <f>E9+H9</f>
        <v>0</v>
      </c>
      <c r="L9" s="217">
        <f>F9+I9</f>
        <v>0</v>
      </c>
      <c r="M9" s="286">
        <f>G9+J9</f>
        <v>745000</v>
      </c>
      <c r="N9" s="51" t="s">
        <v>10</v>
      </c>
    </row>
    <row r="10" spans="1:22" ht="15" x14ac:dyDescent="0.25">
      <c r="A10" s="13" t="s">
        <v>98</v>
      </c>
      <c r="B10" s="118">
        <f t="shared" ref="B10:M10" si="0">SUM(B9:B9)</f>
        <v>0</v>
      </c>
      <c r="C10" s="118">
        <f t="shared" si="0"/>
        <v>0</v>
      </c>
      <c r="D10" s="118">
        <f t="shared" si="0"/>
        <v>730000</v>
      </c>
      <c r="E10" s="118">
        <f t="shared" si="0"/>
        <v>0</v>
      </c>
      <c r="F10" s="118">
        <f t="shared" si="0"/>
        <v>0</v>
      </c>
      <c r="G10" s="118">
        <f t="shared" si="0"/>
        <v>745000</v>
      </c>
      <c r="H10" s="118">
        <f t="shared" si="0"/>
        <v>0</v>
      </c>
      <c r="I10" s="118">
        <f t="shared" si="0"/>
        <v>0</v>
      </c>
      <c r="J10" s="118">
        <f t="shared" si="0"/>
        <v>0</v>
      </c>
      <c r="K10" s="118">
        <f t="shared" si="0"/>
        <v>0</v>
      </c>
      <c r="L10" s="118">
        <f t="shared" si="0"/>
        <v>0</v>
      </c>
      <c r="M10" s="119">
        <f t="shared" si="0"/>
        <v>745000</v>
      </c>
      <c r="N10" s="51" t="s">
        <v>10</v>
      </c>
      <c r="P10" s="5"/>
    </row>
    <row r="11" spans="1:22" ht="15" x14ac:dyDescent="0.25">
      <c r="A11" s="218" t="s">
        <v>97</v>
      </c>
      <c r="B11" s="120"/>
      <c r="C11" s="120"/>
      <c r="D11" s="217">
        <v>0</v>
      </c>
      <c r="E11" s="120"/>
      <c r="F11" s="120"/>
      <c r="G11" s="217">
        <v>0</v>
      </c>
      <c r="H11" s="120"/>
      <c r="I11" s="120"/>
      <c r="J11" s="217">
        <v>0</v>
      </c>
      <c r="K11" s="120"/>
      <c r="L11" s="120"/>
      <c r="M11" s="286">
        <f>G11+J11</f>
        <v>0</v>
      </c>
      <c r="N11" s="51" t="s">
        <v>10</v>
      </c>
      <c r="P11" s="5"/>
    </row>
    <row r="12" spans="1:22" ht="15" x14ac:dyDescent="0.25">
      <c r="A12" s="214" t="s">
        <v>111</v>
      </c>
      <c r="B12" s="25"/>
      <c r="C12" s="25"/>
      <c r="D12" s="213">
        <f>SUM(D10:D11)</f>
        <v>730000</v>
      </c>
      <c r="E12" s="25"/>
      <c r="F12" s="25"/>
      <c r="G12" s="213">
        <f>SUM(G10:G11)</f>
        <v>745000</v>
      </c>
      <c r="H12" s="25"/>
      <c r="I12" s="25"/>
      <c r="J12" s="213">
        <f>SUM(J10:J11)</f>
        <v>0</v>
      </c>
      <c r="K12" s="25"/>
      <c r="L12" s="25"/>
      <c r="M12" s="211">
        <f>G12+J12</f>
        <v>745000</v>
      </c>
      <c r="N12" s="51" t="s">
        <v>10</v>
      </c>
      <c r="P12" s="5"/>
    </row>
    <row r="13" spans="1:22" x14ac:dyDescent="0.2">
      <c r="A13" s="210" t="s">
        <v>13</v>
      </c>
      <c r="B13" s="209"/>
      <c r="C13" s="209">
        <v>0</v>
      </c>
      <c r="D13" s="209"/>
      <c r="E13" s="209"/>
      <c r="F13" s="209">
        <v>0</v>
      </c>
      <c r="G13" s="209"/>
      <c r="H13" s="209"/>
      <c r="I13" s="209">
        <v>0</v>
      </c>
      <c r="J13" s="209"/>
      <c r="K13" s="209"/>
      <c r="L13" s="209">
        <f>F13+I13</f>
        <v>0</v>
      </c>
      <c r="M13" s="208"/>
      <c r="N13" s="51" t="s">
        <v>10</v>
      </c>
    </row>
    <row r="14" spans="1:22" x14ac:dyDescent="0.2">
      <c r="A14" s="207" t="s">
        <v>99</v>
      </c>
      <c r="B14" s="154"/>
      <c r="C14" s="154">
        <f>C10+C13</f>
        <v>0</v>
      </c>
      <c r="D14" s="154"/>
      <c r="E14" s="154"/>
      <c r="F14" s="154">
        <f>F10+F13</f>
        <v>0</v>
      </c>
      <c r="G14" s="154"/>
      <c r="H14" s="154"/>
      <c r="I14" s="154">
        <f>I10+I13</f>
        <v>0</v>
      </c>
      <c r="J14" s="154"/>
      <c r="K14" s="154"/>
      <c r="L14" s="154">
        <f>F14+I14</f>
        <v>0</v>
      </c>
      <c r="M14" s="151"/>
      <c r="N14" s="51" t="s">
        <v>10</v>
      </c>
    </row>
    <row r="15" spans="1:22" x14ac:dyDescent="0.2">
      <c r="A15" s="207"/>
      <c r="B15" s="154"/>
      <c r="C15" s="154"/>
      <c r="D15" s="154"/>
      <c r="E15" s="154"/>
      <c r="F15" s="154"/>
      <c r="G15" s="154"/>
      <c r="H15" s="154"/>
      <c r="I15" s="154"/>
      <c r="J15" s="154"/>
      <c r="K15" s="154"/>
      <c r="L15" s="154"/>
      <c r="M15" s="151"/>
      <c r="N15" s="51" t="s">
        <v>10</v>
      </c>
    </row>
    <row r="16" spans="1:22" x14ac:dyDescent="0.2">
      <c r="A16" s="207" t="s">
        <v>14</v>
      </c>
      <c r="B16" s="154"/>
      <c r="C16" s="154"/>
      <c r="D16" s="154"/>
      <c r="E16" s="154"/>
      <c r="F16" s="154"/>
      <c r="G16" s="154"/>
      <c r="H16" s="154"/>
      <c r="I16" s="154"/>
      <c r="J16" s="154"/>
      <c r="K16" s="154"/>
      <c r="L16" s="154"/>
      <c r="M16" s="151"/>
      <c r="N16" s="51" t="s">
        <v>10</v>
      </c>
    </row>
    <row r="17" spans="1:14" x14ac:dyDescent="0.2">
      <c r="A17" s="206" t="s">
        <v>15</v>
      </c>
      <c r="B17" s="154"/>
      <c r="C17" s="154">
        <v>0</v>
      </c>
      <c r="D17" s="154"/>
      <c r="E17" s="154"/>
      <c r="F17" s="154">
        <v>0</v>
      </c>
      <c r="G17" s="154"/>
      <c r="H17" s="154"/>
      <c r="I17" s="154">
        <v>0</v>
      </c>
      <c r="J17" s="154"/>
      <c r="K17" s="154"/>
      <c r="L17" s="154">
        <f>F17+I17</f>
        <v>0</v>
      </c>
      <c r="M17" s="151"/>
      <c r="N17" s="51" t="s">
        <v>10</v>
      </c>
    </row>
    <row r="18" spans="1:14" x14ac:dyDescent="0.2">
      <c r="A18" s="205" t="s">
        <v>16</v>
      </c>
      <c r="B18" s="204"/>
      <c r="C18" s="204">
        <v>0</v>
      </c>
      <c r="D18" s="204"/>
      <c r="E18" s="204"/>
      <c r="F18" s="204">
        <v>0</v>
      </c>
      <c r="G18" s="204"/>
      <c r="H18" s="204"/>
      <c r="I18" s="204">
        <v>0</v>
      </c>
      <c r="J18" s="204"/>
      <c r="K18" s="204"/>
      <c r="L18" s="204">
        <f>F18+I18</f>
        <v>0</v>
      </c>
      <c r="M18" s="203"/>
      <c r="N18" s="51" t="s">
        <v>10</v>
      </c>
    </row>
    <row r="19" spans="1:14" ht="15" thickBot="1" x14ac:dyDescent="0.25">
      <c r="A19" s="202" t="s">
        <v>100</v>
      </c>
      <c r="B19" s="201"/>
      <c r="C19" s="201">
        <f>C14+C17+C18</f>
        <v>0</v>
      </c>
      <c r="D19" s="201"/>
      <c r="E19" s="201"/>
      <c r="F19" s="201">
        <f>F14+F17+F18</f>
        <v>0</v>
      </c>
      <c r="G19" s="201"/>
      <c r="H19" s="201"/>
      <c r="I19" s="201">
        <f>I14+I17+I18</f>
        <v>0</v>
      </c>
      <c r="J19" s="201"/>
      <c r="K19" s="201"/>
      <c r="L19" s="201">
        <f>F19+I19</f>
        <v>0</v>
      </c>
      <c r="M19" s="200"/>
      <c r="N19" s="51" t="s">
        <v>10</v>
      </c>
    </row>
    <row r="20" spans="1:14" ht="15" thickBot="1" x14ac:dyDescent="0.25">
      <c r="N20" s="51" t="s">
        <v>10</v>
      </c>
    </row>
    <row r="21" spans="1:14" ht="15" x14ac:dyDescent="0.2">
      <c r="A21" s="585" t="s">
        <v>101</v>
      </c>
      <c r="B21" s="588" t="s">
        <v>128</v>
      </c>
      <c r="C21" s="588"/>
      <c r="D21" s="588"/>
      <c r="E21" s="588" t="s">
        <v>129</v>
      </c>
      <c r="F21" s="588"/>
      <c r="G21" s="588"/>
      <c r="H21" s="588" t="s">
        <v>130</v>
      </c>
      <c r="I21" s="588"/>
      <c r="J21" s="589"/>
      <c r="N21" s="51" t="s">
        <v>10</v>
      </c>
    </row>
    <row r="22" spans="1:14" ht="28.5" x14ac:dyDescent="0.2">
      <c r="A22" s="586"/>
      <c r="B22" s="235" t="s">
        <v>2</v>
      </c>
      <c r="C22" s="235" t="s">
        <v>110</v>
      </c>
      <c r="D22" s="235" t="s">
        <v>3</v>
      </c>
      <c r="E22" s="235" t="s">
        <v>2</v>
      </c>
      <c r="F22" s="235" t="s">
        <v>110</v>
      </c>
      <c r="G22" s="235" t="s">
        <v>3</v>
      </c>
      <c r="H22" s="235" t="s">
        <v>2</v>
      </c>
      <c r="I22" s="235" t="s">
        <v>110</v>
      </c>
      <c r="J22" s="234" t="s">
        <v>3</v>
      </c>
      <c r="N22" s="51" t="s">
        <v>10</v>
      </c>
    </row>
    <row r="23" spans="1:14" x14ac:dyDescent="0.2">
      <c r="A23" s="173" t="str">
        <f>A9</f>
        <v>Crime Victims Fund</v>
      </c>
      <c r="B23" s="217">
        <v>0</v>
      </c>
      <c r="C23" s="217">
        <v>0</v>
      </c>
      <c r="D23" s="217">
        <v>65000</v>
      </c>
      <c r="E23" s="217">
        <v>0</v>
      </c>
      <c r="F23" s="217">
        <v>0</v>
      </c>
      <c r="G23" s="217">
        <v>0</v>
      </c>
      <c r="H23" s="217">
        <f>K9+B23+E23</f>
        <v>0</v>
      </c>
      <c r="I23" s="217">
        <f>L9+C23+F23</f>
        <v>0</v>
      </c>
      <c r="J23" s="286">
        <f>M9+D23+G23</f>
        <v>810000</v>
      </c>
      <c r="N23" s="51" t="s">
        <v>10</v>
      </c>
    </row>
    <row r="24" spans="1:14" ht="15" x14ac:dyDescent="0.25">
      <c r="A24" s="13" t="s">
        <v>98</v>
      </c>
      <c r="B24" s="118">
        <f t="shared" ref="B24:J24" si="1">SUM(B23:B23)</f>
        <v>0</v>
      </c>
      <c r="C24" s="118">
        <f t="shared" si="1"/>
        <v>0</v>
      </c>
      <c r="D24" s="118">
        <f t="shared" si="1"/>
        <v>65000</v>
      </c>
      <c r="E24" s="118">
        <f t="shared" si="1"/>
        <v>0</v>
      </c>
      <c r="F24" s="118">
        <f t="shared" si="1"/>
        <v>0</v>
      </c>
      <c r="G24" s="118">
        <f t="shared" si="1"/>
        <v>0</v>
      </c>
      <c r="H24" s="118">
        <f t="shared" si="1"/>
        <v>0</v>
      </c>
      <c r="I24" s="118">
        <f t="shared" si="1"/>
        <v>0</v>
      </c>
      <c r="J24" s="119">
        <f t="shared" si="1"/>
        <v>810000</v>
      </c>
      <c r="N24" s="51" t="s">
        <v>10</v>
      </c>
    </row>
    <row r="25" spans="1:14" ht="15" x14ac:dyDescent="0.25">
      <c r="A25" s="218" t="s">
        <v>97</v>
      </c>
      <c r="B25" s="120"/>
      <c r="C25" s="120"/>
      <c r="D25" s="217">
        <v>0</v>
      </c>
      <c r="E25" s="120"/>
      <c r="F25" s="120"/>
      <c r="G25" s="217">
        <v>0</v>
      </c>
      <c r="H25" s="120"/>
      <c r="I25" s="120"/>
      <c r="J25" s="286">
        <f>M11+D25+G25</f>
        <v>0</v>
      </c>
      <c r="N25" s="51" t="s">
        <v>10</v>
      </c>
    </row>
    <row r="26" spans="1:14" ht="15" x14ac:dyDescent="0.25">
      <c r="A26" s="214" t="s">
        <v>111</v>
      </c>
      <c r="B26" s="25"/>
      <c r="C26" s="25"/>
      <c r="D26" s="213">
        <f>SUM(D24:D25)</f>
        <v>65000</v>
      </c>
      <c r="E26" s="25"/>
      <c r="F26" s="25"/>
      <c r="G26" s="213">
        <f>SUM(G24:G25)</f>
        <v>0</v>
      </c>
      <c r="H26" s="25"/>
      <c r="I26" s="25"/>
      <c r="J26" s="211">
        <f>M12+D26+G26</f>
        <v>810000</v>
      </c>
      <c r="N26" s="51" t="s">
        <v>10</v>
      </c>
    </row>
    <row r="27" spans="1:14" x14ac:dyDescent="0.2">
      <c r="A27" s="210" t="s">
        <v>13</v>
      </c>
      <c r="B27" s="209"/>
      <c r="C27" s="209">
        <v>0</v>
      </c>
      <c r="D27" s="209"/>
      <c r="E27" s="209"/>
      <c r="F27" s="209">
        <v>0</v>
      </c>
      <c r="G27" s="209"/>
      <c r="H27" s="209"/>
      <c r="I27" s="209">
        <f t="shared" ref="I27:I33" si="2">L13+C27+F27</f>
        <v>0</v>
      </c>
      <c r="J27" s="208"/>
      <c r="N27" s="51" t="s">
        <v>10</v>
      </c>
    </row>
    <row r="28" spans="1:14" x14ac:dyDescent="0.2">
      <c r="A28" s="207" t="s">
        <v>99</v>
      </c>
      <c r="B28" s="154"/>
      <c r="C28" s="154">
        <f>C24+C27</f>
        <v>0</v>
      </c>
      <c r="D28" s="154"/>
      <c r="E28" s="154"/>
      <c r="F28" s="154">
        <f>F24+F27</f>
        <v>0</v>
      </c>
      <c r="G28" s="154"/>
      <c r="H28" s="154"/>
      <c r="I28" s="154">
        <f t="shared" si="2"/>
        <v>0</v>
      </c>
      <c r="J28" s="151"/>
      <c r="N28" s="51" t="s">
        <v>10</v>
      </c>
    </row>
    <row r="29" spans="1:14" x14ac:dyDescent="0.2">
      <c r="A29" s="207"/>
      <c r="B29" s="154"/>
      <c r="C29" s="154"/>
      <c r="D29" s="154"/>
      <c r="E29" s="154"/>
      <c r="F29" s="154"/>
      <c r="G29" s="154"/>
      <c r="H29" s="154"/>
      <c r="I29" s="154">
        <f t="shared" si="2"/>
        <v>0</v>
      </c>
      <c r="J29" s="151"/>
      <c r="N29" s="51" t="s">
        <v>10</v>
      </c>
    </row>
    <row r="30" spans="1:14" x14ac:dyDescent="0.2">
      <c r="A30" s="207" t="s">
        <v>14</v>
      </c>
      <c r="B30" s="154"/>
      <c r="C30" s="154"/>
      <c r="D30" s="154"/>
      <c r="E30" s="154"/>
      <c r="F30" s="154"/>
      <c r="G30" s="154"/>
      <c r="H30" s="154"/>
      <c r="I30" s="154">
        <f t="shared" si="2"/>
        <v>0</v>
      </c>
      <c r="J30" s="151"/>
      <c r="N30" s="51" t="s">
        <v>10</v>
      </c>
    </row>
    <row r="31" spans="1:14" x14ac:dyDescent="0.2">
      <c r="A31" s="206" t="s">
        <v>15</v>
      </c>
      <c r="B31" s="154"/>
      <c r="C31" s="154">
        <v>0</v>
      </c>
      <c r="D31" s="154"/>
      <c r="E31" s="154"/>
      <c r="F31" s="154">
        <v>0</v>
      </c>
      <c r="G31" s="154"/>
      <c r="H31" s="154"/>
      <c r="I31" s="154">
        <f t="shared" si="2"/>
        <v>0</v>
      </c>
      <c r="J31" s="151"/>
      <c r="N31" s="51" t="s">
        <v>10</v>
      </c>
    </row>
    <row r="32" spans="1:14" x14ac:dyDescent="0.2">
      <c r="A32" s="205" t="s">
        <v>16</v>
      </c>
      <c r="B32" s="204"/>
      <c r="C32" s="204">
        <v>0</v>
      </c>
      <c r="D32" s="204"/>
      <c r="E32" s="204"/>
      <c r="F32" s="204">
        <v>0</v>
      </c>
      <c r="G32" s="204"/>
      <c r="H32" s="204"/>
      <c r="I32" s="204">
        <f t="shared" si="2"/>
        <v>0</v>
      </c>
      <c r="J32" s="203"/>
      <c r="N32" s="51" t="s">
        <v>10</v>
      </c>
    </row>
    <row r="33" spans="1:14" ht="15" thickBot="1" x14ac:dyDescent="0.25">
      <c r="A33" s="202" t="s">
        <v>100</v>
      </c>
      <c r="B33" s="201"/>
      <c r="C33" s="201">
        <f>C28+C31+C32</f>
        <v>0</v>
      </c>
      <c r="D33" s="201"/>
      <c r="E33" s="201"/>
      <c r="F33" s="201">
        <f>F28+F31+F32</f>
        <v>0</v>
      </c>
      <c r="G33" s="201"/>
      <c r="H33" s="201"/>
      <c r="I33" s="201">
        <f t="shared" si="2"/>
        <v>0</v>
      </c>
      <c r="J33" s="200"/>
      <c r="N33" s="51" t="s">
        <v>10</v>
      </c>
    </row>
    <row r="34" spans="1:14" x14ac:dyDescent="0.2">
      <c r="N34" s="4" t="s">
        <v>11</v>
      </c>
    </row>
    <row r="35" spans="1:14" x14ac:dyDescent="0.2">
      <c r="A35" s="30"/>
    </row>
    <row r="36" spans="1:14" x14ac:dyDescent="0.2">
      <c r="A36" s="160"/>
    </row>
  </sheetData>
  <customSheetViews>
    <customSheetView guid="{EE916FE7-61FB-4021-ADDD-E082241FC03C}" scale="80" showPageBreaks="1" printArea="1" view="pageBreakPreview">
      <selection activeCell="N46" sqref="N46"/>
      <pageMargins left="0.7" right="0.7" top="0.75" bottom="0.75" header="0.3" footer="0.3"/>
      <printOptions horizontalCentered="1"/>
      <pageSetup scale="78" orientation="landscape" r:id="rId1"/>
      <headerFooter>
        <oddHeader>&amp;L&amp;"Arial,Bold"&amp;12B. Summary of Requirements</oddHeader>
        <oddFooter>&amp;C&amp;"Arial,Regular"Exhibit B - Summary of Requirements&amp;R&amp;"Arial,Regular"Crime Victims Fund</oddFooter>
      </headerFooter>
    </customSheetView>
    <customSheetView guid="{0BB5DC4B-BC2A-4489-BE17-5E267FA1EF63}" scale="80" showPageBreaks="1" printArea="1" view="pageBreakPreview">
      <selection activeCell="N46" sqref="N46"/>
      <pageMargins left="0.7" right="0.7" top="0.75" bottom="0.75" header="0.3" footer="0.3"/>
      <printOptions horizontalCentered="1"/>
      <pageSetup scale="78" orientation="landscape" r:id="rId2"/>
      <headerFooter>
        <oddHeader>&amp;L&amp;"Arial,Bold"&amp;12B. Summary of Requirements</oddHeader>
        <oddFooter>&amp;C&amp;"Arial,Regular"Exhibit B - Summary of Requirements&amp;R&amp;"Arial,Regular"Crime Victims Fund</oddFooter>
      </headerFooter>
    </customSheetView>
    <customSheetView guid="{6C58FFE1-D756-42C4-A1BC-AA7F1DC1E56F}" scale="80" showPageBreaks="1" printArea="1" view="pageBreakPreview">
      <selection activeCell="N46" sqref="N46"/>
      <pageMargins left="0.7" right="0.7" top="0.75" bottom="0.75" header="0.3" footer="0.3"/>
      <printOptions horizontalCentered="1"/>
      <pageSetup scale="78" orientation="landscape" r:id="rId3"/>
      <headerFooter>
        <oddHeader>&amp;L&amp;"Arial,Bold"&amp;12B. Summary of Requirements</oddHeader>
        <oddFooter>&amp;C&amp;"Arial,Regular"Exhibit B - Summary of Requirements&amp;R&amp;"Arial,Regular"Crime Victims Fund</oddFooter>
      </headerFooter>
    </customSheetView>
    <customSheetView guid="{CFA5D1C9-F4C9-4B8D-923D-4C71CB6E7D3B}" scale="80" showPageBreaks="1" printArea="1" view="pageBreakPreview">
      <selection activeCell="N46" sqref="N46"/>
      <pageMargins left="0.7" right="0.7" top="0.75" bottom="0.75" header="0.3" footer="0.3"/>
      <printOptions horizontalCentered="1"/>
      <pageSetup scale="78" orientation="landscape" r:id="rId4"/>
      <headerFooter>
        <oddHeader>&amp;L&amp;"Arial,Bold"&amp;12B. Summary of Requirements</oddHeader>
        <oddFooter>&amp;C&amp;"Arial,Regular"Exhibit B - Summary of Requirements&amp;R&amp;"Arial,Regular"Crime Victims Fund</oddFooter>
      </headerFooter>
    </customSheetView>
    <customSheetView guid="{A788DF77-74F1-49E4-8B34-BFBDB7664F30}" scale="80" showPageBreaks="1" printArea="1" view="pageBreakPreview">
      <selection activeCell="N46" sqref="N46"/>
      <pageMargins left="0.7" right="0.7" top="0.75" bottom="0.75" header="0.3" footer="0.3"/>
      <printOptions horizontalCentered="1"/>
      <pageSetup scale="78" orientation="landscape" r:id="rId5"/>
      <headerFooter>
        <oddHeader>&amp;L&amp;"Arial,Bold"&amp;12B. Summary of Requirements</oddHeader>
        <oddFooter>&amp;C&amp;"Arial,Regular"Exhibit B - Summary of Requirements&amp;R&amp;"Arial,Regular"Crime Victims Fund</oddFooter>
      </headerFooter>
    </customSheetView>
  </customSheetViews>
  <mergeCells count="15">
    <mergeCell ref="A5:M5"/>
    <mergeCell ref="A6:M6"/>
    <mergeCell ref="A21:A22"/>
    <mergeCell ref="A1:M1"/>
    <mergeCell ref="A2:M2"/>
    <mergeCell ref="A3:M3"/>
    <mergeCell ref="A4:M4"/>
    <mergeCell ref="A7:A8"/>
    <mergeCell ref="B7:D7"/>
    <mergeCell ref="E7:G7"/>
    <mergeCell ref="H7:J7"/>
    <mergeCell ref="K7:M7"/>
    <mergeCell ref="B21:D21"/>
    <mergeCell ref="E21:G21"/>
    <mergeCell ref="H21:J21"/>
  </mergeCells>
  <printOptions horizontalCentered="1"/>
  <pageMargins left="0.7" right="0.7" top="0.75" bottom="0.75" header="0.3" footer="0.3"/>
  <pageSetup scale="78" orientation="landscape" r:id="rId6"/>
  <headerFooter>
    <oddHeader>&amp;L&amp;"Arial,Bold"&amp;12B. Summary of Requirements</oddHeader>
    <oddFooter>&amp;C&amp;"Arial,Regular"Exhibit B - Summary of Requirements&amp;R&amp;"Arial,Regular"Crime Victims Fund</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view="pageBreakPreview" zoomScale="80" zoomScaleNormal="100" zoomScaleSheetLayoutView="80" workbookViewId="0">
      <selection activeCell="A4" sqref="A4:J4"/>
    </sheetView>
  </sheetViews>
  <sheetFormatPr defaultRowHeight="14.25" x14ac:dyDescent="0.2"/>
  <cols>
    <col min="1" max="1" width="61.140625" style="143" customWidth="1"/>
    <col min="2" max="2" width="21" style="143" customWidth="1"/>
    <col min="3" max="5" width="8.7109375" style="143" customWidth="1"/>
    <col min="6" max="6" width="12.7109375" style="143" customWidth="1"/>
    <col min="7" max="9" width="8.7109375" style="143" customWidth="1"/>
    <col min="10" max="10" width="12.7109375" style="143" customWidth="1"/>
    <col min="11" max="11" width="14" style="4" bestFit="1" customWidth="1"/>
    <col min="12" max="12" width="4.5703125" style="143" customWidth="1"/>
    <col min="13" max="13" width="122.85546875" style="143" customWidth="1"/>
    <col min="14" max="15" width="8.28515625" style="143" customWidth="1"/>
    <col min="16" max="16" width="12.7109375" style="143" customWidth="1"/>
    <col min="17" max="18" width="8.28515625" style="143" customWidth="1"/>
    <col min="19" max="19" width="12.7109375" style="143" customWidth="1"/>
    <col min="20" max="16384" width="9.140625" style="143"/>
  </cols>
  <sheetData>
    <row r="1" spans="1:19" ht="18" x14ac:dyDescent="0.25">
      <c r="A1" s="577" t="s">
        <v>131</v>
      </c>
      <c r="B1" s="577"/>
      <c r="C1" s="577"/>
      <c r="D1" s="577"/>
      <c r="E1" s="577"/>
      <c r="F1" s="577"/>
      <c r="G1" s="577"/>
      <c r="H1" s="577"/>
      <c r="I1" s="577"/>
      <c r="J1" s="577"/>
      <c r="K1" s="243" t="s">
        <v>11</v>
      </c>
      <c r="L1" s="6"/>
      <c r="M1" s="256"/>
      <c r="N1" s="6"/>
      <c r="O1" s="6"/>
      <c r="P1" s="6"/>
      <c r="Q1" s="6"/>
      <c r="R1" s="6"/>
      <c r="S1" s="6"/>
    </row>
    <row r="2" spans="1:19" ht="18" x14ac:dyDescent="0.25">
      <c r="A2" s="578" t="s">
        <v>152</v>
      </c>
      <c r="B2" s="578"/>
      <c r="C2" s="578"/>
      <c r="D2" s="578"/>
      <c r="E2" s="578"/>
      <c r="F2" s="578"/>
      <c r="G2" s="578"/>
      <c r="H2" s="578"/>
      <c r="I2" s="578"/>
      <c r="J2" s="578"/>
      <c r="K2" s="243" t="s">
        <v>10</v>
      </c>
      <c r="L2" s="7"/>
      <c r="M2" s="255"/>
      <c r="N2" s="7"/>
      <c r="O2" s="7"/>
      <c r="P2" s="7"/>
      <c r="Q2" s="7"/>
      <c r="R2" s="7"/>
      <c r="S2" s="7"/>
    </row>
    <row r="3" spans="1:19" ht="18" x14ac:dyDescent="0.25">
      <c r="A3" s="579" t="s">
        <v>434</v>
      </c>
      <c r="B3" s="579"/>
      <c r="C3" s="579"/>
      <c r="D3" s="579"/>
      <c r="E3" s="579"/>
      <c r="F3" s="579"/>
      <c r="G3" s="579"/>
      <c r="H3" s="579"/>
      <c r="I3" s="579"/>
      <c r="J3" s="579"/>
      <c r="K3" s="243" t="s">
        <v>10</v>
      </c>
      <c r="L3" s="163"/>
      <c r="M3" s="254"/>
      <c r="N3" s="163"/>
      <c r="O3" s="163"/>
      <c r="P3" s="163"/>
      <c r="Q3" s="163"/>
      <c r="R3" s="163"/>
      <c r="S3" s="163"/>
    </row>
    <row r="4" spans="1:19" ht="18" x14ac:dyDescent="0.25">
      <c r="A4" s="608" t="s">
        <v>1</v>
      </c>
      <c r="B4" s="608"/>
      <c r="C4" s="608"/>
      <c r="D4" s="608"/>
      <c r="E4" s="608"/>
      <c r="F4" s="608"/>
      <c r="G4" s="608"/>
      <c r="H4" s="608"/>
      <c r="I4" s="608"/>
      <c r="J4" s="608"/>
      <c r="K4" s="243" t="s">
        <v>10</v>
      </c>
      <c r="L4" s="162"/>
      <c r="M4" s="254"/>
      <c r="N4" s="162"/>
      <c r="O4" s="162"/>
      <c r="P4" s="162"/>
      <c r="Q4" s="162"/>
      <c r="R4" s="162"/>
      <c r="S4" s="162"/>
    </row>
    <row r="5" spans="1:19" ht="18.75" thickBot="1" x14ac:dyDescent="0.3">
      <c r="A5" s="640"/>
      <c r="B5" s="640"/>
      <c r="C5" s="640"/>
      <c r="D5" s="640"/>
      <c r="E5" s="640"/>
      <c r="F5" s="640"/>
      <c r="G5" s="640"/>
      <c r="H5" s="640"/>
      <c r="I5" s="640"/>
      <c r="J5" s="640"/>
      <c r="K5" s="243" t="s">
        <v>10</v>
      </c>
      <c r="L5" s="162"/>
      <c r="M5" s="253"/>
      <c r="N5" s="162"/>
      <c r="O5" s="162"/>
      <c r="P5" s="162"/>
      <c r="Q5" s="162"/>
      <c r="R5" s="162"/>
      <c r="S5" s="162"/>
    </row>
    <row r="6" spans="1:19" ht="33.75" customHeight="1" x14ac:dyDescent="0.25">
      <c r="A6" s="585" t="s">
        <v>18</v>
      </c>
      <c r="B6" s="590" t="s">
        <v>146</v>
      </c>
      <c r="C6" s="588" t="s">
        <v>432</v>
      </c>
      <c r="D6" s="588"/>
      <c r="E6" s="588"/>
      <c r="F6" s="588"/>
      <c r="G6" s="588" t="s">
        <v>19</v>
      </c>
      <c r="H6" s="588"/>
      <c r="I6" s="588"/>
      <c r="J6" s="589"/>
      <c r="K6" s="243" t="s">
        <v>10</v>
      </c>
    </row>
    <row r="7" spans="1:19" ht="28.5" x14ac:dyDescent="0.25">
      <c r="A7" s="586"/>
      <c r="B7" s="591"/>
      <c r="C7" s="235" t="s">
        <v>2</v>
      </c>
      <c r="D7" s="235" t="s">
        <v>22</v>
      </c>
      <c r="E7" s="235" t="s">
        <v>110</v>
      </c>
      <c r="F7" s="235" t="s">
        <v>3</v>
      </c>
      <c r="G7" s="235" t="s">
        <v>2</v>
      </c>
      <c r="H7" s="235" t="s">
        <v>22</v>
      </c>
      <c r="I7" s="235" t="s">
        <v>110</v>
      </c>
      <c r="J7" s="234" t="s">
        <v>3</v>
      </c>
      <c r="K7" s="243" t="s">
        <v>10</v>
      </c>
    </row>
    <row r="8" spans="1:19" ht="18" x14ac:dyDescent="0.25">
      <c r="A8" s="413" t="s">
        <v>433</v>
      </c>
      <c r="B8" s="248" t="s">
        <v>432</v>
      </c>
      <c r="C8" s="414">
        <v>0</v>
      </c>
      <c r="D8" s="414">
        <v>0</v>
      </c>
      <c r="E8" s="414">
        <v>0</v>
      </c>
      <c r="F8" s="414">
        <v>65000</v>
      </c>
      <c r="G8" s="414">
        <f>C8</f>
        <v>0</v>
      </c>
      <c r="H8" s="414">
        <f>D8</f>
        <v>0</v>
      </c>
      <c r="I8" s="414">
        <f>E8</f>
        <v>0</v>
      </c>
      <c r="J8" s="415">
        <f>F8</f>
        <v>65000</v>
      </c>
      <c r="K8" s="243" t="s">
        <v>10</v>
      </c>
      <c r="M8" s="252"/>
    </row>
    <row r="9" spans="1:19" ht="18.75" thickBot="1" x14ac:dyDescent="0.3">
      <c r="A9" s="21" t="s">
        <v>21</v>
      </c>
      <c r="B9" s="22"/>
      <c r="C9" s="27">
        <f t="shared" ref="C9:J9" si="0">SUM(C8:C8)</f>
        <v>0</v>
      </c>
      <c r="D9" s="27">
        <f t="shared" si="0"/>
        <v>0</v>
      </c>
      <c r="E9" s="27">
        <f t="shared" si="0"/>
        <v>0</v>
      </c>
      <c r="F9" s="27">
        <f t="shared" si="0"/>
        <v>65000</v>
      </c>
      <c r="G9" s="27">
        <f t="shared" si="0"/>
        <v>0</v>
      </c>
      <c r="H9" s="27">
        <f t="shared" si="0"/>
        <v>0</v>
      </c>
      <c r="I9" s="27">
        <f t="shared" si="0"/>
        <v>0</v>
      </c>
      <c r="J9" s="251">
        <f t="shared" si="0"/>
        <v>65000</v>
      </c>
      <c r="K9" s="243" t="s">
        <v>10</v>
      </c>
      <c r="M9" s="5"/>
    </row>
    <row r="10" spans="1:19" ht="18" x14ac:dyDescent="0.25">
      <c r="K10" s="243" t="s">
        <v>11</v>
      </c>
    </row>
    <row r="12" spans="1:19" x14ac:dyDescent="0.2">
      <c r="B12" s="242"/>
    </row>
  </sheetData>
  <customSheetViews>
    <customSheetView guid="{EE916FE7-61FB-4021-ADDD-E082241FC03C}" scale="80" showPageBreaks="1" printArea="1" view="pageBreakPreview">
      <selection activeCell="J43" sqref="J43"/>
      <pageMargins left="0.7" right="0.7" top="0.66" bottom="0.65" header="0.3" footer="0.3"/>
      <printOptions horizontalCentered="1"/>
      <pageSetup scale="61" orientation="landscape" r:id="rId1"/>
      <headerFooter>
        <oddHeader xml:space="preserve">&amp;L&amp;"Arial,Bold"&amp;12C. Program Changes by Decision Unit
</oddHeader>
        <oddFooter>&amp;C&amp;"Arial,Regular"Exhibit C - Program Changes by Decision Unit&amp;R&amp;"Arial,Regular"Crime  Victims Fund</oddFooter>
      </headerFooter>
    </customSheetView>
    <customSheetView guid="{0BB5DC4B-BC2A-4489-BE17-5E267FA1EF63}" scale="80" showPageBreaks="1" printArea="1" view="pageBreakPreview">
      <selection activeCell="J43" sqref="J43"/>
      <pageMargins left="0.7" right="0.7" top="0.66" bottom="0.65" header="0.3" footer="0.3"/>
      <printOptions horizontalCentered="1"/>
      <pageSetup scale="61" orientation="landscape" r:id="rId2"/>
      <headerFooter>
        <oddHeader xml:space="preserve">&amp;L&amp;"Arial,Bold"&amp;12C. Program Changes by Decision Unit
</oddHeader>
        <oddFooter>&amp;C&amp;"Arial,Regular"Exhibit C - Program Changes by Decision Unit&amp;R&amp;"Arial,Regular"Crime  Victims Fund</oddFooter>
      </headerFooter>
    </customSheetView>
    <customSheetView guid="{6C58FFE1-D756-42C4-A1BC-AA7F1DC1E56F}" scale="80" showPageBreaks="1" printArea="1" view="pageBreakPreview">
      <selection activeCell="J43" sqref="J43"/>
      <pageMargins left="0.7" right="0.7" top="0.66" bottom="0.65" header="0.3" footer="0.3"/>
      <printOptions horizontalCentered="1"/>
      <pageSetup scale="61" orientation="landscape" r:id="rId3"/>
      <headerFooter>
        <oddHeader xml:space="preserve">&amp;L&amp;"Arial,Bold"&amp;12C. Program Changes by Decision Unit
</oddHeader>
        <oddFooter>&amp;C&amp;"Arial,Regular"Exhibit C - Program Changes by Decision Unit&amp;R&amp;"Arial,Regular"Crime  Victims Fund</oddFooter>
      </headerFooter>
    </customSheetView>
    <customSheetView guid="{CFA5D1C9-F4C9-4B8D-923D-4C71CB6E7D3B}" scale="80" showPageBreaks="1" printArea="1" view="pageBreakPreview">
      <selection activeCell="J43" sqref="J43"/>
      <pageMargins left="0.7" right="0.7" top="0.66" bottom="0.65" header="0.3" footer="0.3"/>
      <printOptions horizontalCentered="1"/>
      <pageSetup scale="61" orientation="landscape" r:id="rId4"/>
      <headerFooter>
        <oddHeader xml:space="preserve">&amp;L&amp;"Arial,Bold"&amp;12C. Program Changes by Decision Unit
</oddHeader>
        <oddFooter>&amp;C&amp;"Arial,Regular"Exhibit C - Program Changes by Decision Unit&amp;R&amp;"Arial,Regular"Crime  Victims Fund</oddFooter>
      </headerFooter>
    </customSheetView>
    <customSheetView guid="{A788DF77-74F1-49E4-8B34-BFBDB7664F30}" scale="80" showPageBreaks="1" printArea="1" view="pageBreakPreview">
      <selection activeCell="J43" sqref="J43"/>
      <pageMargins left="0.7" right="0.7" top="0.66" bottom="0.65" header="0.3" footer="0.3"/>
      <printOptions horizontalCentered="1"/>
      <pageSetup scale="61" orientation="landscape" r:id="rId5"/>
      <headerFooter>
        <oddHeader xml:space="preserve">&amp;L&amp;"Arial,Bold"&amp;12C. Program Changes by Decision Unit
</oddHeader>
        <oddFooter>&amp;C&amp;"Arial,Regular"Exhibit C - Program Changes by Decision Unit&amp;R&amp;"Arial,Regular"Crime  Victims Fund</oddFooter>
      </headerFooter>
    </customSheetView>
  </customSheetViews>
  <mergeCells count="9">
    <mergeCell ref="A1:J1"/>
    <mergeCell ref="A2:J2"/>
    <mergeCell ref="A3:J3"/>
    <mergeCell ref="A4:J4"/>
    <mergeCell ref="B6:B7"/>
    <mergeCell ref="G6:J6"/>
    <mergeCell ref="A6:A7"/>
    <mergeCell ref="C6:F6"/>
    <mergeCell ref="A5:J5"/>
  </mergeCells>
  <printOptions horizontalCentered="1"/>
  <pageMargins left="0.7" right="0.7" top="0.66" bottom="0.65" header="0.3" footer="0.3"/>
  <pageSetup scale="75" orientation="landscape" r:id="rId6"/>
  <headerFooter>
    <oddHeader xml:space="preserve">&amp;L&amp;"Arial,Bold"&amp;12C. Program Changes by Decision Unit
</oddHeader>
    <oddFooter>&amp;C&amp;"Arial,Regular"Exhibit C - Program Changes by Decision Unit&amp;R&amp;"Arial,Regular"Crime  Victims Fund</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view="pageBreakPreview" topLeftCell="A3" zoomScale="80" zoomScaleNormal="100" zoomScaleSheetLayoutView="80" workbookViewId="0">
      <selection activeCell="M7" sqref="M7:N33"/>
    </sheetView>
  </sheetViews>
  <sheetFormatPr defaultRowHeight="14.25" x14ac:dyDescent="0.2"/>
  <cols>
    <col min="1" max="1" width="7.42578125" style="143" bestFit="1" customWidth="1"/>
    <col min="2" max="2" width="58.140625" style="143" customWidth="1"/>
    <col min="3" max="3" width="8.7109375" style="143" customWidth="1"/>
    <col min="4" max="4" width="12.7109375" style="143" customWidth="1"/>
    <col min="5" max="5" width="10.28515625" style="143" customWidth="1"/>
    <col min="6" max="6" width="12.7109375" style="143" customWidth="1"/>
    <col min="7" max="7" width="13" style="143" customWidth="1"/>
    <col min="8" max="8" width="12.7109375" style="143" customWidth="1"/>
    <col min="9" max="9" width="8.7109375" style="143" customWidth="1"/>
    <col min="10" max="10" width="12.7109375" style="143" customWidth="1"/>
    <col min="11" max="11" width="11.7109375" style="143" customWidth="1"/>
    <col min="12" max="12" width="12.7109375" style="143" customWidth="1"/>
    <col min="13" max="13" width="12.85546875" style="143" customWidth="1"/>
    <col min="14" max="14" width="12.7109375" style="143" customWidth="1"/>
    <col min="15" max="15" width="14" style="4" bestFit="1" customWidth="1"/>
    <col min="16" max="16" width="4.5703125" style="143" customWidth="1"/>
    <col min="17" max="17" width="122.85546875" style="143" customWidth="1"/>
    <col min="18" max="19" width="8.28515625" style="143" customWidth="1"/>
    <col min="20" max="20" width="12.7109375" style="143" customWidth="1"/>
    <col min="21" max="22" width="8.28515625" style="143" customWidth="1"/>
    <col min="23" max="23" width="12.7109375" style="143" customWidth="1"/>
    <col min="24" max="16384" width="9.140625" style="143"/>
  </cols>
  <sheetData>
    <row r="1" spans="1:23" ht="18" x14ac:dyDescent="0.25">
      <c r="A1" s="577" t="s">
        <v>222</v>
      </c>
      <c r="B1" s="577"/>
      <c r="C1" s="577"/>
      <c r="D1" s="577"/>
      <c r="E1" s="577"/>
      <c r="F1" s="577"/>
      <c r="G1" s="577"/>
      <c r="H1" s="577"/>
      <c r="I1" s="577"/>
      <c r="J1" s="577"/>
      <c r="K1" s="577"/>
      <c r="L1" s="577"/>
      <c r="M1" s="577"/>
      <c r="N1" s="577"/>
      <c r="O1" s="51" t="s">
        <v>10</v>
      </c>
      <c r="P1" s="6"/>
      <c r="Q1" s="199"/>
      <c r="R1" s="6"/>
      <c r="S1" s="6"/>
      <c r="T1" s="6"/>
      <c r="U1" s="6"/>
      <c r="V1" s="6"/>
      <c r="W1" s="6"/>
    </row>
    <row r="2" spans="1:23" ht="15" x14ac:dyDescent="0.2">
      <c r="A2" s="578" t="s">
        <v>152</v>
      </c>
      <c r="B2" s="578"/>
      <c r="C2" s="578"/>
      <c r="D2" s="578"/>
      <c r="E2" s="578"/>
      <c r="F2" s="578"/>
      <c r="G2" s="578"/>
      <c r="H2" s="578"/>
      <c r="I2" s="578"/>
      <c r="J2" s="578"/>
      <c r="K2" s="578"/>
      <c r="L2" s="578"/>
      <c r="M2" s="578"/>
      <c r="N2" s="578"/>
      <c r="O2" s="51" t="s">
        <v>10</v>
      </c>
      <c r="P2" s="7"/>
      <c r="Q2" s="198"/>
      <c r="R2" s="7"/>
      <c r="S2" s="7"/>
      <c r="T2" s="7"/>
      <c r="U2" s="7"/>
      <c r="V2" s="7"/>
      <c r="W2" s="7"/>
    </row>
    <row r="3" spans="1:23" x14ac:dyDescent="0.2">
      <c r="A3" s="579" t="s">
        <v>432</v>
      </c>
      <c r="B3" s="579"/>
      <c r="C3" s="579"/>
      <c r="D3" s="579"/>
      <c r="E3" s="579"/>
      <c r="F3" s="579"/>
      <c r="G3" s="579"/>
      <c r="H3" s="579"/>
      <c r="I3" s="579"/>
      <c r="J3" s="579"/>
      <c r="K3" s="579"/>
      <c r="L3" s="579"/>
      <c r="M3" s="579"/>
      <c r="N3" s="579"/>
      <c r="O3" s="51" t="s">
        <v>10</v>
      </c>
      <c r="P3" s="163"/>
      <c r="Q3" s="198"/>
      <c r="R3" s="163"/>
      <c r="S3" s="163"/>
      <c r="T3" s="163"/>
      <c r="U3" s="163"/>
      <c r="V3" s="163"/>
      <c r="W3" s="163"/>
    </row>
    <row r="4" spans="1:23" x14ac:dyDescent="0.2">
      <c r="A4" s="608" t="s">
        <v>1</v>
      </c>
      <c r="B4" s="608"/>
      <c r="C4" s="608"/>
      <c r="D4" s="608"/>
      <c r="E4" s="608"/>
      <c r="F4" s="608"/>
      <c r="G4" s="608"/>
      <c r="H4" s="608"/>
      <c r="I4" s="608"/>
      <c r="J4" s="608"/>
      <c r="K4" s="608"/>
      <c r="L4" s="608"/>
      <c r="M4" s="608"/>
      <c r="N4" s="608"/>
      <c r="O4" s="51" t="s">
        <v>10</v>
      </c>
      <c r="P4" s="162"/>
      <c r="Q4" s="198"/>
      <c r="R4" s="162"/>
      <c r="S4" s="162"/>
      <c r="T4" s="162"/>
      <c r="U4" s="162"/>
      <c r="V4" s="162"/>
      <c r="W4" s="162"/>
    </row>
    <row r="5" spans="1:23" ht="15" x14ac:dyDescent="0.25">
      <c r="A5" s="579"/>
      <c r="B5" s="579"/>
      <c r="C5" s="579"/>
      <c r="D5" s="579"/>
      <c r="E5" s="579"/>
      <c r="F5" s="579"/>
      <c r="G5" s="579"/>
      <c r="H5" s="579"/>
      <c r="I5" s="579"/>
      <c r="J5" s="579"/>
      <c r="K5" s="579"/>
      <c r="L5" s="579"/>
      <c r="M5" s="579"/>
      <c r="N5" s="579"/>
      <c r="O5" s="51" t="s">
        <v>10</v>
      </c>
      <c r="P5" s="162"/>
      <c r="Q5" s="241"/>
      <c r="R5" s="162"/>
      <c r="S5" s="162"/>
      <c r="T5" s="162"/>
      <c r="U5" s="162"/>
      <c r="V5" s="162"/>
      <c r="W5" s="162"/>
    </row>
    <row r="6" spans="1:23" ht="15" thickBot="1" x14ac:dyDescent="0.25">
      <c r="A6" s="613"/>
      <c r="B6" s="613"/>
      <c r="C6" s="613"/>
      <c r="D6" s="613"/>
      <c r="E6" s="613"/>
      <c r="F6" s="613"/>
      <c r="G6" s="613"/>
      <c r="H6" s="613"/>
      <c r="I6" s="613"/>
      <c r="J6" s="613"/>
      <c r="K6" s="613"/>
      <c r="L6" s="613"/>
      <c r="M6" s="613"/>
      <c r="N6" s="613"/>
      <c r="O6" s="51" t="s">
        <v>10</v>
      </c>
      <c r="P6" s="162"/>
      <c r="Q6" s="276"/>
      <c r="R6" s="162"/>
      <c r="S6" s="162"/>
      <c r="T6" s="162"/>
      <c r="U6" s="162"/>
      <c r="V6" s="162"/>
      <c r="W6" s="162"/>
    </row>
    <row r="7" spans="1:23" ht="46.5" customHeight="1" x14ac:dyDescent="0.2">
      <c r="A7" s="623" t="s">
        <v>221</v>
      </c>
      <c r="B7" s="630"/>
      <c r="C7" s="588" t="s">
        <v>126</v>
      </c>
      <c r="D7" s="588"/>
      <c r="E7" s="588" t="s">
        <v>148</v>
      </c>
      <c r="F7" s="588"/>
      <c r="G7" s="588" t="s">
        <v>123</v>
      </c>
      <c r="H7" s="588"/>
      <c r="I7" s="588" t="s">
        <v>128</v>
      </c>
      <c r="J7" s="588"/>
      <c r="K7" s="588" t="s">
        <v>129</v>
      </c>
      <c r="L7" s="588"/>
      <c r="M7" s="588" t="s">
        <v>124</v>
      </c>
      <c r="N7" s="589"/>
      <c r="O7" s="51" t="s">
        <v>10</v>
      </c>
    </row>
    <row r="8" spans="1:23" ht="42.75" x14ac:dyDescent="0.2">
      <c r="A8" s="624"/>
      <c r="B8" s="631"/>
      <c r="C8" s="235" t="s">
        <v>220</v>
      </c>
      <c r="D8" s="235" t="s">
        <v>219</v>
      </c>
      <c r="E8" s="235" t="s">
        <v>220</v>
      </c>
      <c r="F8" s="235" t="s">
        <v>219</v>
      </c>
      <c r="G8" s="235" t="s">
        <v>220</v>
      </c>
      <c r="H8" s="235" t="s">
        <v>219</v>
      </c>
      <c r="I8" s="235" t="s">
        <v>220</v>
      </c>
      <c r="J8" s="235" t="s">
        <v>219</v>
      </c>
      <c r="K8" s="235" t="s">
        <v>220</v>
      </c>
      <c r="L8" s="235" t="s">
        <v>219</v>
      </c>
      <c r="M8" s="235" t="s">
        <v>220</v>
      </c>
      <c r="N8" s="234" t="s">
        <v>219</v>
      </c>
      <c r="O8" s="51" t="s">
        <v>10</v>
      </c>
    </row>
    <row r="9" spans="1:23" ht="45" hidden="1" x14ac:dyDescent="0.2">
      <c r="A9" s="272" t="s">
        <v>218</v>
      </c>
      <c r="B9" s="271" t="s">
        <v>217</v>
      </c>
      <c r="C9" s="270"/>
      <c r="D9" s="270"/>
      <c r="E9" s="270"/>
      <c r="F9" s="270"/>
      <c r="G9" s="270"/>
      <c r="H9" s="270"/>
      <c r="I9" s="270"/>
      <c r="J9" s="270"/>
      <c r="K9" s="270"/>
      <c r="L9" s="270"/>
      <c r="M9" s="270"/>
      <c r="N9" s="269"/>
      <c r="O9" s="51" t="s">
        <v>10</v>
      </c>
    </row>
    <row r="10" spans="1:23" ht="42.75" hidden="1" x14ac:dyDescent="0.2">
      <c r="A10" s="267">
        <v>1.1000000000000001</v>
      </c>
      <c r="B10" s="266" t="s">
        <v>216</v>
      </c>
      <c r="C10" s="154">
        <v>0</v>
      </c>
      <c r="D10" s="275">
        <v>0</v>
      </c>
      <c r="E10" s="154">
        <v>0</v>
      </c>
      <c r="F10" s="154">
        <v>0</v>
      </c>
      <c r="G10" s="154">
        <v>0</v>
      </c>
      <c r="H10" s="154">
        <v>0</v>
      </c>
      <c r="I10" s="154">
        <v>0</v>
      </c>
      <c r="J10" s="154">
        <v>0</v>
      </c>
      <c r="K10" s="154">
        <v>0</v>
      </c>
      <c r="L10" s="154">
        <v>0</v>
      </c>
      <c r="M10" s="154">
        <f t="shared" ref="M10:N12" si="0">G10+I10+K10</f>
        <v>0</v>
      </c>
      <c r="N10" s="151">
        <f t="shared" si="0"/>
        <v>0</v>
      </c>
      <c r="O10" s="51" t="s">
        <v>10</v>
      </c>
    </row>
    <row r="11" spans="1:23" hidden="1" x14ac:dyDescent="0.2">
      <c r="A11" s="267">
        <v>1.2</v>
      </c>
      <c r="B11" s="274" t="s">
        <v>215</v>
      </c>
      <c r="C11" s="154">
        <v>0</v>
      </c>
      <c r="D11" s="154">
        <v>0</v>
      </c>
      <c r="E11" s="154">
        <v>0</v>
      </c>
      <c r="F11" s="154">
        <v>0</v>
      </c>
      <c r="G11" s="154">
        <v>0</v>
      </c>
      <c r="H11" s="154">
        <v>0</v>
      </c>
      <c r="I11" s="154">
        <v>0</v>
      </c>
      <c r="J11" s="154">
        <v>0</v>
      </c>
      <c r="K11" s="154">
        <v>0</v>
      </c>
      <c r="L11" s="154">
        <v>0</v>
      </c>
      <c r="M11" s="154">
        <f t="shared" si="0"/>
        <v>0</v>
      </c>
      <c r="N11" s="151">
        <f t="shared" si="0"/>
        <v>0</v>
      </c>
      <c r="O11" s="51" t="s">
        <v>10</v>
      </c>
    </row>
    <row r="12" spans="1:23" ht="57" hidden="1" x14ac:dyDescent="0.2">
      <c r="A12" s="267">
        <v>1.3</v>
      </c>
      <c r="B12" s="266" t="s">
        <v>214</v>
      </c>
      <c r="C12" s="154">
        <v>0</v>
      </c>
      <c r="D12" s="154">
        <v>0</v>
      </c>
      <c r="E12" s="154">
        <v>0</v>
      </c>
      <c r="F12" s="154">
        <v>0</v>
      </c>
      <c r="G12" s="154">
        <v>0</v>
      </c>
      <c r="H12" s="154">
        <v>0</v>
      </c>
      <c r="I12" s="154">
        <v>0</v>
      </c>
      <c r="J12" s="154">
        <v>0</v>
      </c>
      <c r="K12" s="154">
        <v>0</v>
      </c>
      <c r="L12" s="154">
        <v>0</v>
      </c>
      <c r="M12" s="154">
        <f t="shared" si="0"/>
        <v>0</v>
      </c>
      <c r="N12" s="151">
        <f t="shared" si="0"/>
        <v>0</v>
      </c>
      <c r="O12" s="51" t="s">
        <v>10</v>
      </c>
    </row>
    <row r="13" spans="1:23" ht="45" hidden="1" customHeight="1" x14ac:dyDescent="0.2">
      <c r="A13" s="264">
        <v>1.4</v>
      </c>
      <c r="B13" s="263" t="s">
        <v>213</v>
      </c>
      <c r="C13" s="204"/>
      <c r="D13" s="204"/>
      <c r="E13" s="204"/>
      <c r="F13" s="204"/>
      <c r="G13" s="204"/>
      <c r="H13" s="204"/>
      <c r="I13" s="204"/>
      <c r="J13" s="204"/>
      <c r="K13" s="204"/>
      <c r="L13" s="204"/>
      <c r="M13" s="204"/>
      <c r="N13" s="203"/>
      <c r="O13" s="51" t="s">
        <v>10</v>
      </c>
    </row>
    <row r="14" spans="1:23" ht="15" hidden="1" x14ac:dyDescent="0.25">
      <c r="A14" s="262"/>
      <c r="B14" s="273" t="s">
        <v>212</v>
      </c>
      <c r="C14" s="25">
        <f t="shared" ref="C14:N14" si="1">SUM(C10:C13)</f>
        <v>0</v>
      </c>
      <c r="D14" s="25">
        <f t="shared" si="1"/>
        <v>0</v>
      </c>
      <c r="E14" s="25">
        <f t="shared" si="1"/>
        <v>0</v>
      </c>
      <c r="F14" s="25">
        <f t="shared" si="1"/>
        <v>0</v>
      </c>
      <c r="G14" s="25">
        <f t="shared" si="1"/>
        <v>0</v>
      </c>
      <c r="H14" s="25">
        <f t="shared" si="1"/>
        <v>0</v>
      </c>
      <c r="I14" s="25">
        <f t="shared" si="1"/>
        <v>0</v>
      </c>
      <c r="J14" s="25">
        <f t="shared" si="1"/>
        <v>0</v>
      </c>
      <c r="K14" s="25">
        <f t="shared" si="1"/>
        <v>0</v>
      </c>
      <c r="L14" s="25">
        <f t="shared" si="1"/>
        <v>0</v>
      </c>
      <c r="M14" s="25">
        <f t="shared" si="1"/>
        <v>0</v>
      </c>
      <c r="N14" s="26">
        <f t="shared" si="1"/>
        <v>0</v>
      </c>
      <c r="O14" s="51" t="s">
        <v>10</v>
      </c>
    </row>
    <row r="15" spans="1:23" ht="30" x14ac:dyDescent="0.2">
      <c r="A15" s="272" t="s">
        <v>211</v>
      </c>
      <c r="B15" s="271" t="s">
        <v>210</v>
      </c>
      <c r="C15" s="270"/>
      <c r="D15" s="270"/>
      <c r="E15" s="270"/>
      <c r="F15" s="270"/>
      <c r="G15" s="270"/>
      <c r="H15" s="270"/>
      <c r="I15" s="270"/>
      <c r="J15" s="270"/>
      <c r="K15" s="270"/>
      <c r="L15" s="270"/>
      <c r="M15" s="270"/>
      <c r="N15" s="269"/>
      <c r="O15" s="51" t="s">
        <v>10</v>
      </c>
    </row>
    <row r="16" spans="1:23" ht="57" hidden="1" x14ac:dyDescent="0.2">
      <c r="A16" s="267">
        <v>2.1</v>
      </c>
      <c r="B16" s="266" t="s">
        <v>209</v>
      </c>
      <c r="C16" s="154">
        <v>0</v>
      </c>
      <c r="D16" s="154">
        <v>0</v>
      </c>
      <c r="E16" s="154">
        <v>0</v>
      </c>
      <c r="F16" s="154">
        <v>0</v>
      </c>
      <c r="G16" s="154">
        <v>0</v>
      </c>
      <c r="H16" s="154">
        <v>0</v>
      </c>
      <c r="I16" s="154">
        <v>0</v>
      </c>
      <c r="J16" s="154">
        <v>0</v>
      </c>
      <c r="K16" s="154">
        <v>0</v>
      </c>
      <c r="L16" s="154">
        <v>0</v>
      </c>
      <c r="M16" s="154">
        <f t="shared" ref="M16:N21" si="2">G16+I16+K16</f>
        <v>0</v>
      </c>
      <c r="N16" s="151">
        <f t="shared" si="2"/>
        <v>0</v>
      </c>
      <c r="O16" s="51" t="s">
        <v>10</v>
      </c>
    </row>
    <row r="17" spans="1:15" ht="48.75" customHeight="1" x14ac:dyDescent="0.2">
      <c r="A17" s="267">
        <v>2.2000000000000002</v>
      </c>
      <c r="B17" s="266" t="s">
        <v>208</v>
      </c>
      <c r="C17" s="154">
        <v>0</v>
      </c>
      <c r="D17" s="154">
        <v>730000</v>
      </c>
      <c r="E17" s="154">
        <v>0</v>
      </c>
      <c r="F17" s="154">
        <v>745000</v>
      </c>
      <c r="G17" s="154">
        <v>0</v>
      </c>
      <c r="H17" s="154">
        <v>745000</v>
      </c>
      <c r="I17" s="154">
        <v>0</v>
      </c>
      <c r="J17" s="154">
        <v>65000</v>
      </c>
      <c r="K17" s="154">
        <v>0</v>
      </c>
      <c r="L17" s="154">
        <v>0</v>
      </c>
      <c r="M17" s="154">
        <f t="shared" si="2"/>
        <v>0</v>
      </c>
      <c r="N17" s="151">
        <f t="shared" si="2"/>
        <v>810000</v>
      </c>
      <c r="O17" s="51" t="s">
        <v>10</v>
      </c>
    </row>
    <row r="18" spans="1:15" ht="42.75" hidden="1" x14ac:dyDescent="0.2">
      <c r="A18" s="267">
        <v>2.2999999999999998</v>
      </c>
      <c r="B18" s="266" t="s">
        <v>207</v>
      </c>
      <c r="C18" s="154">
        <v>0</v>
      </c>
      <c r="D18" s="154">
        <v>0</v>
      </c>
      <c r="E18" s="154">
        <v>0</v>
      </c>
      <c r="F18" s="154">
        <v>0</v>
      </c>
      <c r="G18" s="154">
        <v>0</v>
      </c>
      <c r="H18" s="154">
        <v>0</v>
      </c>
      <c r="I18" s="154">
        <v>0</v>
      </c>
      <c r="J18" s="154">
        <v>0</v>
      </c>
      <c r="K18" s="154">
        <v>0</v>
      </c>
      <c r="L18" s="154">
        <v>0</v>
      </c>
      <c r="M18" s="154">
        <f t="shared" si="2"/>
        <v>0</v>
      </c>
      <c r="N18" s="151">
        <f t="shared" si="2"/>
        <v>0</v>
      </c>
      <c r="O18" s="51" t="s">
        <v>10</v>
      </c>
    </row>
    <row r="19" spans="1:15" ht="28.5" hidden="1" x14ac:dyDescent="0.2">
      <c r="A19" s="267">
        <v>2.4</v>
      </c>
      <c r="B19" s="266" t="s">
        <v>206</v>
      </c>
      <c r="C19" s="154">
        <v>0</v>
      </c>
      <c r="D19" s="154">
        <v>0</v>
      </c>
      <c r="E19" s="154">
        <v>0</v>
      </c>
      <c r="F19" s="154">
        <v>0</v>
      </c>
      <c r="G19" s="154">
        <v>0</v>
      </c>
      <c r="H19" s="154">
        <v>0</v>
      </c>
      <c r="I19" s="154">
        <v>0</v>
      </c>
      <c r="J19" s="154">
        <v>0</v>
      </c>
      <c r="K19" s="154">
        <v>0</v>
      </c>
      <c r="L19" s="154">
        <v>0</v>
      </c>
      <c r="M19" s="154">
        <f t="shared" si="2"/>
        <v>0</v>
      </c>
      <c r="N19" s="151">
        <f t="shared" si="2"/>
        <v>0</v>
      </c>
      <c r="O19" s="51" t="s">
        <v>10</v>
      </c>
    </row>
    <row r="20" spans="1:15" ht="28.5" hidden="1" x14ac:dyDescent="0.2">
      <c r="A20" s="267">
        <v>2.5</v>
      </c>
      <c r="B20" s="266" t="s">
        <v>205</v>
      </c>
      <c r="C20" s="154">
        <v>0</v>
      </c>
      <c r="D20" s="154">
        <v>0</v>
      </c>
      <c r="E20" s="154">
        <v>0</v>
      </c>
      <c r="F20" s="154">
        <v>0</v>
      </c>
      <c r="G20" s="154">
        <v>0</v>
      </c>
      <c r="H20" s="154">
        <v>0</v>
      </c>
      <c r="I20" s="154">
        <v>0</v>
      </c>
      <c r="J20" s="154">
        <v>0</v>
      </c>
      <c r="K20" s="154">
        <v>0</v>
      </c>
      <c r="L20" s="154">
        <v>0</v>
      </c>
      <c r="M20" s="154">
        <f t="shared" si="2"/>
        <v>0</v>
      </c>
      <c r="N20" s="151">
        <f t="shared" si="2"/>
        <v>0</v>
      </c>
      <c r="O20" s="51" t="s">
        <v>10</v>
      </c>
    </row>
    <row r="21" spans="1:15" ht="28.5" hidden="1" x14ac:dyDescent="0.2">
      <c r="A21" s="267">
        <v>2.6</v>
      </c>
      <c r="B21" s="266" t="s">
        <v>204</v>
      </c>
      <c r="C21" s="154">
        <v>0</v>
      </c>
      <c r="D21" s="154">
        <v>0</v>
      </c>
      <c r="E21" s="154">
        <v>0</v>
      </c>
      <c r="F21" s="154">
        <v>0</v>
      </c>
      <c r="G21" s="154">
        <v>0</v>
      </c>
      <c r="H21" s="154">
        <v>0</v>
      </c>
      <c r="I21" s="154">
        <v>0</v>
      </c>
      <c r="J21" s="154">
        <v>0</v>
      </c>
      <c r="K21" s="154">
        <v>0</v>
      </c>
      <c r="L21" s="154">
        <v>0</v>
      </c>
      <c r="M21" s="154">
        <f t="shared" si="2"/>
        <v>0</v>
      </c>
      <c r="N21" s="151">
        <f t="shared" si="2"/>
        <v>0</v>
      </c>
      <c r="O21" s="51" t="s">
        <v>10</v>
      </c>
    </row>
    <row r="22" spans="1:15" ht="15" x14ac:dyDescent="0.25">
      <c r="A22" s="262"/>
      <c r="B22" s="273" t="s">
        <v>203</v>
      </c>
      <c r="C22" s="25">
        <f t="shared" ref="C22:N22" si="3">SUM(C16:C21)</f>
        <v>0</v>
      </c>
      <c r="D22" s="25">
        <f t="shared" si="3"/>
        <v>730000</v>
      </c>
      <c r="E22" s="25">
        <f t="shared" si="3"/>
        <v>0</v>
      </c>
      <c r="F22" s="25">
        <f t="shared" si="3"/>
        <v>745000</v>
      </c>
      <c r="G22" s="25">
        <f t="shared" si="3"/>
        <v>0</v>
      </c>
      <c r="H22" s="25">
        <f t="shared" si="3"/>
        <v>745000</v>
      </c>
      <c r="I22" s="25">
        <f t="shared" si="3"/>
        <v>0</v>
      </c>
      <c r="J22" s="25">
        <f t="shared" si="3"/>
        <v>65000</v>
      </c>
      <c r="K22" s="25">
        <f t="shared" si="3"/>
        <v>0</v>
      </c>
      <c r="L22" s="25">
        <f t="shared" si="3"/>
        <v>0</v>
      </c>
      <c r="M22" s="25">
        <f t="shared" si="3"/>
        <v>0</v>
      </c>
      <c r="N22" s="26">
        <f t="shared" si="3"/>
        <v>810000</v>
      </c>
      <c r="O22" s="51" t="s">
        <v>10</v>
      </c>
    </row>
    <row r="23" spans="1:15" ht="45" hidden="1" x14ac:dyDescent="0.2">
      <c r="A23" s="272" t="s">
        <v>202</v>
      </c>
      <c r="B23" s="271" t="s">
        <v>201</v>
      </c>
      <c r="C23" s="270"/>
      <c r="D23" s="270"/>
      <c r="E23" s="270"/>
      <c r="F23" s="270"/>
      <c r="G23" s="270"/>
      <c r="H23" s="270"/>
      <c r="I23" s="270"/>
      <c r="J23" s="270"/>
      <c r="K23" s="270"/>
      <c r="L23" s="270"/>
      <c r="M23" s="270"/>
      <c r="N23" s="269"/>
      <c r="O23" s="51" t="s">
        <v>10</v>
      </c>
    </row>
    <row r="24" spans="1:15" ht="57" hidden="1" x14ac:dyDescent="0.2">
      <c r="A24" s="267">
        <v>3.1</v>
      </c>
      <c r="B24" s="266" t="s">
        <v>200</v>
      </c>
      <c r="C24" s="154">
        <v>0</v>
      </c>
      <c r="D24" s="154">
        <v>0</v>
      </c>
      <c r="E24" s="154">
        <v>0</v>
      </c>
      <c r="F24" s="154">
        <v>0</v>
      </c>
      <c r="G24" s="154">
        <v>0</v>
      </c>
      <c r="H24" s="154">
        <v>0</v>
      </c>
      <c r="I24" s="154">
        <v>0</v>
      </c>
      <c r="J24" s="154">
        <v>0</v>
      </c>
      <c r="K24" s="154">
        <v>0</v>
      </c>
      <c r="L24" s="154">
        <v>0</v>
      </c>
      <c r="M24" s="154">
        <f t="shared" ref="M24:N27" si="4">G24+I24+K24</f>
        <v>0</v>
      </c>
      <c r="N24" s="151">
        <f t="shared" si="4"/>
        <v>0</v>
      </c>
      <c r="O24" s="51" t="s">
        <v>10</v>
      </c>
    </row>
    <row r="25" spans="1:15" ht="42.75" hidden="1" x14ac:dyDescent="0.2">
      <c r="A25" s="267">
        <v>3.2</v>
      </c>
      <c r="B25" s="266" t="s">
        <v>199</v>
      </c>
      <c r="C25" s="154">
        <v>0</v>
      </c>
      <c r="D25" s="154">
        <v>0</v>
      </c>
      <c r="E25" s="154">
        <v>0</v>
      </c>
      <c r="F25" s="154">
        <v>0</v>
      </c>
      <c r="G25" s="154">
        <v>0</v>
      </c>
      <c r="H25" s="154">
        <v>0</v>
      </c>
      <c r="I25" s="154">
        <v>0</v>
      </c>
      <c r="J25" s="154">
        <v>0</v>
      </c>
      <c r="K25" s="154">
        <v>0</v>
      </c>
      <c r="L25" s="154">
        <v>0</v>
      </c>
      <c r="M25" s="154">
        <f t="shared" si="4"/>
        <v>0</v>
      </c>
      <c r="N25" s="151">
        <f t="shared" si="4"/>
        <v>0</v>
      </c>
      <c r="O25" s="51" t="s">
        <v>10</v>
      </c>
    </row>
    <row r="26" spans="1:15" ht="42.75" hidden="1" x14ac:dyDescent="0.2">
      <c r="A26" s="267">
        <v>3.3</v>
      </c>
      <c r="B26" s="266" t="s">
        <v>198</v>
      </c>
      <c r="C26" s="154">
        <v>0</v>
      </c>
      <c r="D26" s="154">
        <v>0</v>
      </c>
      <c r="E26" s="154">
        <v>0</v>
      </c>
      <c r="F26" s="154">
        <v>0</v>
      </c>
      <c r="G26" s="154">
        <v>0</v>
      </c>
      <c r="H26" s="154">
        <v>0</v>
      </c>
      <c r="I26" s="154">
        <v>0</v>
      </c>
      <c r="J26" s="154">
        <v>0</v>
      </c>
      <c r="K26" s="154">
        <v>0</v>
      </c>
      <c r="L26" s="154">
        <v>0</v>
      </c>
      <c r="M26" s="154">
        <f t="shared" si="4"/>
        <v>0</v>
      </c>
      <c r="N26" s="151">
        <f t="shared" si="4"/>
        <v>0</v>
      </c>
      <c r="O26" s="51" t="s">
        <v>10</v>
      </c>
    </row>
    <row r="27" spans="1:15" ht="57" hidden="1" x14ac:dyDescent="0.2">
      <c r="A27" s="267">
        <v>3.4</v>
      </c>
      <c r="B27" s="266" t="s">
        <v>197</v>
      </c>
      <c r="C27" s="154">
        <v>0</v>
      </c>
      <c r="D27" s="154">
        <v>0</v>
      </c>
      <c r="E27" s="154">
        <v>0</v>
      </c>
      <c r="F27" s="154">
        <v>0</v>
      </c>
      <c r="G27" s="154">
        <v>0</v>
      </c>
      <c r="H27" s="154">
        <v>0</v>
      </c>
      <c r="I27" s="154">
        <v>0</v>
      </c>
      <c r="J27" s="154">
        <v>0</v>
      </c>
      <c r="K27" s="154">
        <v>0</v>
      </c>
      <c r="L27" s="154">
        <v>0</v>
      </c>
      <c r="M27" s="154">
        <f t="shared" si="4"/>
        <v>0</v>
      </c>
      <c r="N27" s="151">
        <f t="shared" si="4"/>
        <v>0</v>
      </c>
      <c r="O27" s="51" t="s">
        <v>10</v>
      </c>
    </row>
    <row r="28" spans="1:15" ht="28.5" hidden="1" x14ac:dyDescent="0.2">
      <c r="A28" s="264">
        <v>3.5</v>
      </c>
      <c r="B28" s="263" t="s">
        <v>196</v>
      </c>
      <c r="C28" s="204"/>
      <c r="D28" s="204"/>
      <c r="E28" s="204"/>
      <c r="F28" s="204"/>
      <c r="G28" s="204"/>
      <c r="H28" s="204"/>
      <c r="I28" s="204"/>
      <c r="J28" s="204"/>
      <c r="K28" s="204"/>
      <c r="L28" s="204"/>
      <c r="M28" s="204"/>
      <c r="N28" s="203"/>
      <c r="O28" s="51" t="s">
        <v>10</v>
      </c>
    </row>
    <row r="29" spans="1:15" ht="57" hidden="1" x14ac:dyDescent="0.2">
      <c r="A29" s="264">
        <v>3.6</v>
      </c>
      <c r="B29" s="263" t="s">
        <v>195</v>
      </c>
      <c r="C29" s="204"/>
      <c r="D29" s="204"/>
      <c r="E29" s="204"/>
      <c r="F29" s="204"/>
      <c r="G29" s="204"/>
      <c r="H29" s="204"/>
      <c r="I29" s="204"/>
      <c r="J29" s="204"/>
      <c r="K29" s="204"/>
      <c r="L29" s="204"/>
      <c r="M29" s="204"/>
      <c r="N29" s="203"/>
      <c r="O29" s="51" t="s">
        <v>10</v>
      </c>
    </row>
    <row r="30" spans="1:15" ht="28.5" hidden="1" x14ac:dyDescent="0.2">
      <c r="A30" s="264">
        <v>3.7</v>
      </c>
      <c r="B30" s="265" t="s">
        <v>194</v>
      </c>
      <c r="C30" s="204"/>
      <c r="D30" s="204"/>
      <c r="E30" s="204"/>
      <c r="F30" s="204"/>
      <c r="G30" s="204"/>
      <c r="H30" s="204"/>
      <c r="I30" s="204"/>
      <c r="J30" s="204"/>
      <c r="K30" s="204"/>
      <c r="L30" s="204"/>
      <c r="M30" s="204"/>
      <c r="N30" s="203"/>
      <c r="O30" s="51" t="s">
        <v>10</v>
      </c>
    </row>
    <row r="31" spans="1:15" ht="71.25" hidden="1" x14ac:dyDescent="0.2">
      <c r="A31" s="264">
        <v>3.8</v>
      </c>
      <c r="B31" s="263" t="s">
        <v>193</v>
      </c>
      <c r="C31" s="204"/>
      <c r="D31" s="204"/>
      <c r="E31" s="204"/>
      <c r="F31" s="204"/>
      <c r="G31" s="204"/>
      <c r="H31" s="204"/>
      <c r="I31" s="204"/>
      <c r="J31" s="204"/>
      <c r="K31" s="204"/>
      <c r="L31" s="204"/>
      <c r="M31" s="204"/>
      <c r="N31" s="203"/>
      <c r="O31" s="51" t="s">
        <v>10</v>
      </c>
    </row>
    <row r="32" spans="1:15" ht="15" hidden="1" x14ac:dyDescent="0.25">
      <c r="A32" s="262"/>
      <c r="B32" s="261" t="s">
        <v>192</v>
      </c>
      <c r="C32" s="25">
        <f t="shared" ref="C32:N32" si="5">SUM(C24:C31)</f>
        <v>0</v>
      </c>
      <c r="D32" s="25">
        <f t="shared" si="5"/>
        <v>0</v>
      </c>
      <c r="E32" s="25">
        <f t="shared" si="5"/>
        <v>0</v>
      </c>
      <c r="F32" s="25">
        <f t="shared" si="5"/>
        <v>0</v>
      </c>
      <c r="G32" s="25">
        <f t="shared" si="5"/>
        <v>0</v>
      </c>
      <c r="H32" s="25">
        <f t="shared" si="5"/>
        <v>0</v>
      </c>
      <c r="I32" s="25">
        <f t="shared" si="5"/>
        <v>0</v>
      </c>
      <c r="J32" s="25">
        <f t="shared" si="5"/>
        <v>0</v>
      </c>
      <c r="K32" s="25">
        <f t="shared" si="5"/>
        <v>0</v>
      </c>
      <c r="L32" s="25">
        <f t="shared" si="5"/>
        <v>0</v>
      </c>
      <c r="M32" s="25">
        <f t="shared" si="5"/>
        <v>0</v>
      </c>
      <c r="N32" s="26">
        <f t="shared" si="5"/>
        <v>0</v>
      </c>
      <c r="O32" s="51" t="s">
        <v>10</v>
      </c>
    </row>
    <row r="33" spans="1:17" ht="15.75" thickBot="1" x14ac:dyDescent="0.3">
      <c r="A33" s="259"/>
      <c r="B33" s="258" t="s">
        <v>191</v>
      </c>
      <c r="C33" s="27">
        <f t="shared" ref="C33:N33" si="6">C32+C22+C14</f>
        <v>0</v>
      </c>
      <c r="D33" s="27">
        <f t="shared" si="6"/>
        <v>730000</v>
      </c>
      <c r="E33" s="27">
        <f t="shared" si="6"/>
        <v>0</v>
      </c>
      <c r="F33" s="27">
        <f t="shared" si="6"/>
        <v>745000</v>
      </c>
      <c r="G33" s="27">
        <f t="shared" si="6"/>
        <v>0</v>
      </c>
      <c r="H33" s="27">
        <f t="shared" si="6"/>
        <v>745000</v>
      </c>
      <c r="I33" s="27">
        <f t="shared" si="6"/>
        <v>0</v>
      </c>
      <c r="J33" s="27">
        <f t="shared" si="6"/>
        <v>65000</v>
      </c>
      <c r="K33" s="27">
        <f t="shared" si="6"/>
        <v>0</v>
      </c>
      <c r="L33" s="27">
        <f t="shared" si="6"/>
        <v>0</v>
      </c>
      <c r="M33" s="27">
        <f t="shared" si="6"/>
        <v>0</v>
      </c>
      <c r="N33" s="251">
        <f t="shared" si="6"/>
        <v>810000</v>
      </c>
      <c r="O33" s="51" t="s">
        <v>10</v>
      </c>
      <c r="Q33" s="5"/>
    </row>
    <row r="34" spans="1:17" x14ac:dyDescent="0.2">
      <c r="O34" s="51" t="s">
        <v>10</v>
      </c>
    </row>
    <row r="35" spans="1:17" ht="15" x14ac:dyDescent="0.2">
      <c r="A35" s="629" t="s">
        <v>190</v>
      </c>
      <c r="B35" s="629"/>
      <c r="C35" s="629"/>
      <c r="D35" s="629"/>
      <c r="E35" s="629"/>
      <c r="F35" s="629"/>
      <c r="G35" s="629"/>
      <c r="H35" s="629"/>
      <c r="I35" s="629"/>
      <c r="J35" s="629"/>
      <c r="K35" s="629"/>
      <c r="L35" s="629"/>
      <c r="M35" s="629"/>
      <c r="N35" s="629"/>
      <c r="O35" s="51" t="s">
        <v>11</v>
      </c>
    </row>
    <row r="37" spans="1:17" x14ac:dyDescent="0.2">
      <c r="A37" s="257"/>
    </row>
  </sheetData>
  <customSheetViews>
    <customSheetView guid="{EE916FE7-61FB-4021-ADDD-E082241FC03C}" scale="80" showPageBreaks="1" printArea="1" view="pageBreakPreview" topLeftCell="A34">
      <selection activeCell="A32" sqref="A32"/>
      <pageMargins left="0.7" right="0.7" top="0.75" bottom="0.75" header="0.3" footer="0.3"/>
      <printOptions horizontalCentered="1"/>
      <pageSetup scale="37" orientation="landscape" r:id="rId1"/>
      <headerFooter>
        <oddHeader>&amp;L&amp;"Arial,Bold"&amp;12D. Resources by DOJ Strategic Goal and Strategic Objective</oddHeader>
        <oddFooter>&amp;C&amp;"Arial,Regular"Exhibit D - Resources by DOJ Strategic Goal and Strategic Objective&amp;R&amp;"Arial,Regular"Crime Victims Fund</oddFooter>
      </headerFooter>
    </customSheetView>
    <customSheetView guid="{0BB5DC4B-BC2A-4489-BE17-5E267FA1EF63}" scale="80" showPageBreaks="1" printArea="1" view="pageBreakPreview" topLeftCell="A34">
      <selection activeCell="A32" sqref="A32"/>
      <pageMargins left="0.7" right="0.7" top="0.75" bottom="0.75" header="0.3" footer="0.3"/>
      <printOptions horizontalCentered="1"/>
      <pageSetup scale="37" orientation="landscape" r:id="rId2"/>
      <headerFooter>
        <oddHeader>&amp;L&amp;"Arial,Bold"&amp;12D. Resources by DOJ Strategic Goal and Strategic Objective</oddHeader>
        <oddFooter>&amp;C&amp;"Arial,Regular"Exhibit D - Resources by DOJ Strategic Goal and Strategic Objective&amp;R&amp;"Arial,Regular"Crime Victims Fund</oddFooter>
      </headerFooter>
    </customSheetView>
    <customSheetView guid="{6C58FFE1-D756-42C4-A1BC-AA7F1DC1E56F}" scale="80" showPageBreaks="1" printArea="1" view="pageBreakPreview">
      <selection activeCell="L18" sqref="L18"/>
      <pageMargins left="0.7" right="0.7" top="0.75" bottom="0.75" header="0.3" footer="0.3"/>
      <printOptions horizontalCentered="1"/>
      <pageSetup scale="37" orientation="landscape" r:id="rId3"/>
      <headerFooter>
        <oddHeader>&amp;L&amp;"Arial,Bold"&amp;12D. Resources by DOJ Strategic Goal and Strategic Objective</oddHeader>
        <oddFooter>&amp;C&amp;"Arial,Regular"Exhibit D - Resources by DOJ Strategic Goal and Strategic Objective&amp;R&amp;"Arial,Regular"Crime Victims Fund</oddFooter>
      </headerFooter>
    </customSheetView>
    <customSheetView guid="{CFA5D1C9-F4C9-4B8D-923D-4C71CB6E7D3B}" scale="80" showPageBreaks="1" printArea="1" view="pageBreakPreview" topLeftCell="A34">
      <selection activeCell="A32" sqref="A32"/>
      <pageMargins left="0.7" right="0.7" top="0.75" bottom="0.75" header="0.3" footer="0.3"/>
      <printOptions horizontalCentered="1"/>
      <pageSetup scale="37" orientation="landscape" r:id="rId4"/>
      <headerFooter>
        <oddHeader>&amp;L&amp;"Arial,Bold"&amp;12D. Resources by DOJ Strategic Goal and Strategic Objective</oddHeader>
        <oddFooter>&amp;C&amp;"Arial,Regular"Exhibit D - Resources by DOJ Strategic Goal and Strategic Objective&amp;R&amp;"Arial,Regular"Crime Victims Fund</oddFooter>
      </headerFooter>
    </customSheetView>
    <customSheetView guid="{A788DF77-74F1-49E4-8B34-BFBDB7664F30}" scale="80" showPageBreaks="1" printArea="1" view="pageBreakPreview">
      <selection activeCell="L18" sqref="L18"/>
      <pageMargins left="0.7" right="0.7" top="0.75" bottom="0.75" header="0.3" footer="0.3"/>
      <printOptions horizontalCentered="1"/>
      <pageSetup scale="37" orientation="landscape" r:id="rId5"/>
      <headerFooter>
        <oddHeader>&amp;L&amp;"Arial,Bold"&amp;12D. Resources by DOJ Strategic Goal and Strategic Objective</oddHeader>
        <oddFooter>&amp;C&amp;"Arial,Regular"Exhibit D - Resources by DOJ Strategic Goal and Strategic Objective&amp;R&amp;"Arial,Regular"Crime Victims Fund</oddFooter>
      </headerFooter>
    </customSheetView>
  </customSheetViews>
  <mergeCells count="14">
    <mergeCell ref="A35:N35"/>
    <mergeCell ref="M7:N7"/>
    <mergeCell ref="A7:B8"/>
    <mergeCell ref="A6:N6"/>
    <mergeCell ref="C7:D7"/>
    <mergeCell ref="E7:F7"/>
    <mergeCell ref="G7:H7"/>
    <mergeCell ref="I7:J7"/>
    <mergeCell ref="K7:L7"/>
    <mergeCell ref="A1:N1"/>
    <mergeCell ref="A2:N2"/>
    <mergeCell ref="A3:N3"/>
    <mergeCell ref="A4:N4"/>
    <mergeCell ref="A5:N5"/>
  </mergeCells>
  <printOptions horizontalCentered="1"/>
  <pageMargins left="0.5" right="0.5" top="0.5" bottom="0.5" header="0.3" footer="0.3"/>
  <pageSetup scale="61" orientation="landscape" r:id="rId6"/>
  <headerFooter>
    <oddHeader>&amp;L&amp;"Arial,Bold"&amp;12D. Resources by DOJ Strategic Goal and Strategic Objective</oddHeader>
    <oddFooter>&amp;C&amp;"Arial,Regular"Exhibit D - Resources by DOJ Strategic Goal and Strategic Objective&amp;R&amp;"Arial,Regular"Crime Victims Fund</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view="pageBreakPreview" zoomScale="80" zoomScaleNormal="100" zoomScaleSheetLayoutView="80" workbookViewId="0">
      <selection activeCell="A22" sqref="A22:U22"/>
    </sheetView>
  </sheetViews>
  <sheetFormatPr defaultRowHeight="14.25" x14ac:dyDescent="0.2"/>
  <cols>
    <col min="1" max="1" width="37.140625" style="143" customWidth="1"/>
    <col min="2" max="3" width="8.28515625" style="143" customWidth="1"/>
    <col min="4" max="4" width="12.7109375" style="143" customWidth="1"/>
    <col min="5" max="5" width="7.140625" style="143" hidden="1" customWidth="1"/>
    <col min="6" max="7" width="8.7109375" style="143" hidden="1" customWidth="1"/>
    <col min="8" max="8" width="7.140625" style="143" hidden="1" customWidth="1"/>
    <col min="9" max="10" width="8.7109375" style="143" hidden="1" customWidth="1"/>
    <col min="11" max="11" width="7.140625" style="143" customWidth="1"/>
    <col min="12" max="12" width="8.7109375" style="143" customWidth="1"/>
    <col min="13" max="13" width="8.7109375" style="143" bestFit="1" customWidth="1"/>
    <col min="14" max="15" width="8.28515625" style="143" customWidth="1"/>
    <col min="16" max="16" width="11.5703125" style="143" customWidth="1"/>
    <col min="17" max="17" width="11.28515625" style="143" bestFit="1" customWidth="1"/>
    <col min="18" max="18" width="12.7109375" style="143" customWidth="1"/>
    <col min="19" max="20" width="8.28515625" style="143" customWidth="1"/>
    <col min="21" max="21" width="11.5703125" style="143" customWidth="1"/>
    <col min="22" max="22" width="14" style="4" bestFit="1" customWidth="1"/>
    <col min="23" max="23" width="4.5703125" style="143" customWidth="1"/>
    <col min="24" max="24" width="116.7109375" style="143" customWidth="1"/>
    <col min="25" max="26" width="8.28515625" style="143" customWidth="1"/>
    <col min="27" max="27" width="12.7109375" style="143" customWidth="1"/>
    <col min="28" max="29" width="8.28515625" style="143" customWidth="1"/>
    <col min="30" max="30" width="12.7109375" style="143" customWidth="1"/>
    <col min="31" max="16384" width="9.140625" style="143"/>
  </cols>
  <sheetData>
    <row r="1" spans="1:30" ht="18" x14ac:dyDescent="0.25">
      <c r="A1" s="577" t="s">
        <v>29</v>
      </c>
      <c r="B1" s="577"/>
      <c r="C1" s="577"/>
      <c r="D1" s="577"/>
      <c r="E1" s="577"/>
      <c r="F1" s="577"/>
      <c r="G1" s="577"/>
      <c r="H1" s="577"/>
      <c r="I1" s="577"/>
      <c r="J1" s="577"/>
      <c r="K1" s="577"/>
      <c r="L1" s="577"/>
      <c r="M1" s="577"/>
      <c r="N1" s="577"/>
      <c r="O1" s="577"/>
      <c r="P1" s="577"/>
      <c r="Q1" s="577"/>
      <c r="R1" s="577"/>
      <c r="S1" s="577"/>
      <c r="T1" s="577"/>
      <c r="U1" s="577"/>
      <c r="V1" s="51" t="s">
        <v>10</v>
      </c>
      <c r="W1" s="6"/>
      <c r="X1" s="199"/>
      <c r="Y1" s="6"/>
      <c r="Z1" s="6"/>
      <c r="AA1" s="6"/>
      <c r="AB1" s="6"/>
      <c r="AC1" s="6"/>
      <c r="AD1" s="6"/>
    </row>
    <row r="2" spans="1:30" ht="15" x14ac:dyDescent="0.2">
      <c r="A2" s="578" t="s">
        <v>152</v>
      </c>
      <c r="B2" s="578"/>
      <c r="C2" s="578"/>
      <c r="D2" s="578"/>
      <c r="E2" s="578"/>
      <c r="F2" s="578"/>
      <c r="G2" s="578"/>
      <c r="H2" s="578"/>
      <c r="I2" s="578"/>
      <c r="J2" s="578"/>
      <c r="K2" s="578"/>
      <c r="L2" s="578"/>
      <c r="M2" s="578"/>
      <c r="N2" s="578"/>
      <c r="O2" s="578"/>
      <c r="P2" s="578"/>
      <c r="Q2" s="578"/>
      <c r="R2" s="578"/>
      <c r="S2" s="578"/>
      <c r="T2" s="578"/>
      <c r="U2" s="578"/>
      <c r="V2" s="51" t="s">
        <v>10</v>
      </c>
      <c r="W2" s="7"/>
      <c r="X2" s="198"/>
      <c r="Y2" s="7"/>
      <c r="Z2" s="7"/>
      <c r="AA2" s="7"/>
      <c r="AB2" s="7"/>
      <c r="AC2" s="7"/>
      <c r="AD2" s="7"/>
    </row>
    <row r="3" spans="1:30" x14ac:dyDescent="0.2">
      <c r="A3" s="579" t="s">
        <v>432</v>
      </c>
      <c r="B3" s="579"/>
      <c r="C3" s="579"/>
      <c r="D3" s="579"/>
      <c r="E3" s="579"/>
      <c r="F3" s="579"/>
      <c r="G3" s="579"/>
      <c r="H3" s="579"/>
      <c r="I3" s="579"/>
      <c r="J3" s="579"/>
      <c r="K3" s="579"/>
      <c r="L3" s="579"/>
      <c r="M3" s="579"/>
      <c r="N3" s="579"/>
      <c r="O3" s="579"/>
      <c r="P3" s="579"/>
      <c r="Q3" s="579"/>
      <c r="R3" s="579"/>
      <c r="S3" s="579"/>
      <c r="T3" s="579"/>
      <c r="U3" s="579"/>
      <c r="V3" s="51" t="s">
        <v>10</v>
      </c>
      <c r="W3" s="163"/>
      <c r="X3" s="198"/>
      <c r="Y3" s="163"/>
      <c r="Z3" s="163"/>
      <c r="AA3" s="163"/>
      <c r="AB3" s="163"/>
      <c r="AC3" s="163"/>
      <c r="AD3" s="163"/>
    </row>
    <row r="4" spans="1:30" x14ac:dyDescent="0.2">
      <c r="A4" s="608" t="s">
        <v>1</v>
      </c>
      <c r="B4" s="608"/>
      <c r="C4" s="608"/>
      <c r="D4" s="608"/>
      <c r="E4" s="608"/>
      <c r="F4" s="608"/>
      <c r="G4" s="608"/>
      <c r="H4" s="608"/>
      <c r="I4" s="608"/>
      <c r="J4" s="608"/>
      <c r="K4" s="608"/>
      <c r="L4" s="608"/>
      <c r="M4" s="608"/>
      <c r="N4" s="608"/>
      <c r="O4" s="608"/>
      <c r="P4" s="608"/>
      <c r="Q4" s="608"/>
      <c r="R4" s="608"/>
      <c r="S4" s="608"/>
      <c r="T4" s="608"/>
      <c r="U4" s="608"/>
      <c r="V4" s="51" t="s">
        <v>10</v>
      </c>
      <c r="W4" s="162"/>
      <c r="X4" s="198"/>
      <c r="Y4" s="162"/>
      <c r="Z4" s="162"/>
      <c r="AA4" s="162"/>
      <c r="AB4" s="162"/>
      <c r="AC4" s="162"/>
      <c r="AD4" s="162"/>
    </row>
    <row r="5" spans="1:30" ht="15" x14ac:dyDescent="0.25">
      <c r="A5" s="162"/>
      <c r="B5" s="162"/>
      <c r="C5" s="162"/>
      <c r="D5" s="162"/>
      <c r="E5" s="162"/>
      <c r="F5" s="162"/>
      <c r="G5" s="162"/>
      <c r="H5" s="162"/>
      <c r="I5" s="162"/>
      <c r="J5" s="162"/>
      <c r="K5" s="162"/>
      <c r="L5" s="162"/>
      <c r="M5" s="162"/>
      <c r="N5" s="162"/>
      <c r="O5" s="162"/>
      <c r="P5" s="162"/>
      <c r="Q5" s="162"/>
      <c r="R5" s="162"/>
      <c r="S5" s="162"/>
      <c r="T5" s="162"/>
      <c r="U5" s="162"/>
      <c r="V5" s="51" t="s">
        <v>10</v>
      </c>
      <c r="W5" s="162"/>
      <c r="X5" s="241"/>
      <c r="Y5" s="162"/>
      <c r="Z5" s="162"/>
      <c r="AA5" s="162"/>
      <c r="AB5" s="162"/>
      <c r="AC5" s="162"/>
      <c r="AD5" s="162"/>
    </row>
    <row r="6" spans="1:30" ht="15" thickBot="1" x14ac:dyDescent="0.25">
      <c r="A6" s="287"/>
      <c r="B6" s="287"/>
      <c r="C6" s="287"/>
      <c r="D6" s="287"/>
      <c r="E6" s="287"/>
      <c r="F6" s="287"/>
      <c r="G6" s="287"/>
      <c r="H6" s="287"/>
      <c r="I6" s="287"/>
      <c r="J6" s="287"/>
      <c r="K6" s="287"/>
      <c r="L6" s="287"/>
      <c r="M6" s="287"/>
      <c r="N6" s="287"/>
      <c r="O6" s="287"/>
      <c r="P6" s="287"/>
      <c r="Q6" s="287"/>
      <c r="R6" s="287"/>
      <c r="S6" s="287"/>
      <c r="T6" s="287"/>
      <c r="U6" s="287"/>
      <c r="V6" s="51" t="s">
        <v>10</v>
      </c>
      <c r="W6" s="162"/>
      <c r="Y6" s="162"/>
      <c r="Z6" s="162"/>
      <c r="AA6" s="162"/>
      <c r="AB6" s="162"/>
      <c r="AC6" s="162"/>
      <c r="AD6" s="162"/>
    </row>
    <row r="7" spans="1:30" ht="33.75" customHeight="1" x14ac:dyDescent="0.25">
      <c r="A7" s="585" t="s">
        <v>101</v>
      </c>
      <c r="B7" s="588" t="s">
        <v>137</v>
      </c>
      <c r="C7" s="588"/>
      <c r="D7" s="588"/>
      <c r="E7" s="588" t="s">
        <v>139</v>
      </c>
      <c r="F7" s="618"/>
      <c r="G7" s="619"/>
      <c r="H7" s="588" t="s">
        <v>97</v>
      </c>
      <c r="I7" s="618"/>
      <c r="J7" s="619"/>
      <c r="K7" s="588" t="s">
        <v>132</v>
      </c>
      <c r="L7" s="618"/>
      <c r="M7" s="619"/>
      <c r="N7" s="588" t="s">
        <v>27</v>
      </c>
      <c r="O7" s="588"/>
      <c r="P7" s="588"/>
      <c r="Q7" s="180" t="s">
        <v>28</v>
      </c>
      <c r="R7" s="180" t="s">
        <v>104</v>
      </c>
      <c r="S7" s="588" t="s">
        <v>133</v>
      </c>
      <c r="T7" s="588"/>
      <c r="U7" s="589"/>
      <c r="V7" s="51" t="s">
        <v>10</v>
      </c>
      <c r="X7" s="5"/>
    </row>
    <row r="8" spans="1:30" ht="28.5" x14ac:dyDescent="0.25">
      <c r="A8" s="586"/>
      <c r="B8" s="235" t="s">
        <v>2</v>
      </c>
      <c r="C8" s="235" t="s">
        <v>95</v>
      </c>
      <c r="D8" s="235" t="s">
        <v>3</v>
      </c>
      <c r="E8" s="235" t="s">
        <v>2</v>
      </c>
      <c r="F8" s="235" t="s">
        <v>95</v>
      </c>
      <c r="G8" s="235" t="s">
        <v>3</v>
      </c>
      <c r="H8" s="235" t="s">
        <v>2</v>
      </c>
      <c r="I8" s="235" t="s">
        <v>95</v>
      </c>
      <c r="J8" s="235" t="s">
        <v>3</v>
      </c>
      <c r="K8" s="235" t="s">
        <v>2</v>
      </c>
      <c r="L8" s="235" t="s">
        <v>95</v>
      </c>
      <c r="M8" s="235" t="s">
        <v>3</v>
      </c>
      <c r="N8" s="235" t="s">
        <v>2</v>
      </c>
      <c r="O8" s="235" t="s">
        <v>95</v>
      </c>
      <c r="P8" s="235" t="s">
        <v>3</v>
      </c>
      <c r="Q8" s="235" t="s">
        <v>3</v>
      </c>
      <c r="R8" s="235" t="s">
        <v>3</v>
      </c>
      <c r="S8" s="235" t="s">
        <v>2</v>
      </c>
      <c r="T8" s="235" t="s">
        <v>95</v>
      </c>
      <c r="U8" s="234" t="s">
        <v>3</v>
      </c>
      <c r="V8" s="51" t="s">
        <v>10</v>
      </c>
      <c r="X8" s="5"/>
    </row>
    <row r="9" spans="1:30" x14ac:dyDescent="0.2">
      <c r="A9" s="207" t="s">
        <v>432</v>
      </c>
      <c r="B9" s="154">
        <v>0</v>
      </c>
      <c r="C9" s="154">
        <v>0</v>
      </c>
      <c r="D9" s="154">
        <v>730000</v>
      </c>
      <c r="E9" s="154">
        <v>0</v>
      </c>
      <c r="F9" s="154">
        <v>0</v>
      </c>
      <c r="G9" s="154">
        <v>0</v>
      </c>
      <c r="H9" s="154">
        <v>0</v>
      </c>
      <c r="I9" s="154">
        <v>0</v>
      </c>
      <c r="J9" s="154">
        <v>0</v>
      </c>
      <c r="K9" s="154">
        <v>0</v>
      </c>
      <c r="L9" s="154">
        <v>0</v>
      </c>
      <c r="M9" s="154">
        <v>0</v>
      </c>
      <c r="N9" s="154">
        <v>0</v>
      </c>
      <c r="O9" s="154">
        <v>0</v>
      </c>
      <c r="P9" s="217">
        <v>0</v>
      </c>
      <c r="Q9" s="217">
        <v>50000</v>
      </c>
      <c r="R9" s="387" t="s">
        <v>509</v>
      </c>
      <c r="S9" s="217">
        <f>B9+N9</f>
        <v>0</v>
      </c>
      <c r="T9" s="217">
        <f>C9+O9</f>
        <v>0</v>
      </c>
      <c r="U9" s="286">
        <f>D9+P9+Q9+J9+M9+G9</f>
        <v>780000</v>
      </c>
      <c r="V9" s="51" t="s">
        <v>10</v>
      </c>
      <c r="X9" s="284"/>
    </row>
    <row r="10" spans="1:30" ht="15" x14ac:dyDescent="0.25">
      <c r="A10" s="13" t="s">
        <v>98</v>
      </c>
      <c r="B10" s="118">
        <f t="shared" ref="B10:U10" si="0">SUM(B9:B9)</f>
        <v>0</v>
      </c>
      <c r="C10" s="118">
        <f t="shared" si="0"/>
        <v>0</v>
      </c>
      <c r="D10" s="118">
        <f t="shared" si="0"/>
        <v>730000</v>
      </c>
      <c r="E10" s="118">
        <f t="shared" si="0"/>
        <v>0</v>
      </c>
      <c r="F10" s="118">
        <f t="shared" si="0"/>
        <v>0</v>
      </c>
      <c r="G10" s="118">
        <f t="shared" si="0"/>
        <v>0</v>
      </c>
      <c r="H10" s="118">
        <f t="shared" si="0"/>
        <v>0</v>
      </c>
      <c r="I10" s="118">
        <f t="shared" si="0"/>
        <v>0</v>
      </c>
      <c r="J10" s="118">
        <f t="shared" si="0"/>
        <v>0</v>
      </c>
      <c r="K10" s="118">
        <f t="shared" si="0"/>
        <v>0</v>
      </c>
      <c r="L10" s="118">
        <f t="shared" si="0"/>
        <v>0</v>
      </c>
      <c r="M10" s="118">
        <f t="shared" si="0"/>
        <v>0</v>
      </c>
      <c r="N10" s="118">
        <f t="shared" si="0"/>
        <v>0</v>
      </c>
      <c r="O10" s="118">
        <f t="shared" si="0"/>
        <v>0</v>
      </c>
      <c r="P10" s="118">
        <f t="shared" si="0"/>
        <v>0</v>
      </c>
      <c r="Q10" s="118">
        <f t="shared" si="0"/>
        <v>50000</v>
      </c>
      <c r="R10" s="219">
        <f t="shared" si="0"/>
        <v>0</v>
      </c>
      <c r="S10" s="118">
        <f t="shared" si="0"/>
        <v>0</v>
      </c>
      <c r="T10" s="118">
        <f t="shared" si="0"/>
        <v>0</v>
      </c>
      <c r="U10" s="119">
        <f t="shared" si="0"/>
        <v>780000</v>
      </c>
      <c r="V10" s="51" t="s">
        <v>10</v>
      </c>
      <c r="X10" s="5"/>
    </row>
    <row r="11" spans="1:30" x14ac:dyDescent="0.2">
      <c r="A11" s="210" t="s">
        <v>13</v>
      </c>
      <c r="B11" s="209"/>
      <c r="C11" s="209">
        <v>0</v>
      </c>
      <c r="D11" s="209"/>
      <c r="E11" s="209"/>
      <c r="F11" s="209">
        <v>0</v>
      </c>
      <c r="G11" s="209"/>
      <c r="H11" s="209"/>
      <c r="I11" s="209">
        <v>0</v>
      </c>
      <c r="J11" s="209"/>
      <c r="K11" s="209"/>
      <c r="L11" s="209">
        <v>0</v>
      </c>
      <c r="M11" s="209"/>
      <c r="N11" s="209"/>
      <c r="O11" s="209">
        <v>0</v>
      </c>
      <c r="P11" s="209"/>
      <c r="Q11" s="209"/>
      <c r="R11" s="209"/>
      <c r="S11" s="209"/>
      <c r="T11" s="209">
        <f>C11+O11+I11</f>
        <v>0</v>
      </c>
      <c r="U11" s="208"/>
      <c r="V11" s="51" t="s">
        <v>10</v>
      </c>
    </row>
    <row r="12" spans="1:30" ht="15" x14ac:dyDescent="0.25">
      <c r="A12" s="207" t="s">
        <v>99</v>
      </c>
      <c r="B12" s="154"/>
      <c r="C12" s="154">
        <f>C10+C11</f>
        <v>0</v>
      </c>
      <c r="D12" s="154"/>
      <c r="E12" s="154"/>
      <c r="F12" s="154">
        <f>F10+F11</f>
        <v>0</v>
      </c>
      <c r="G12" s="154"/>
      <c r="H12" s="154"/>
      <c r="I12" s="154">
        <f>I10+I11</f>
        <v>0</v>
      </c>
      <c r="J12" s="154"/>
      <c r="K12" s="154"/>
      <c r="L12" s="154">
        <f>L10+L11</f>
        <v>0</v>
      </c>
      <c r="M12" s="154"/>
      <c r="N12" s="154"/>
      <c r="O12" s="154">
        <f>O10+O11</f>
        <v>0</v>
      </c>
      <c r="P12" s="154"/>
      <c r="Q12" s="154"/>
      <c r="R12" s="154"/>
      <c r="S12" s="154"/>
      <c r="T12" s="209">
        <f>T10+T11</f>
        <v>0</v>
      </c>
      <c r="U12" s="151"/>
      <c r="V12" s="51" t="s">
        <v>10</v>
      </c>
      <c r="X12" s="240"/>
    </row>
    <row r="13" spans="1:30" x14ac:dyDescent="0.2">
      <c r="A13" s="207"/>
      <c r="B13" s="154"/>
      <c r="C13" s="154"/>
      <c r="D13" s="154"/>
      <c r="E13" s="154"/>
      <c r="F13" s="154"/>
      <c r="G13" s="154"/>
      <c r="H13" s="154"/>
      <c r="I13" s="154"/>
      <c r="J13" s="154"/>
      <c r="K13" s="154"/>
      <c r="L13" s="154"/>
      <c r="M13" s="154"/>
      <c r="N13" s="154"/>
      <c r="O13" s="154"/>
      <c r="P13" s="154"/>
      <c r="Q13" s="154"/>
      <c r="R13" s="154"/>
      <c r="S13" s="154"/>
      <c r="T13" s="154"/>
      <c r="U13" s="151"/>
      <c r="V13" s="51" t="s">
        <v>10</v>
      </c>
    </row>
    <row r="14" spans="1:30" x14ac:dyDescent="0.2">
      <c r="A14" s="207" t="s">
        <v>14</v>
      </c>
      <c r="B14" s="154"/>
      <c r="C14" s="154"/>
      <c r="D14" s="154"/>
      <c r="E14" s="154"/>
      <c r="F14" s="154"/>
      <c r="G14" s="154"/>
      <c r="H14" s="154"/>
      <c r="I14" s="154"/>
      <c r="J14" s="154"/>
      <c r="K14" s="154"/>
      <c r="L14" s="154"/>
      <c r="M14" s="154"/>
      <c r="N14" s="154"/>
      <c r="O14" s="154"/>
      <c r="P14" s="154"/>
      <c r="Q14" s="154"/>
      <c r="R14" s="154"/>
      <c r="S14" s="154"/>
      <c r="T14" s="154"/>
      <c r="U14" s="151"/>
      <c r="V14" s="51" t="s">
        <v>10</v>
      </c>
    </row>
    <row r="15" spans="1:30" x14ac:dyDescent="0.2">
      <c r="A15" s="206" t="s">
        <v>15</v>
      </c>
      <c r="B15" s="154"/>
      <c r="C15" s="154">
        <v>0</v>
      </c>
      <c r="D15" s="154"/>
      <c r="E15" s="154"/>
      <c r="F15" s="154">
        <v>0</v>
      </c>
      <c r="G15" s="154"/>
      <c r="H15" s="154"/>
      <c r="I15" s="154">
        <v>0</v>
      </c>
      <c r="J15" s="154"/>
      <c r="K15" s="154"/>
      <c r="L15" s="154">
        <v>0</v>
      </c>
      <c r="M15" s="154"/>
      <c r="N15" s="154"/>
      <c r="O15" s="154">
        <v>0</v>
      </c>
      <c r="P15" s="154"/>
      <c r="Q15" s="154"/>
      <c r="R15" s="154"/>
      <c r="S15" s="154"/>
      <c r="T15" s="154">
        <f>C15+O15+I15</f>
        <v>0</v>
      </c>
      <c r="U15" s="151"/>
      <c r="V15" s="51" t="s">
        <v>10</v>
      </c>
    </row>
    <row r="16" spans="1:30" x14ac:dyDescent="0.2">
      <c r="A16" s="205" t="s">
        <v>16</v>
      </c>
      <c r="B16" s="204"/>
      <c r="C16" s="204">
        <v>0</v>
      </c>
      <c r="D16" s="204"/>
      <c r="E16" s="204"/>
      <c r="F16" s="204">
        <v>0</v>
      </c>
      <c r="G16" s="204"/>
      <c r="H16" s="204"/>
      <c r="I16" s="204">
        <v>0</v>
      </c>
      <c r="J16" s="204"/>
      <c r="K16" s="204"/>
      <c r="L16" s="204">
        <v>0</v>
      </c>
      <c r="M16" s="204"/>
      <c r="N16" s="204"/>
      <c r="O16" s="204">
        <v>0</v>
      </c>
      <c r="P16" s="204"/>
      <c r="Q16" s="204"/>
      <c r="R16" s="204"/>
      <c r="S16" s="204"/>
      <c r="T16" s="154">
        <f>C16+O16+I15</f>
        <v>0</v>
      </c>
      <c r="U16" s="203"/>
      <c r="V16" s="51" t="s">
        <v>10</v>
      </c>
    </row>
    <row r="17" spans="1:22" ht="15" thickBot="1" x14ac:dyDescent="0.25">
      <c r="A17" s="202" t="s">
        <v>100</v>
      </c>
      <c r="B17" s="201"/>
      <c r="C17" s="201">
        <f>C12+C15+C16</f>
        <v>0</v>
      </c>
      <c r="D17" s="201"/>
      <c r="E17" s="201"/>
      <c r="F17" s="201">
        <f>F12+F15+F16</f>
        <v>0</v>
      </c>
      <c r="G17" s="201"/>
      <c r="H17" s="201"/>
      <c r="I17" s="201">
        <f>I12+I15+I16</f>
        <v>0</v>
      </c>
      <c r="J17" s="201"/>
      <c r="K17" s="201"/>
      <c r="L17" s="201">
        <f>L12+L15+L16</f>
        <v>0</v>
      </c>
      <c r="M17" s="201"/>
      <c r="N17" s="201"/>
      <c r="O17" s="201">
        <f>O12+O15+O16</f>
        <v>0</v>
      </c>
      <c r="P17" s="201"/>
      <c r="Q17" s="201"/>
      <c r="R17" s="201"/>
      <c r="S17" s="201"/>
      <c r="T17" s="201">
        <f>SUM(T12,T15:T16)</f>
        <v>0</v>
      </c>
      <c r="U17" s="200"/>
      <c r="V17" s="51" t="s">
        <v>10</v>
      </c>
    </row>
    <row r="18" spans="1:22" ht="15" x14ac:dyDescent="0.25">
      <c r="A18" s="170" t="s">
        <v>138</v>
      </c>
      <c r="B18" s="277"/>
      <c r="C18" s="277"/>
      <c r="D18" s="277"/>
      <c r="E18" s="277"/>
      <c r="F18" s="277"/>
      <c r="G18" s="277"/>
      <c r="H18" s="277"/>
      <c r="I18" s="277"/>
      <c r="J18" s="277"/>
      <c r="K18" s="277"/>
      <c r="L18" s="277"/>
      <c r="M18" s="277"/>
      <c r="N18" s="277"/>
      <c r="O18" s="277"/>
      <c r="P18" s="277"/>
      <c r="Q18" s="277"/>
      <c r="R18" s="277"/>
      <c r="S18" s="277"/>
      <c r="T18" s="277"/>
      <c r="U18" s="277"/>
      <c r="V18" s="51" t="s">
        <v>10</v>
      </c>
    </row>
    <row r="19" spans="1:22" x14ac:dyDescent="0.2">
      <c r="A19" s="614" t="s">
        <v>140</v>
      </c>
      <c r="B19" s="614"/>
      <c r="C19" s="614"/>
      <c r="D19" s="614"/>
      <c r="E19" s="614"/>
      <c r="F19" s="614"/>
      <c r="G19" s="614"/>
      <c r="H19" s="614"/>
      <c r="I19" s="614"/>
      <c r="J19" s="614"/>
      <c r="K19" s="614"/>
      <c r="L19" s="614"/>
      <c r="M19" s="614"/>
      <c r="N19" s="614"/>
      <c r="O19" s="614"/>
      <c r="P19" s="614"/>
      <c r="Q19" s="614"/>
      <c r="R19" s="614"/>
      <c r="S19" s="614"/>
      <c r="T19" s="614"/>
      <c r="U19" s="614"/>
      <c r="V19" s="51" t="s">
        <v>10</v>
      </c>
    </row>
    <row r="20" spans="1:22" x14ac:dyDescent="0.2">
      <c r="V20" s="51" t="s">
        <v>10</v>
      </c>
    </row>
    <row r="21" spans="1:22" ht="15" x14ac:dyDescent="0.25">
      <c r="A21" s="5" t="s">
        <v>27</v>
      </c>
      <c r="V21" s="51" t="s">
        <v>10</v>
      </c>
    </row>
    <row r="22" spans="1:22" x14ac:dyDescent="0.2">
      <c r="A22" s="635"/>
      <c r="B22" s="635"/>
      <c r="C22" s="635"/>
      <c r="D22" s="635"/>
      <c r="E22" s="635"/>
      <c r="F22" s="635"/>
      <c r="G22" s="635"/>
      <c r="H22" s="635"/>
      <c r="I22" s="635"/>
      <c r="J22" s="635"/>
      <c r="K22" s="635"/>
      <c r="L22" s="635"/>
      <c r="M22" s="635"/>
      <c r="N22" s="635"/>
      <c r="O22" s="635"/>
      <c r="P22" s="635"/>
      <c r="Q22" s="635"/>
      <c r="R22" s="635"/>
      <c r="S22" s="635"/>
      <c r="T22" s="635"/>
      <c r="U22" s="635"/>
      <c r="V22" s="51" t="s">
        <v>10</v>
      </c>
    </row>
    <row r="23" spans="1:22" x14ac:dyDescent="0.2">
      <c r="A23" s="635"/>
      <c r="B23" s="635"/>
      <c r="C23" s="635"/>
      <c r="D23" s="635"/>
      <c r="E23" s="635"/>
      <c r="F23" s="635"/>
      <c r="G23" s="635"/>
      <c r="H23" s="635"/>
      <c r="I23" s="635"/>
      <c r="J23" s="635"/>
      <c r="K23" s="635"/>
      <c r="L23" s="635"/>
      <c r="M23" s="635"/>
      <c r="N23" s="635"/>
      <c r="O23" s="635"/>
      <c r="P23" s="635"/>
      <c r="Q23" s="635"/>
      <c r="R23" s="635"/>
      <c r="S23" s="635"/>
      <c r="T23" s="635"/>
      <c r="U23" s="635"/>
      <c r="V23" s="51" t="s">
        <v>10</v>
      </c>
    </row>
    <row r="24" spans="1:22" ht="15" x14ac:dyDescent="0.25">
      <c r="A24" s="5" t="s">
        <v>113</v>
      </c>
      <c r="V24" s="51" t="s">
        <v>10</v>
      </c>
    </row>
    <row r="25" spans="1:22" x14ac:dyDescent="0.2">
      <c r="A25" s="616" t="s">
        <v>510</v>
      </c>
      <c r="B25" s="616"/>
      <c r="C25" s="616"/>
      <c r="D25" s="616"/>
      <c r="E25" s="616"/>
      <c r="F25" s="616"/>
      <c r="G25" s="616"/>
      <c r="H25" s="616"/>
      <c r="I25" s="616"/>
      <c r="J25" s="616"/>
      <c r="K25" s="616"/>
      <c r="L25" s="616"/>
      <c r="M25" s="616"/>
      <c r="N25" s="616"/>
      <c r="O25" s="616"/>
      <c r="P25" s="616"/>
      <c r="Q25" s="616"/>
      <c r="R25" s="616"/>
      <c r="S25" s="616"/>
      <c r="T25" s="616"/>
      <c r="U25" s="616"/>
      <c r="V25" s="51" t="s">
        <v>10</v>
      </c>
    </row>
    <row r="26" spans="1:22" x14ac:dyDescent="0.2">
      <c r="A26" s="635"/>
      <c r="B26" s="635"/>
      <c r="C26" s="635"/>
      <c r="D26" s="635"/>
      <c r="E26" s="635"/>
      <c r="F26" s="635"/>
      <c r="G26" s="635"/>
      <c r="H26" s="635"/>
      <c r="I26" s="635"/>
      <c r="J26" s="635"/>
      <c r="K26" s="635"/>
      <c r="L26" s="635"/>
      <c r="M26" s="635"/>
      <c r="N26" s="635"/>
      <c r="O26" s="635"/>
      <c r="P26" s="635"/>
      <c r="Q26" s="635"/>
      <c r="R26" s="635"/>
      <c r="S26" s="635"/>
      <c r="T26" s="635"/>
      <c r="U26" s="635"/>
      <c r="V26" s="51" t="s">
        <v>10</v>
      </c>
    </row>
    <row r="27" spans="1:22" ht="15" x14ac:dyDescent="0.25">
      <c r="A27" s="5" t="s">
        <v>114</v>
      </c>
      <c r="V27" s="51" t="s">
        <v>10</v>
      </c>
    </row>
    <row r="28" spans="1:22" x14ac:dyDescent="0.2">
      <c r="A28" s="616" t="s">
        <v>648</v>
      </c>
      <c r="B28" s="616"/>
      <c r="C28" s="616"/>
      <c r="D28" s="616"/>
      <c r="E28" s="616"/>
      <c r="F28" s="616"/>
      <c r="G28" s="616"/>
      <c r="H28" s="616"/>
      <c r="I28" s="616"/>
      <c r="J28" s="616"/>
      <c r="K28" s="616"/>
      <c r="L28" s="616"/>
      <c r="M28" s="616"/>
      <c r="N28" s="616"/>
      <c r="O28" s="616"/>
      <c r="P28" s="616"/>
      <c r="Q28" s="616"/>
      <c r="R28" s="616"/>
      <c r="S28" s="616"/>
      <c r="T28" s="616"/>
      <c r="U28" s="616"/>
      <c r="V28" s="51" t="s">
        <v>10</v>
      </c>
    </row>
    <row r="29" spans="1:22" x14ac:dyDescent="0.2">
      <c r="A29" s="635"/>
      <c r="B29" s="635"/>
      <c r="C29" s="635"/>
      <c r="D29" s="635"/>
      <c r="E29" s="635"/>
      <c r="F29" s="635"/>
      <c r="G29" s="635"/>
      <c r="H29" s="635"/>
      <c r="I29" s="635"/>
      <c r="J29" s="635"/>
      <c r="K29" s="635"/>
      <c r="L29" s="635"/>
      <c r="M29" s="635"/>
      <c r="N29" s="635"/>
      <c r="O29" s="635"/>
      <c r="P29" s="635"/>
      <c r="Q29" s="635"/>
      <c r="R29" s="635"/>
      <c r="S29" s="635"/>
      <c r="T29" s="635"/>
      <c r="U29" s="635"/>
      <c r="V29" s="51" t="s">
        <v>10</v>
      </c>
    </row>
    <row r="30" spans="1:22" x14ac:dyDescent="0.2">
      <c r="V30" s="51" t="s">
        <v>10</v>
      </c>
    </row>
    <row r="31" spans="1:22" x14ac:dyDescent="0.2">
      <c r="V31" s="4" t="s">
        <v>11</v>
      </c>
    </row>
  </sheetData>
  <customSheetViews>
    <customSheetView guid="{EE916FE7-61FB-4021-ADDD-E082241FC03C}" scale="80" showPageBreaks="1" printArea="1" view="pageBreakPreview">
      <selection activeCell="K42" sqref="K42"/>
      <pageMargins left="0.7" right="0.7" top="0.64" bottom="0.61" header="0.3" footer="0.3"/>
      <printOptions horizontalCentered="1"/>
      <pageSetup scale="55" orientation="landscape" r:id="rId1"/>
      <headerFooter>
        <oddHeader>&amp;L&amp;"Arial,Bold"&amp;12F. Crosswalk of 2013 Availability</oddHeader>
        <oddFooter>&amp;C&amp;"Arial,Regular"Exhibit F - Crosswalk of 2013 Availability&amp;R&amp;"Arial,Regular"Crime Victims Fund</oddFooter>
      </headerFooter>
    </customSheetView>
    <customSheetView guid="{0BB5DC4B-BC2A-4489-BE17-5E267FA1EF63}" scale="80" showPageBreaks="1" printArea="1" view="pageBreakPreview">
      <selection activeCell="K42" sqref="K42"/>
      <pageMargins left="0.7" right="0.7" top="0.64" bottom="0.61" header="0.3" footer="0.3"/>
      <printOptions horizontalCentered="1"/>
      <pageSetup scale="55" orientation="landscape" r:id="rId2"/>
      <headerFooter>
        <oddHeader>&amp;L&amp;"Arial,Bold"&amp;12F. Crosswalk of 2013 Availability</oddHeader>
        <oddFooter>&amp;C&amp;"Arial,Regular"Exhibit F - Crosswalk of 2013 Availability&amp;R&amp;"Arial,Regular"Crime Victims Fund</oddFooter>
      </headerFooter>
    </customSheetView>
    <customSheetView guid="{6C58FFE1-D756-42C4-A1BC-AA7F1DC1E56F}" scale="80" showPageBreaks="1" printArea="1" view="pageBreakPreview">
      <selection activeCell="K42" sqref="K42"/>
      <pageMargins left="0.7" right="0.7" top="0.64" bottom="0.61" header="0.3" footer="0.3"/>
      <printOptions horizontalCentered="1"/>
      <pageSetup scale="55" orientation="landscape" r:id="rId3"/>
      <headerFooter>
        <oddHeader>&amp;L&amp;"Arial,Bold"&amp;12F. Crosswalk of 2013 Availability</oddHeader>
        <oddFooter>&amp;C&amp;"Arial,Regular"Exhibit F - Crosswalk of 2013 Availability&amp;R&amp;"Arial,Regular"Crime Victims Fund</oddFooter>
      </headerFooter>
    </customSheetView>
    <customSheetView guid="{CFA5D1C9-F4C9-4B8D-923D-4C71CB6E7D3B}" scale="80" showPageBreaks="1" printArea="1" view="pageBreakPreview">
      <selection activeCell="K42" sqref="K42"/>
      <pageMargins left="0.7" right="0.7" top="0.64" bottom="0.61" header="0.3" footer="0.3"/>
      <printOptions horizontalCentered="1"/>
      <pageSetup scale="55" orientation="landscape" r:id="rId4"/>
      <headerFooter>
        <oddHeader>&amp;L&amp;"Arial,Bold"&amp;12F. Crosswalk of 2013 Availability</oddHeader>
        <oddFooter>&amp;C&amp;"Arial,Regular"Exhibit F - Crosswalk of 2013 Availability&amp;R&amp;"Arial,Regular"Crime Victims Fund</oddFooter>
      </headerFooter>
    </customSheetView>
    <customSheetView guid="{A788DF77-74F1-49E4-8B34-BFBDB7664F30}" scale="80" showPageBreaks="1" printArea="1" view="pageBreakPreview">
      <selection activeCell="A29" sqref="A29:U29"/>
      <pageMargins left="0.7" right="0.7" top="0.64" bottom="0.61" header="0.3" footer="0.3"/>
      <printOptions horizontalCentered="1"/>
      <pageSetup scale="55" orientation="landscape" r:id="rId5"/>
      <headerFooter>
        <oddHeader>&amp;L&amp;"Arial,Bold"&amp;12F. Crosswalk of 2013 Availability</oddHeader>
        <oddFooter>&amp;C&amp;"Arial,Regular"Exhibit F - Crosswalk of 2013 Availability&amp;R&amp;"Arial,Regular"Crime Victims Fund</oddFooter>
      </headerFooter>
    </customSheetView>
  </customSheetViews>
  <mergeCells count="18">
    <mergeCell ref="A19:U19"/>
    <mergeCell ref="A29:U29"/>
    <mergeCell ref="A22:U22"/>
    <mergeCell ref="A23:U23"/>
    <mergeCell ref="A25:U25"/>
    <mergeCell ref="A26:U26"/>
    <mergeCell ref="A28:U28"/>
    <mergeCell ref="A1:U1"/>
    <mergeCell ref="A2:U2"/>
    <mergeCell ref="A3:U3"/>
    <mergeCell ref="A4:U4"/>
    <mergeCell ref="H7:J7"/>
    <mergeCell ref="K7:M7"/>
    <mergeCell ref="E7:G7"/>
    <mergeCell ref="A7:A8"/>
    <mergeCell ref="B7:D7"/>
    <mergeCell ref="N7:P7"/>
    <mergeCell ref="S7:U7"/>
  </mergeCells>
  <printOptions horizontalCentered="1"/>
  <pageMargins left="0.7" right="0.7" top="0.64" bottom="0.61" header="0.3" footer="0.3"/>
  <pageSetup scale="70" orientation="landscape" r:id="rId6"/>
  <headerFooter>
    <oddHeader>&amp;L&amp;"Arial,Bold"&amp;12F. Crosswalk of 2013 Availability</oddHeader>
    <oddFooter>&amp;C&amp;"Arial,Regular"Exhibit F - Crosswalk of 2013 Availability&amp;R&amp;"Arial,Regular"Crime Victims Fund</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view="pageBreakPreview" zoomScale="80" zoomScaleNormal="100" zoomScaleSheetLayoutView="80" workbookViewId="0">
      <selection activeCell="J14" sqref="J14"/>
    </sheetView>
  </sheetViews>
  <sheetFormatPr defaultRowHeight="14.25" x14ac:dyDescent="0.2"/>
  <cols>
    <col min="1" max="1" width="37.140625" style="143" customWidth="1"/>
    <col min="2" max="3" width="8.28515625" style="143" customWidth="1"/>
    <col min="4" max="4" width="12.7109375" style="143" customWidth="1"/>
    <col min="5" max="5" width="15" style="143" customWidth="1"/>
    <col min="6" max="6" width="8.28515625" style="143" customWidth="1"/>
    <col min="7" max="7" width="9.85546875" style="143" customWidth="1"/>
    <col min="8" max="10" width="12.7109375" style="143" customWidth="1"/>
    <col min="11" max="11" width="8.28515625" style="143" customWidth="1"/>
    <col min="12" max="12" width="9.85546875" style="143" customWidth="1"/>
    <col min="13" max="13" width="12.7109375" style="143" customWidth="1"/>
    <col min="14" max="14" width="14" style="4" bestFit="1" customWidth="1"/>
    <col min="15" max="15" width="4.5703125" style="143" customWidth="1"/>
    <col min="16" max="16" width="116.7109375" style="143" customWidth="1"/>
    <col min="17" max="18" width="8.28515625" style="143" customWidth="1"/>
    <col min="19" max="19" width="12.7109375" style="143" customWidth="1"/>
    <col min="20" max="21" width="8.28515625" style="143" customWidth="1"/>
    <col min="22" max="22" width="12.7109375" style="143" customWidth="1"/>
    <col min="23" max="16384" width="9.140625" style="143"/>
  </cols>
  <sheetData>
    <row r="1" spans="1:22" ht="18" x14ac:dyDescent="0.25">
      <c r="A1" s="577" t="s">
        <v>134</v>
      </c>
      <c r="B1" s="577"/>
      <c r="C1" s="577"/>
      <c r="D1" s="577"/>
      <c r="E1" s="577"/>
      <c r="F1" s="577"/>
      <c r="G1" s="577"/>
      <c r="H1" s="577"/>
      <c r="I1" s="577"/>
      <c r="J1" s="577"/>
      <c r="K1" s="577"/>
      <c r="L1" s="577"/>
      <c r="M1" s="577"/>
      <c r="N1" s="51" t="s">
        <v>10</v>
      </c>
      <c r="O1" s="6"/>
      <c r="P1" s="199"/>
      <c r="Q1" s="6"/>
      <c r="R1" s="6"/>
      <c r="S1" s="6"/>
      <c r="T1" s="6"/>
      <c r="U1" s="6"/>
      <c r="V1" s="6"/>
    </row>
    <row r="2" spans="1:22" ht="15" x14ac:dyDescent="0.2">
      <c r="A2" s="578" t="s">
        <v>152</v>
      </c>
      <c r="B2" s="578"/>
      <c r="C2" s="578"/>
      <c r="D2" s="578"/>
      <c r="E2" s="578"/>
      <c r="F2" s="578"/>
      <c r="G2" s="578"/>
      <c r="H2" s="578"/>
      <c r="I2" s="578"/>
      <c r="J2" s="578"/>
      <c r="K2" s="578"/>
      <c r="L2" s="578"/>
      <c r="M2" s="578"/>
      <c r="N2" s="51" t="s">
        <v>10</v>
      </c>
      <c r="O2" s="7"/>
      <c r="P2" s="198"/>
      <c r="Q2" s="7"/>
      <c r="R2" s="7"/>
      <c r="S2" s="7"/>
      <c r="T2" s="7"/>
      <c r="U2" s="7"/>
      <c r="V2" s="7"/>
    </row>
    <row r="3" spans="1:22" x14ac:dyDescent="0.2">
      <c r="A3" s="579" t="s">
        <v>432</v>
      </c>
      <c r="B3" s="579"/>
      <c r="C3" s="579"/>
      <c r="D3" s="579"/>
      <c r="E3" s="579"/>
      <c r="F3" s="579"/>
      <c r="G3" s="579"/>
      <c r="H3" s="579"/>
      <c r="I3" s="579"/>
      <c r="J3" s="579"/>
      <c r="K3" s="579"/>
      <c r="L3" s="579"/>
      <c r="M3" s="579"/>
      <c r="N3" s="51" t="s">
        <v>10</v>
      </c>
      <c r="O3" s="163"/>
      <c r="P3" s="198"/>
      <c r="Q3" s="163"/>
      <c r="R3" s="163"/>
      <c r="S3" s="163"/>
      <c r="T3" s="163"/>
      <c r="U3" s="163"/>
      <c r="V3" s="163"/>
    </row>
    <row r="4" spans="1:22" x14ac:dyDescent="0.2">
      <c r="A4" s="608" t="s">
        <v>1</v>
      </c>
      <c r="B4" s="608"/>
      <c r="C4" s="608"/>
      <c r="D4" s="608"/>
      <c r="E4" s="608"/>
      <c r="F4" s="608"/>
      <c r="G4" s="608"/>
      <c r="H4" s="608"/>
      <c r="I4" s="608"/>
      <c r="J4" s="608"/>
      <c r="K4" s="608"/>
      <c r="L4" s="608"/>
      <c r="M4" s="608"/>
      <c r="N4" s="51" t="s">
        <v>10</v>
      </c>
      <c r="O4" s="162"/>
      <c r="P4" s="198"/>
      <c r="Q4" s="162"/>
      <c r="R4" s="162"/>
      <c r="S4" s="162"/>
      <c r="T4" s="162"/>
      <c r="U4" s="162"/>
      <c r="V4" s="162"/>
    </row>
    <row r="5" spans="1:22" ht="15" x14ac:dyDescent="0.25">
      <c r="A5" s="162"/>
      <c r="B5" s="162"/>
      <c r="C5" s="162"/>
      <c r="D5" s="162"/>
      <c r="E5" s="162"/>
      <c r="F5" s="162"/>
      <c r="G5" s="162"/>
      <c r="H5" s="162"/>
      <c r="I5" s="162"/>
      <c r="J5" s="162"/>
      <c r="K5" s="162"/>
      <c r="L5" s="162"/>
      <c r="M5" s="162"/>
      <c r="N5" s="51" t="s">
        <v>10</v>
      </c>
      <c r="O5" s="162"/>
      <c r="P5" s="241"/>
      <c r="Q5" s="162"/>
      <c r="R5" s="162"/>
      <c r="S5" s="162"/>
      <c r="T5" s="162"/>
      <c r="U5" s="162"/>
      <c r="V5" s="162"/>
    </row>
    <row r="6" spans="1:22" ht="15" thickBot="1" x14ac:dyDescent="0.25">
      <c r="A6" s="287"/>
      <c r="B6" s="287"/>
      <c r="C6" s="287"/>
      <c r="D6" s="287"/>
      <c r="E6" s="287"/>
      <c r="F6" s="287"/>
      <c r="G6" s="287"/>
      <c r="H6" s="287"/>
      <c r="I6" s="287"/>
      <c r="J6" s="287"/>
      <c r="K6" s="287"/>
      <c r="L6" s="287"/>
      <c r="M6" s="276"/>
      <c r="N6" s="51" t="s">
        <v>10</v>
      </c>
      <c r="O6" s="162"/>
      <c r="P6" s="162"/>
      <c r="Q6" s="162"/>
      <c r="R6" s="162"/>
      <c r="S6" s="162"/>
      <c r="T6" s="162"/>
      <c r="U6" s="162"/>
      <c r="V6" s="162"/>
    </row>
    <row r="7" spans="1:22" ht="47.25" customHeight="1" x14ac:dyDescent="0.25">
      <c r="A7" s="585" t="s">
        <v>101</v>
      </c>
      <c r="B7" s="588" t="s">
        <v>150</v>
      </c>
      <c r="C7" s="588"/>
      <c r="D7" s="588"/>
      <c r="E7" s="588" t="s">
        <v>27</v>
      </c>
      <c r="F7" s="588"/>
      <c r="G7" s="588"/>
      <c r="H7" s="180" t="s">
        <v>28</v>
      </c>
      <c r="I7" s="180" t="s">
        <v>104</v>
      </c>
      <c r="J7" s="588" t="s">
        <v>135</v>
      </c>
      <c r="K7" s="588"/>
      <c r="L7" s="589"/>
      <c r="M7" s="51" t="s">
        <v>10</v>
      </c>
      <c r="N7" s="143"/>
      <c r="O7" s="5"/>
    </row>
    <row r="8" spans="1:22" ht="28.5" x14ac:dyDescent="0.25">
      <c r="A8" s="586"/>
      <c r="B8" s="235" t="s">
        <v>2</v>
      </c>
      <c r="C8" s="235" t="s">
        <v>96</v>
      </c>
      <c r="D8" s="235" t="s">
        <v>3</v>
      </c>
      <c r="E8" s="235" t="s">
        <v>2</v>
      </c>
      <c r="F8" s="235" t="s">
        <v>96</v>
      </c>
      <c r="G8" s="235" t="s">
        <v>3</v>
      </c>
      <c r="H8" s="235" t="s">
        <v>3</v>
      </c>
      <c r="I8" s="235" t="s">
        <v>3</v>
      </c>
      <c r="J8" s="235" t="s">
        <v>2</v>
      </c>
      <c r="K8" s="235" t="s">
        <v>96</v>
      </c>
      <c r="L8" s="234" t="s">
        <v>3</v>
      </c>
      <c r="M8" s="51" t="s">
        <v>10</v>
      </c>
      <c r="N8" s="143"/>
      <c r="O8" s="5"/>
    </row>
    <row r="9" spans="1:22" x14ac:dyDescent="0.2">
      <c r="A9" s="173" t="s">
        <v>432</v>
      </c>
      <c r="B9" s="217">
        <v>0</v>
      </c>
      <c r="C9" s="217">
        <v>0</v>
      </c>
      <c r="D9" s="217">
        <v>745000</v>
      </c>
      <c r="E9" s="217">
        <v>0</v>
      </c>
      <c r="F9" s="217">
        <v>0</v>
      </c>
      <c r="G9" s="217">
        <v>0</v>
      </c>
      <c r="H9" s="217">
        <v>50000</v>
      </c>
      <c r="I9" s="387" t="s">
        <v>636</v>
      </c>
      <c r="J9" s="217">
        <f>B9+E9</f>
        <v>0</v>
      </c>
      <c r="K9" s="217">
        <f>C9+F9</f>
        <v>0</v>
      </c>
      <c r="L9" s="286">
        <f>D9+G9+H9</f>
        <v>795000</v>
      </c>
      <c r="M9" s="51" t="s">
        <v>10</v>
      </c>
      <c r="N9" s="143"/>
      <c r="O9" s="284"/>
    </row>
    <row r="10" spans="1:22" ht="15" x14ac:dyDescent="0.25">
      <c r="A10" s="13" t="s">
        <v>98</v>
      </c>
      <c r="B10" s="118">
        <f t="shared" ref="B10:K10" si="0">SUM(B9:B9)</f>
        <v>0</v>
      </c>
      <c r="C10" s="118">
        <f t="shared" si="0"/>
        <v>0</v>
      </c>
      <c r="D10" s="118">
        <f t="shared" si="0"/>
        <v>745000</v>
      </c>
      <c r="E10" s="118">
        <f t="shared" si="0"/>
        <v>0</v>
      </c>
      <c r="F10" s="118">
        <f t="shared" si="0"/>
        <v>0</v>
      </c>
      <c r="G10" s="118">
        <f t="shared" si="0"/>
        <v>0</v>
      </c>
      <c r="H10" s="118">
        <f t="shared" si="0"/>
        <v>50000</v>
      </c>
      <c r="I10" s="219">
        <f t="shared" si="0"/>
        <v>0</v>
      </c>
      <c r="J10" s="118">
        <f t="shared" si="0"/>
        <v>0</v>
      </c>
      <c r="K10" s="118">
        <f t="shared" si="0"/>
        <v>0</v>
      </c>
      <c r="L10" s="119">
        <f>D10+G10+H10+I10</f>
        <v>795000</v>
      </c>
      <c r="M10" s="51" t="s">
        <v>10</v>
      </c>
      <c r="N10" s="143"/>
      <c r="O10" s="5"/>
    </row>
    <row r="11" spans="1:22" x14ac:dyDescent="0.2">
      <c r="A11" s="290" t="s">
        <v>97</v>
      </c>
      <c r="B11" s="217"/>
      <c r="C11" s="217"/>
      <c r="D11" s="217">
        <v>0</v>
      </c>
      <c r="E11" s="217"/>
      <c r="F11" s="217"/>
      <c r="G11" s="217"/>
      <c r="H11" s="217"/>
      <c r="I11" s="217"/>
      <c r="J11" s="217"/>
      <c r="K11" s="217"/>
      <c r="L11" s="286">
        <f>D11+G11+H11+I11</f>
        <v>0</v>
      </c>
      <c r="M11" s="51" t="s">
        <v>10</v>
      </c>
      <c r="N11" s="143"/>
    </row>
    <row r="12" spans="1:22" ht="15" x14ac:dyDescent="0.25">
      <c r="A12" s="289" t="s">
        <v>111</v>
      </c>
      <c r="B12" s="213"/>
      <c r="C12" s="213"/>
      <c r="D12" s="213">
        <f>SUM(D10:D11)</f>
        <v>745000</v>
      </c>
      <c r="E12" s="213"/>
      <c r="F12" s="213"/>
      <c r="G12" s="213"/>
      <c r="H12" s="213">
        <f>SUM(H10:H11)</f>
        <v>50000</v>
      </c>
      <c r="I12" s="213"/>
      <c r="J12" s="213"/>
      <c r="K12" s="213"/>
      <c r="L12" s="211">
        <f>D12+G12+H12+I12</f>
        <v>795000</v>
      </c>
      <c r="M12" s="51" t="s">
        <v>10</v>
      </c>
      <c r="N12" s="143"/>
      <c r="O12" s="240"/>
    </row>
    <row r="13" spans="1:22" x14ac:dyDescent="0.2">
      <c r="A13" s="210" t="s">
        <v>13</v>
      </c>
      <c r="B13" s="209"/>
      <c r="C13" s="209">
        <v>0</v>
      </c>
      <c r="D13" s="209"/>
      <c r="E13" s="209"/>
      <c r="F13" s="209">
        <v>0</v>
      </c>
      <c r="G13" s="209"/>
      <c r="H13" s="209">
        <v>0</v>
      </c>
      <c r="I13" s="209"/>
      <c r="J13" s="209"/>
      <c r="K13" s="209">
        <f>C13+F13</f>
        <v>0</v>
      </c>
      <c r="L13" s="208"/>
      <c r="M13" s="51" t="s">
        <v>10</v>
      </c>
      <c r="N13" s="143"/>
    </row>
    <row r="14" spans="1:22" x14ac:dyDescent="0.2">
      <c r="A14" s="207" t="s">
        <v>99</v>
      </c>
      <c r="B14" s="154"/>
      <c r="C14" s="154">
        <f>C10+C13</f>
        <v>0</v>
      </c>
      <c r="D14" s="154"/>
      <c r="E14" s="154"/>
      <c r="F14" s="154">
        <f>F10+F13</f>
        <v>0</v>
      </c>
      <c r="G14" s="154"/>
      <c r="H14" s="154">
        <f>H10+H13</f>
        <v>50000</v>
      </c>
      <c r="I14" s="154"/>
      <c r="J14" s="154"/>
      <c r="K14" s="154">
        <f>K10+K13</f>
        <v>0</v>
      </c>
      <c r="L14" s="151"/>
      <c r="M14" s="51" t="s">
        <v>10</v>
      </c>
      <c r="N14" s="143"/>
    </row>
    <row r="15" spans="1:22" x14ac:dyDescent="0.2">
      <c r="A15" s="207"/>
      <c r="B15" s="154"/>
      <c r="C15" s="154"/>
      <c r="D15" s="154"/>
      <c r="E15" s="154"/>
      <c r="F15" s="154"/>
      <c r="G15" s="154"/>
      <c r="H15" s="154"/>
      <c r="I15" s="154"/>
      <c r="J15" s="154"/>
      <c r="K15" s="154"/>
      <c r="L15" s="151"/>
      <c r="M15" s="51" t="s">
        <v>10</v>
      </c>
      <c r="N15" s="143"/>
    </row>
    <row r="16" spans="1:22" x14ac:dyDescent="0.2">
      <c r="A16" s="207" t="s">
        <v>14</v>
      </c>
      <c r="B16" s="154"/>
      <c r="C16" s="154"/>
      <c r="D16" s="154"/>
      <c r="E16" s="154"/>
      <c r="F16" s="154"/>
      <c r="G16" s="154"/>
      <c r="H16" s="154"/>
      <c r="I16" s="154"/>
      <c r="J16" s="154"/>
      <c r="K16" s="154"/>
      <c r="L16" s="151"/>
      <c r="M16" s="51" t="s">
        <v>10</v>
      </c>
      <c r="N16" s="143"/>
    </row>
    <row r="17" spans="1:14" x14ac:dyDescent="0.2">
      <c r="A17" s="206" t="s">
        <v>15</v>
      </c>
      <c r="B17" s="154"/>
      <c r="C17" s="154">
        <v>0</v>
      </c>
      <c r="D17" s="154"/>
      <c r="E17" s="154"/>
      <c r="F17" s="154">
        <v>0</v>
      </c>
      <c r="G17" s="154"/>
      <c r="H17" s="154">
        <v>0</v>
      </c>
      <c r="I17" s="154"/>
      <c r="J17" s="154"/>
      <c r="K17" s="154">
        <f>C17+F17</f>
        <v>0</v>
      </c>
      <c r="L17" s="151"/>
      <c r="M17" s="51" t="s">
        <v>10</v>
      </c>
      <c r="N17" s="143"/>
    </row>
    <row r="18" spans="1:14" x14ac:dyDescent="0.2">
      <c r="A18" s="205" t="s">
        <v>16</v>
      </c>
      <c r="B18" s="204"/>
      <c r="C18" s="204">
        <v>0</v>
      </c>
      <c r="D18" s="204"/>
      <c r="E18" s="204"/>
      <c r="F18" s="204">
        <v>0</v>
      </c>
      <c r="G18" s="204"/>
      <c r="H18" s="204">
        <v>0</v>
      </c>
      <c r="I18" s="204"/>
      <c r="J18" s="204"/>
      <c r="K18" s="204">
        <f>C18+F18</f>
        <v>0</v>
      </c>
      <c r="L18" s="203"/>
      <c r="M18" s="51" t="s">
        <v>10</v>
      </c>
      <c r="N18" s="143"/>
    </row>
    <row r="19" spans="1:14" ht="15" thickBot="1" x14ac:dyDescent="0.25">
      <c r="A19" s="202" t="s">
        <v>100</v>
      </c>
      <c r="B19" s="201"/>
      <c r="C19" s="201">
        <f>C14+C17+C18</f>
        <v>0</v>
      </c>
      <c r="D19" s="201"/>
      <c r="E19" s="201"/>
      <c r="F19" s="201">
        <f>F14+F17+F18</f>
        <v>0</v>
      </c>
      <c r="G19" s="201"/>
      <c r="H19" s="201">
        <f>H14+H17+H18</f>
        <v>50000</v>
      </c>
      <c r="I19" s="201"/>
      <c r="J19" s="201"/>
      <c r="K19" s="201">
        <f>SUM(K14,K17:K18)</f>
        <v>0</v>
      </c>
      <c r="L19" s="200"/>
      <c r="M19" s="51" t="s">
        <v>10</v>
      </c>
      <c r="N19" s="143"/>
    </row>
    <row r="20" spans="1:14" x14ac:dyDescent="0.2">
      <c r="M20" s="51" t="s">
        <v>10</v>
      </c>
    </row>
    <row r="21" spans="1:14" x14ac:dyDescent="0.2">
      <c r="M21" s="51" t="s">
        <v>10</v>
      </c>
    </row>
    <row r="22" spans="1:14" ht="15" x14ac:dyDescent="0.25">
      <c r="A22" s="5" t="s">
        <v>27</v>
      </c>
      <c r="M22" s="51" t="s">
        <v>10</v>
      </c>
    </row>
    <row r="23" spans="1:14" x14ac:dyDescent="0.2">
      <c r="A23" s="176"/>
      <c r="B23" s="176"/>
      <c r="C23" s="176"/>
      <c r="D23" s="176"/>
      <c r="E23" s="176"/>
      <c r="F23" s="176"/>
      <c r="G23" s="176"/>
      <c r="H23" s="176"/>
      <c r="I23" s="176"/>
      <c r="J23" s="176"/>
      <c r="K23" s="176"/>
      <c r="L23" s="176"/>
      <c r="M23" s="51" t="s">
        <v>10</v>
      </c>
    </row>
    <row r="24" spans="1:14" x14ac:dyDescent="0.2">
      <c r="A24" s="176"/>
      <c r="B24" s="176"/>
      <c r="C24" s="176"/>
      <c r="D24" s="176"/>
      <c r="E24" s="176"/>
      <c r="F24" s="176"/>
      <c r="G24" s="176"/>
      <c r="H24" s="176"/>
      <c r="I24" s="176"/>
      <c r="J24" s="176"/>
      <c r="K24" s="176"/>
      <c r="L24" s="176"/>
      <c r="M24" s="51" t="s">
        <v>10</v>
      </c>
    </row>
    <row r="25" spans="1:14" ht="15" x14ac:dyDescent="0.25">
      <c r="A25" s="5" t="s">
        <v>113</v>
      </c>
      <c r="M25" s="51" t="s">
        <v>10</v>
      </c>
    </row>
    <row r="26" spans="1:14" x14ac:dyDescent="0.2">
      <c r="A26" s="176" t="s">
        <v>510</v>
      </c>
      <c r="B26" s="176"/>
      <c r="C26" s="176"/>
      <c r="D26" s="176"/>
      <c r="E26" s="176"/>
      <c r="F26" s="176"/>
      <c r="G26" s="176"/>
      <c r="H26" s="176"/>
      <c r="I26" s="176"/>
      <c r="J26" s="176"/>
      <c r="K26" s="176"/>
      <c r="L26" s="176"/>
      <c r="M26" s="51" t="s">
        <v>10</v>
      </c>
    </row>
    <row r="27" spans="1:14" x14ac:dyDescent="0.2">
      <c r="A27" s="288"/>
      <c r="B27" s="288"/>
      <c r="C27" s="288"/>
      <c r="D27" s="288"/>
      <c r="E27" s="288"/>
      <c r="F27" s="288"/>
      <c r="G27" s="288"/>
      <c r="H27" s="288"/>
      <c r="I27" s="288"/>
      <c r="J27" s="288"/>
      <c r="K27" s="288"/>
      <c r="L27" s="288"/>
      <c r="M27" s="51" t="s">
        <v>10</v>
      </c>
    </row>
    <row r="28" spans="1:14" ht="15" x14ac:dyDescent="0.25">
      <c r="A28" s="5" t="s">
        <v>114</v>
      </c>
      <c r="M28" s="51" t="s">
        <v>10</v>
      </c>
    </row>
    <row r="29" spans="1:14" x14ac:dyDescent="0.2">
      <c r="A29" s="163" t="s">
        <v>511</v>
      </c>
      <c r="B29" s="176"/>
      <c r="C29" s="176"/>
      <c r="D29" s="176"/>
      <c r="E29" s="176"/>
      <c r="F29" s="176"/>
      <c r="G29" s="176"/>
      <c r="H29" s="176"/>
      <c r="I29" s="176"/>
      <c r="J29" s="176"/>
      <c r="K29" s="176"/>
      <c r="L29" s="176"/>
      <c r="M29" s="51" t="s">
        <v>10</v>
      </c>
    </row>
    <row r="30" spans="1:14" x14ac:dyDescent="0.2">
      <c r="M30" s="4" t="s">
        <v>11</v>
      </c>
    </row>
    <row r="31" spans="1:14" x14ac:dyDescent="0.2">
      <c r="M31" s="4"/>
      <c r="N31" s="51"/>
    </row>
  </sheetData>
  <customSheetViews>
    <customSheetView guid="{EE916FE7-61FB-4021-ADDD-E082241FC03C}" scale="80" showPageBreaks="1" printArea="1" view="pageBreakPreview">
      <selection activeCell="A9" sqref="A9"/>
      <pageMargins left="0.7" right="0.7" top="0.66" bottom="0.66" header="0.3" footer="0.3"/>
      <printOptions horizontalCentered="1"/>
      <pageSetup scale="67" orientation="landscape" r:id="rId1"/>
      <headerFooter>
        <oddHeader>&amp;L&amp;"Arial,Bold"&amp;12G. Crosswalk of 2014 Availability</oddHeader>
        <oddFooter>&amp;C&amp;"Arial,Regular"Exhibit G - Crosswalk of 2014 Availability&amp;R&amp;"Arial,Regular"Crime Victims Fund</oddFooter>
      </headerFooter>
    </customSheetView>
    <customSheetView guid="{0BB5DC4B-BC2A-4489-BE17-5E267FA1EF63}" scale="80" showPageBreaks="1" printArea="1" view="pageBreakPreview">
      <selection activeCell="A9" sqref="A9"/>
      <pageMargins left="0.7" right="0.7" top="0.66" bottom="0.66" header="0.3" footer="0.3"/>
      <printOptions horizontalCentered="1"/>
      <pageSetup scale="67" orientation="landscape" r:id="rId2"/>
      <headerFooter>
        <oddHeader>&amp;L&amp;"Arial,Bold"&amp;12G. Crosswalk of 2014 Availability</oddHeader>
        <oddFooter>&amp;C&amp;"Arial,Regular"Exhibit G - Crosswalk of 2014 Availability&amp;R&amp;"Arial,Regular"Crime Victims Fund</oddFooter>
      </headerFooter>
    </customSheetView>
    <customSheetView guid="{6C58FFE1-D756-42C4-A1BC-AA7F1DC1E56F}" scale="80" showPageBreaks="1" printArea="1" view="pageBreakPreview">
      <selection activeCell="A3" sqref="A3:M3"/>
      <pageMargins left="0.7" right="0.7" top="0.66" bottom="0.66" header="0.3" footer="0.3"/>
      <printOptions horizontalCentered="1"/>
      <pageSetup scale="67" orientation="landscape" r:id="rId3"/>
      <headerFooter>
        <oddHeader>&amp;L&amp;"Arial,Bold"&amp;12G. Crosswalk of 2014 Availability</oddHeader>
        <oddFooter>&amp;C&amp;"Arial,Regular"Exhibit G - Crosswalk of 2014 Availability&amp;R&amp;"Arial,Regular"Crime Victims Fund</oddFooter>
      </headerFooter>
    </customSheetView>
    <customSheetView guid="{CFA5D1C9-F4C9-4B8D-923D-4C71CB6E7D3B}" scale="80" showPageBreaks="1" printArea="1" view="pageBreakPreview">
      <selection activeCell="A9" sqref="A9"/>
      <pageMargins left="0.7" right="0.7" top="0.66" bottom="0.66" header="0.3" footer="0.3"/>
      <printOptions horizontalCentered="1"/>
      <pageSetup scale="67" orientation="landscape" r:id="rId4"/>
      <headerFooter>
        <oddHeader>&amp;L&amp;"Arial,Bold"&amp;12G. Crosswalk of 2014 Availability</oddHeader>
        <oddFooter>&amp;C&amp;"Arial,Regular"Exhibit G - Crosswalk of 2014 Availability&amp;R&amp;"Arial,Regular"Crime Victims Fund</oddFooter>
      </headerFooter>
    </customSheetView>
    <customSheetView guid="{A788DF77-74F1-49E4-8B34-BFBDB7664F30}" scale="80" showPageBreaks="1" printArea="1" view="pageBreakPreview">
      <selection activeCell="A3" sqref="A3:M3"/>
      <pageMargins left="0.7" right="0.7" top="0.66" bottom="0.66" header="0.3" footer="0.3"/>
      <printOptions horizontalCentered="1"/>
      <pageSetup scale="67" orientation="landscape" r:id="rId5"/>
      <headerFooter>
        <oddHeader>&amp;L&amp;"Arial,Bold"&amp;12G. Crosswalk of 2014 Availability</oddHeader>
        <oddFooter>&amp;C&amp;"Arial,Regular"Exhibit G - Crosswalk of 2014 Availability&amp;R&amp;"Arial,Regular"Crime Victims Fund</oddFooter>
      </headerFooter>
    </customSheetView>
  </customSheetViews>
  <mergeCells count="8">
    <mergeCell ref="A1:M1"/>
    <mergeCell ref="A2:M2"/>
    <mergeCell ref="A3:M3"/>
    <mergeCell ref="A4:M4"/>
    <mergeCell ref="A7:A8"/>
    <mergeCell ref="B7:D7"/>
    <mergeCell ref="E7:G7"/>
    <mergeCell ref="J7:L7"/>
  </mergeCells>
  <printOptions horizontalCentered="1"/>
  <pageMargins left="0.7" right="0.7" top="0.66" bottom="0.66" header="0.3" footer="0.3"/>
  <pageSetup scale="75" orientation="landscape" r:id="rId6"/>
  <headerFooter>
    <oddHeader>&amp;L&amp;"Arial,Bold"&amp;12G. Crosswalk of 2014 Availability</oddHeader>
    <oddFooter>&amp;C&amp;"Arial,Regular"Exhibit G - Crosswalk of 2014 Availability&amp;R&amp;"Arial,Regular"Crime Victims Fund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1"/>
  <sheetViews>
    <sheetView view="pageBreakPreview" zoomScale="80" zoomScaleNormal="100" zoomScaleSheetLayoutView="80" workbookViewId="0">
      <selection activeCell="A23" sqref="A23:U23"/>
    </sheetView>
  </sheetViews>
  <sheetFormatPr defaultRowHeight="14.25" x14ac:dyDescent="0.2"/>
  <cols>
    <col min="1" max="1" width="37.140625" style="9" customWidth="1"/>
    <col min="2" max="3" width="8.28515625" style="9" customWidth="1"/>
    <col min="4" max="4" width="12.7109375" style="9" customWidth="1"/>
    <col min="5" max="5" width="7.140625" style="9" hidden="1" customWidth="1"/>
    <col min="6" max="7" width="8.7109375" style="9" hidden="1" customWidth="1"/>
    <col min="8" max="8" width="7.140625" style="9" hidden="1" customWidth="1"/>
    <col min="9" max="10" width="8.7109375" style="9" hidden="1" customWidth="1"/>
    <col min="11" max="11" width="7.140625" style="9" customWidth="1"/>
    <col min="12" max="12" width="8.7109375" style="9" customWidth="1"/>
    <col min="13" max="13" width="8.7109375" style="9" bestFit="1" customWidth="1"/>
    <col min="14" max="15" width="8.28515625" style="9" customWidth="1"/>
    <col min="16" max="16" width="11.5703125" style="9" customWidth="1"/>
    <col min="17" max="17" width="11.28515625" style="9" bestFit="1" customWidth="1"/>
    <col min="18" max="18" width="12.7109375" style="9" customWidth="1"/>
    <col min="19" max="20" width="8.28515625" style="9" customWidth="1"/>
    <col min="21" max="21" width="10.5703125" style="9" customWidth="1"/>
    <col min="22" max="22" width="14" style="4" bestFit="1" customWidth="1"/>
    <col min="23" max="23" width="4.5703125" style="9" customWidth="1"/>
    <col min="24" max="25" width="8.28515625" style="9" customWidth="1"/>
    <col min="26" max="26" width="12.7109375" style="9" customWidth="1"/>
    <col min="27" max="28" width="8.28515625" style="9" customWidth="1"/>
    <col min="29" max="29" width="12.7109375" style="9" customWidth="1"/>
    <col min="30" max="16384" width="9.140625" style="9"/>
  </cols>
  <sheetData>
    <row r="1" spans="1:29" ht="18" x14ac:dyDescent="0.25">
      <c r="A1" s="577" t="s">
        <v>29</v>
      </c>
      <c r="B1" s="577"/>
      <c r="C1" s="577"/>
      <c r="D1" s="577"/>
      <c r="E1" s="577"/>
      <c r="F1" s="577"/>
      <c r="G1" s="577"/>
      <c r="H1" s="577"/>
      <c r="I1" s="577"/>
      <c r="J1" s="577"/>
      <c r="K1" s="577"/>
      <c r="L1" s="577"/>
      <c r="M1" s="577"/>
      <c r="N1" s="577"/>
      <c r="O1" s="577"/>
      <c r="P1" s="577"/>
      <c r="Q1" s="577"/>
      <c r="R1" s="577"/>
      <c r="S1" s="577"/>
      <c r="T1" s="577"/>
      <c r="U1" s="577"/>
      <c r="V1" s="51" t="s">
        <v>10</v>
      </c>
      <c r="W1" s="6"/>
      <c r="X1" s="6"/>
      <c r="Y1" s="6"/>
      <c r="Z1" s="6"/>
      <c r="AA1" s="6"/>
      <c r="AB1" s="6"/>
      <c r="AC1" s="6"/>
    </row>
    <row r="2" spans="1:29" ht="15" x14ac:dyDescent="0.2">
      <c r="A2" s="578" t="s">
        <v>152</v>
      </c>
      <c r="B2" s="578"/>
      <c r="C2" s="578"/>
      <c r="D2" s="578"/>
      <c r="E2" s="578"/>
      <c r="F2" s="578"/>
      <c r="G2" s="578"/>
      <c r="H2" s="578"/>
      <c r="I2" s="578"/>
      <c r="J2" s="578"/>
      <c r="K2" s="578"/>
      <c r="L2" s="578"/>
      <c r="M2" s="578"/>
      <c r="N2" s="578"/>
      <c r="O2" s="578"/>
      <c r="P2" s="578"/>
      <c r="Q2" s="578"/>
      <c r="R2" s="578"/>
      <c r="S2" s="578"/>
      <c r="T2" s="578"/>
      <c r="U2" s="578"/>
      <c r="V2" s="51" t="s">
        <v>10</v>
      </c>
      <c r="W2" s="7"/>
      <c r="X2" s="7"/>
      <c r="Y2" s="7"/>
      <c r="Z2" s="7"/>
      <c r="AA2" s="7"/>
      <c r="AB2" s="7"/>
      <c r="AC2" s="7"/>
    </row>
    <row r="3" spans="1:29" x14ac:dyDescent="0.2">
      <c r="A3" s="579" t="s">
        <v>153</v>
      </c>
      <c r="B3" s="587"/>
      <c r="C3" s="587"/>
      <c r="D3" s="587"/>
      <c r="E3" s="587"/>
      <c r="F3" s="587"/>
      <c r="G3" s="587"/>
      <c r="H3" s="587"/>
      <c r="I3" s="587"/>
      <c r="J3" s="587"/>
      <c r="K3" s="587"/>
      <c r="L3" s="587"/>
      <c r="M3" s="587"/>
      <c r="N3" s="587"/>
      <c r="O3" s="587"/>
      <c r="P3" s="587"/>
      <c r="Q3" s="587"/>
      <c r="R3" s="587"/>
      <c r="S3" s="587"/>
      <c r="T3" s="587"/>
      <c r="U3" s="587"/>
      <c r="V3" s="51" t="s">
        <v>10</v>
      </c>
      <c r="W3" s="10"/>
      <c r="X3" s="10"/>
      <c r="Y3" s="10"/>
      <c r="Z3" s="10"/>
      <c r="AA3" s="10"/>
      <c r="AB3" s="10"/>
      <c r="AC3" s="10"/>
    </row>
    <row r="4" spans="1:29" x14ac:dyDescent="0.2">
      <c r="A4" s="584" t="s">
        <v>1</v>
      </c>
      <c r="B4" s="584"/>
      <c r="C4" s="584"/>
      <c r="D4" s="584"/>
      <c r="E4" s="584"/>
      <c r="F4" s="584"/>
      <c r="G4" s="584"/>
      <c r="H4" s="584"/>
      <c r="I4" s="584"/>
      <c r="J4" s="584"/>
      <c r="K4" s="584"/>
      <c r="L4" s="584"/>
      <c r="M4" s="584"/>
      <c r="N4" s="584"/>
      <c r="O4" s="584"/>
      <c r="P4" s="584"/>
      <c r="Q4" s="584"/>
      <c r="R4" s="584"/>
      <c r="S4" s="584"/>
      <c r="T4" s="584"/>
      <c r="U4" s="584"/>
      <c r="V4" s="51" t="s">
        <v>10</v>
      </c>
      <c r="W4" s="8"/>
      <c r="X4" s="8"/>
      <c r="Y4" s="8"/>
      <c r="Z4" s="8"/>
      <c r="AA4" s="8"/>
      <c r="AB4" s="8"/>
      <c r="AC4" s="8"/>
    </row>
    <row r="5" spans="1:29" x14ac:dyDescent="0.2">
      <c r="A5" s="8"/>
      <c r="B5" s="8"/>
      <c r="C5" s="8"/>
      <c r="D5" s="8"/>
      <c r="E5" s="8"/>
      <c r="F5" s="8"/>
      <c r="G5" s="8"/>
      <c r="H5" s="8"/>
      <c r="I5" s="8"/>
      <c r="J5" s="8"/>
      <c r="K5" s="8"/>
      <c r="L5" s="8"/>
      <c r="M5" s="8"/>
      <c r="N5" s="8"/>
      <c r="O5" s="8"/>
      <c r="P5" s="8"/>
      <c r="Q5" s="8"/>
      <c r="R5" s="8"/>
      <c r="S5" s="8"/>
      <c r="T5" s="8"/>
      <c r="U5" s="8"/>
      <c r="V5" s="51" t="s">
        <v>10</v>
      </c>
      <c r="W5" s="8"/>
      <c r="X5" s="8"/>
      <c r="Y5" s="8"/>
      <c r="Z5" s="8"/>
      <c r="AA5" s="8"/>
      <c r="AB5" s="8"/>
      <c r="AC5" s="8"/>
    </row>
    <row r="6" spans="1:29" ht="15" thickBot="1" x14ac:dyDescent="0.25">
      <c r="A6" s="50"/>
      <c r="B6" s="50"/>
      <c r="C6" s="50"/>
      <c r="D6" s="50"/>
      <c r="E6" s="50"/>
      <c r="F6" s="50"/>
      <c r="G6" s="50"/>
      <c r="H6" s="50"/>
      <c r="I6" s="50"/>
      <c r="J6" s="50"/>
      <c r="K6" s="50"/>
      <c r="L6" s="50"/>
      <c r="M6" s="50"/>
      <c r="N6" s="50"/>
      <c r="O6" s="50"/>
      <c r="P6" s="50"/>
      <c r="Q6" s="50"/>
      <c r="R6" s="50"/>
      <c r="S6" s="50"/>
      <c r="T6" s="50"/>
      <c r="U6" s="50"/>
      <c r="V6" s="51" t="s">
        <v>10</v>
      </c>
      <c r="W6" s="8"/>
      <c r="X6" s="8"/>
      <c r="Y6" s="8"/>
      <c r="Z6" s="8"/>
      <c r="AA6" s="8"/>
      <c r="AB6" s="8"/>
      <c r="AC6" s="8"/>
    </row>
    <row r="7" spans="1:29" ht="33.75" customHeight="1" x14ac:dyDescent="0.2">
      <c r="A7" s="585" t="s">
        <v>101</v>
      </c>
      <c r="B7" s="588" t="s">
        <v>137</v>
      </c>
      <c r="C7" s="588"/>
      <c r="D7" s="588"/>
      <c r="E7" s="588" t="s">
        <v>139</v>
      </c>
      <c r="F7" s="618"/>
      <c r="G7" s="619"/>
      <c r="H7" s="588" t="s">
        <v>97</v>
      </c>
      <c r="I7" s="618"/>
      <c r="J7" s="619"/>
      <c r="K7" s="588" t="s">
        <v>132</v>
      </c>
      <c r="L7" s="618"/>
      <c r="M7" s="619"/>
      <c r="N7" s="588" t="s">
        <v>27</v>
      </c>
      <c r="O7" s="588"/>
      <c r="P7" s="588"/>
      <c r="Q7" s="99" t="s">
        <v>28</v>
      </c>
      <c r="R7" s="99" t="s">
        <v>104</v>
      </c>
      <c r="S7" s="588" t="s">
        <v>133</v>
      </c>
      <c r="T7" s="588"/>
      <c r="U7" s="589"/>
      <c r="V7" s="51" t="s">
        <v>10</v>
      </c>
    </row>
    <row r="8" spans="1:29" ht="28.5" x14ac:dyDescent="0.2">
      <c r="A8" s="586"/>
      <c r="B8" s="11" t="s">
        <v>2</v>
      </c>
      <c r="C8" s="95" t="s">
        <v>95</v>
      </c>
      <c r="D8" s="11" t="s">
        <v>3</v>
      </c>
      <c r="E8" s="11" t="s">
        <v>2</v>
      </c>
      <c r="F8" s="95" t="s">
        <v>95</v>
      </c>
      <c r="G8" s="11" t="s">
        <v>3</v>
      </c>
      <c r="H8" s="11" t="s">
        <v>2</v>
      </c>
      <c r="I8" s="95" t="s">
        <v>95</v>
      </c>
      <c r="J8" s="11" t="s">
        <v>3</v>
      </c>
      <c r="K8" s="11" t="s">
        <v>2</v>
      </c>
      <c r="L8" s="95" t="s">
        <v>95</v>
      </c>
      <c r="M8" s="11" t="s">
        <v>3</v>
      </c>
      <c r="N8" s="11" t="s">
        <v>2</v>
      </c>
      <c r="O8" s="11" t="s">
        <v>95</v>
      </c>
      <c r="P8" s="11" t="s">
        <v>3</v>
      </c>
      <c r="Q8" s="19" t="s">
        <v>3</v>
      </c>
      <c r="R8" s="11" t="s">
        <v>3</v>
      </c>
      <c r="S8" s="11" t="s">
        <v>2</v>
      </c>
      <c r="T8" s="11" t="s">
        <v>95</v>
      </c>
      <c r="U8" s="12" t="s">
        <v>3</v>
      </c>
      <c r="V8" s="51" t="s">
        <v>10</v>
      </c>
    </row>
    <row r="9" spans="1:29" x14ac:dyDescent="0.2">
      <c r="A9" s="173" t="s">
        <v>153</v>
      </c>
      <c r="B9" s="115">
        <v>702</v>
      </c>
      <c r="C9" s="115">
        <v>596</v>
      </c>
      <c r="D9" s="115">
        <v>178571</v>
      </c>
      <c r="E9" s="115">
        <v>0</v>
      </c>
      <c r="F9" s="115">
        <v>0</v>
      </c>
      <c r="G9" s="115">
        <v>0</v>
      </c>
      <c r="H9" s="115">
        <v>0</v>
      </c>
      <c r="I9" s="115">
        <v>0</v>
      </c>
      <c r="J9" s="115">
        <v>0</v>
      </c>
      <c r="K9" s="115">
        <v>0</v>
      </c>
      <c r="L9" s="115">
        <v>0</v>
      </c>
      <c r="M9" s="435">
        <v>-8456</v>
      </c>
      <c r="N9" s="115">
        <v>0</v>
      </c>
      <c r="O9" s="115">
        <v>0</v>
      </c>
      <c r="P9" s="115">
        <v>0</v>
      </c>
      <c r="Q9" s="115">
        <v>1300</v>
      </c>
      <c r="R9" s="115">
        <v>4756</v>
      </c>
      <c r="S9" s="115">
        <f t="shared" ref="S9:T9" si="0">B9+N9</f>
        <v>702</v>
      </c>
      <c r="T9" s="115">
        <f t="shared" si="0"/>
        <v>596</v>
      </c>
      <c r="U9" s="116">
        <f>D9+M9+Q9+R9</f>
        <v>176171</v>
      </c>
      <c r="V9" s="51" t="s">
        <v>10</v>
      </c>
    </row>
    <row r="10" spans="1:29" ht="15" x14ac:dyDescent="0.25">
      <c r="A10" s="13" t="s">
        <v>98</v>
      </c>
      <c r="B10" s="118">
        <f t="shared" ref="B10:U10" si="1">SUM(B9:B9)</f>
        <v>702</v>
      </c>
      <c r="C10" s="118">
        <f t="shared" si="1"/>
        <v>596</v>
      </c>
      <c r="D10" s="118">
        <f t="shared" si="1"/>
        <v>178571</v>
      </c>
      <c r="E10" s="118">
        <f t="shared" si="1"/>
        <v>0</v>
      </c>
      <c r="F10" s="118">
        <f t="shared" si="1"/>
        <v>0</v>
      </c>
      <c r="G10" s="118">
        <f t="shared" si="1"/>
        <v>0</v>
      </c>
      <c r="H10" s="118">
        <f t="shared" si="1"/>
        <v>0</v>
      </c>
      <c r="I10" s="118">
        <f t="shared" si="1"/>
        <v>0</v>
      </c>
      <c r="J10" s="118">
        <f t="shared" si="1"/>
        <v>0</v>
      </c>
      <c r="K10" s="118">
        <f t="shared" si="1"/>
        <v>0</v>
      </c>
      <c r="L10" s="118">
        <f t="shared" si="1"/>
        <v>0</v>
      </c>
      <c r="M10" s="219">
        <f t="shared" si="1"/>
        <v>-8456</v>
      </c>
      <c r="N10" s="118">
        <f t="shared" si="1"/>
        <v>0</v>
      </c>
      <c r="O10" s="118">
        <f t="shared" si="1"/>
        <v>0</v>
      </c>
      <c r="P10" s="118">
        <f t="shared" si="1"/>
        <v>0</v>
      </c>
      <c r="Q10" s="118">
        <f t="shared" si="1"/>
        <v>1300</v>
      </c>
      <c r="R10" s="118">
        <f t="shared" si="1"/>
        <v>4756</v>
      </c>
      <c r="S10" s="118">
        <f t="shared" si="1"/>
        <v>702</v>
      </c>
      <c r="T10" s="118">
        <f t="shared" si="1"/>
        <v>596</v>
      </c>
      <c r="U10" s="119">
        <f t="shared" si="1"/>
        <v>176171</v>
      </c>
      <c r="V10" s="51" t="s">
        <v>10</v>
      </c>
    </row>
    <row r="11" spans="1:29" x14ac:dyDescent="0.2">
      <c r="A11" s="85" t="s">
        <v>13</v>
      </c>
      <c r="B11" s="125"/>
      <c r="C11" s="125">
        <v>0</v>
      </c>
      <c r="D11" s="125"/>
      <c r="E11" s="125"/>
      <c r="F11" s="125">
        <v>0</v>
      </c>
      <c r="G11" s="125"/>
      <c r="H11" s="125"/>
      <c r="I11" s="125">
        <v>0</v>
      </c>
      <c r="J11" s="125"/>
      <c r="K11" s="125"/>
      <c r="L11" s="125">
        <v>0</v>
      </c>
      <c r="M11" s="125"/>
      <c r="N11" s="125"/>
      <c r="O11" s="125">
        <v>0</v>
      </c>
      <c r="P11" s="125"/>
      <c r="Q11" s="125"/>
      <c r="R11" s="125"/>
      <c r="S11" s="125"/>
      <c r="T11" s="125">
        <f>C11+O11+I11</f>
        <v>0</v>
      </c>
      <c r="U11" s="126"/>
      <c r="V11" s="51" t="s">
        <v>10</v>
      </c>
    </row>
    <row r="12" spans="1:29" x14ac:dyDescent="0.2">
      <c r="A12" s="96" t="s">
        <v>99</v>
      </c>
      <c r="B12" s="24"/>
      <c r="C12" s="24">
        <f>C10+C11</f>
        <v>596</v>
      </c>
      <c r="D12" s="24"/>
      <c r="E12" s="24"/>
      <c r="F12" s="24">
        <f>F10+F11</f>
        <v>0</v>
      </c>
      <c r="G12" s="24"/>
      <c r="H12" s="24"/>
      <c r="I12" s="24">
        <f>I10+I11</f>
        <v>0</v>
      </c>
      <c r="J12" s="24"/>
      <c r="K12" s="24"/>
      <c r="L12" s="24">
        <f>L10+L11</f>
        <v>0</v>
      </c>
      <c r="M12" s="24"/>
      <c r="N12" s="24"/>
      <c r="O12" s="24">
        <f>O10+O11</f>
        <v>0</v>
      </c>
      <c r="P12" s="24"/>
      <c r="Q12" s="24"/>
      <c r="R12" s="24"/>
      <c r="S12" s="24"/>
      <c r="T12" s="125">
        <f>T10+T11</f>
        <v>596</v>
      </c>
      <c r="U12" s="117"/>
      <c r="V12" s="51" t="s">
        <v>10</v>
      </c>
    </row>
    <row r="13" spans="1:29" x14ac:dyDescent="0.2">
      <c r="A13" s="15"/>
      <c r="B13" s="24"/>
      <c r="C13" s="24"/>
      <c r="D13" s="24"/>
      <c r="E13" s="24"/>
      <c r="F13" s="24"/>
      <c r="G13" s="24"/>
      <c r="H13" s="24"/>
      <c r="I13" s="24"/>
      <c r="J13" s="24"/>
      <c r="K13" s="24"/>
      <c r="L13" s="24"/>
      <c r="M13" s="24"/>
      <c r="N13" s="24"/>
      <c r="O13" s="24"/>
      <c r="P13" s="24"/>
      <c r="Q13" s="24"/>
      <c r="R13" s="24"/>
      <c r="S13" s="24"/>
      <c r="T13" s="24"/>
      <c r="U13" s="117"/>
      <c r="V13" s="51" t="s">
        <v>10</v>
      </c>
    </row>
    <row r="14" spans="1:29" x14ac:dyDescent="0.2">
      <c r="A14" s="15" t="s">
        <v>14</v>
      </c>
      <c r="B14" s="24"/>
      <c r="C14" s="24"/>
      <c r="D14" s="24"/>
      <c r="E14" s="24"/>
      <c r="F14" s="24"/>
      <c r="G14" s="24"/>
      <c r="H14" s="24"/>
      <c r="I14" s="24"/>
      <c r="J14" s="24"/>
      <c r="K14" s="24"/>
      <c r="L14" s="24"/>
      <c r="M14" s="24"/>
      <c r="N14" s="24"/>
      <c r="O14" s="24"/>
      <c r="P14" s="24"/>
      <c r="Q14" s="24"/>
      <c r="R14" s="24"/>
      <c r="S14" s="24"/>
      <c r="T14" s="24"/>
      <c r="U14" s="117"/>
      <c r="V14" s="51" t="s">
        <v>10</v>
      </c>
    </row>
    <row r="15" spans="1:29" x14ac:dyDescent="0.2">
      <c r="A15" s="16" t="s">
        <v>15</v>
      </c>
      <c r="B15" s="24"/>
      <c r="C15" s="24">
        <v>0</v>
      </c>
      <c r="D15" s="24"/>
      <c r="E15" s="24"/>
      <c r="F15" s="24">
        <v>0</v>
      </c>
      <c r="G15" s="24"/>
      <c r="H15" s="24"/>
      <c r="I15" s="24">
        <v>0</v>
      </c>
      <c r="J15" s="24"/>
      <c r="K15" s="24"/>
      <c r="L15" s="24">
        <v>0</v>
      </c>
      <c r="M15" s="24"/>
      <c r="N15" s="24"/>
      <c r="O15" s="24">
        <v>0</v>
      </c>
      <c r="P15" s="24"/>
      <c r="Q15" s="24"/>
      <c r="R15" s="24"/>
      <c r="S15" s="24"/>
      <c r="T15" s="24">
        <f>C15+O15+I15</f>
        <v>0</v>
      </c>
      <c r="U15" s="117"/>
      <c r="V15" s="51" t="s">
        <v>10</v>
      </c>
    </row>
    <row r="16" spans="1:29" x14ac:dyDescent="0.2">
      <c r="A16" s="17" t="s">
        <v>16</v>
      </c>
      <c r="B16" s="127"/>
      <c r="C16" s="127">
        <v>0</v>
      </c>
      <c r="D16" s="127"/>
      <c r="E16" s="127"/>
      <c r="F16" s="127">
        <v>0</v>
      </c>
      <c r="G16" s="127"/>
      <c r="H16" s="127"/>
      <c r="I16" s="127">
        <v>0</v>
      </c>
      <c r="J16" s="127"/>
      <c r="K16" s="127"/>
      <c r="L16" s="127">
        <v>0</v>
      </c>
      <c r="M16" s="127"/>
      <c r="N16" s="127"/>
      <c r="O16" s="127">
        <v>0</v>
      </c>
      <c r="P16" s="127"/>
      <c r="Q16" s="127"/>
      <c r="R16" s="127"/>
      <c r="S16" s="127"/>
      <c r="T16" s="24">
        <f>C16+O16+I15</f>
        <v>0</v>
      </c>
      <c r="U16" s="128"/>
      <c r="V16" s="51" t="s">
        <v>10</v>
      </c>
    </row>
    <row r="17" spans="1:22" ht="15" thickBot="1" x14ac:dyDescent="0.25">
      <c r="A17" s="97" t="s">
        <v>100</v>
      </c>
      <c r="B17" s="129"/>
      <c r="C17" s="129">
        <f>C12+C15+C16</f>
        <v>596</v>
      </c>
      <c r="D17" s="129"/>
      <c r="E17" s="129"/>
      <c r="F17" s="129">
        <f>F12+F15+F16</f>
        <v>0</v>
      </c>
      <c r="G17" s="129"/>
      <c r="H17" s="129"/>
      <c r="I17" s="129">
        <f>I12+I15+I16</f>
        <v>0</v>
      </c>
      <c r="J17" s="129"/>
      <c r="K17" s="129"/>
      <c r="L17" s="129">
        <f>L12+L15+L16</f>
        <v>0</v>
      </c>
      <c r="M17" s="129"/>
      <c r="N17" s="129"/>
      <c r="O17" s="129">
        <f>O12+O15+O16</f>
        <v>0</v>
      </c>
      <c r="P17" s="129"/>
      <c r="Q17" s="129"/>
      <c r="R17" s="129"/>
      <c r="S17" s="129"/>
      <c r="T17" s="129">
        <f>SUM(T12,T15:T16)</f>
        <v>596</v>
      </c>
      <c r="U17" s="130"/>
      <c r="V17" s="51" t="s">
        <v>10</v>
      </c>
    </row>
    <row r="18" spans="1:22" ht="15" x14ac:dyDescent="0.25">
      <c r="A18" s="170" t="s">
        <v>138</v>
      </c>
      <c r="B18" s="169"/>
      <c r="C18" s="169"/>
      <c r="D18" s="169"/>
      <c r="E18" s="169"/>
      <c r="F18" s="169"/>
      <c r="G18" s="169"/>
      <c r="H18" s="169"/>
      <c r="I18" s="169"/>
      <c r="J18" s="169"/>
      <c r="K18" s="169"/>
      <c r="L18" s="169"/>
      <c r="M18" s="169"/>
      <c r="N18" s="169"/>
      <c r="O18" s="169"/>
      <c r="P18" s="169"/>
      <c r="Q18" s="169"/>
      <c r="R18" s="169"/>
      <c r="S18" s="169"/>
      <c r="T18" s="169"/>
      <c r="U18" s="169"/>
      <c r="V18" s="51"/>
    </row>
    <row r="19" spans="1:22" x14ac:dyDescent="0.2">
      <c r="A19" s="614" t="s">
        <v>140</v>
      </c>
      <c r="B19" s="614"/>
      <c r="C19" s="614"/>
      <c r="D19" s="614"/>
      <c r="E19" s="614"/>
      <c r="F19" s="614"/>
      <c r="G19" s="614"/>
      <c r="H19" s="614"/>
      <c r="I19" s="614"/>
      <c r="J19" s="614"/>
      <c r="K19" s="614"/>
      <c r="L19" s="614"/>
      <c r="M19" s="614"/>
      <c r="N19" s="614"/>
      <c r="O19" s="614"/>
      <c r="P19" s="614"/>
      <c r="Q19" s="614"/>
      <c r="R19" s="614"/>
      <c r="S19" s="614"/>
      <c r="T19" s="614"/>
      <c r="U19" s="614"/>
      <c r="V19" s="51" t="s">
        <v>10</v>
      </c>
    </row>
    <row r="20" spans="1:22" x14ac:dyDescent="0.2">
      <c r="A20" s="143"/>
      <c r="V20" s="51"/>
    </row>
    <row r="21" spans="1:22" ht="15" x14ac:dyDescent="0.25">
      <c r="A21" s="174" t="s">
        <v>27</v>
      </c>
      <c r="B21" s="175"/>
      <c r="C21" s="175"/>
      <c r="D21" s="175"/>
      <c r="E21" s="175"/>
      <c r="F21" s="175"/>
      <c r="G21" s="175"/>
      <c r="H21" s="175"/>
      <c r="I21" s="175"/>
      <c r="J21" s="175"/>
      <c r="K21" s="175"/>
      <c r="L21" s="175"/>
      <c r="M21" s="175"/>
      <c r="N21" s="175"/>
      <c r="O21" s="175"/>
      <c r="P21" s="175"/>
      <c r="Q21" s="175"/>
      <c r="R21" s="175"/>
      <c r="S21" s="175"/>
      <c r="T21" s="175"/>
      <c r="U21" s="175"/>
      <c r="V21" s="51" t="s">
        <v>10</v>
      </c>
    </row>
    <row r="22" spans="1:22" x14ac:dyDescent="0.2">
      <c r="A22" s="616"/>
      <c r="B22" s="617"/>
      <c r="C22" s="617"/>
      <c r="D22" s="617"/>
      <c r="E22" s="617"/>
      <c r="F22" s="617"/>
      <c r="G22" s="617"/>
      <c r="H22" s="617"/>
      <c r="I22" s="617"/>
      <c r="J22" s="617"/>
      <c r="K22" s="617"/>
      <c r="L22" s="617"/>
      <c r="M22" s="617"/>
      <c r="N22" s="617"/>
      <c r="O22" s="617"/>
      <c r="P22" s="617"/>
      <c r="Q22" s="617"/>
      <c r="R22" s="617"/>
      <c r="S22" s="617"/>
      <c r="T22" s="617"/>
      <c r="U22" s="617"/>
      <c r="V22" s="51" t="s">
        <v>10</v>
      </c>
    </row>
    <row r="23" spans="1:22" x14ac:dyDescent="0.2">
      <c r="A23" s="615"/>
      <c r="B23" s="615"/>
      <c r="C23" s="615"/>
      <c r="D23" s="615"/>
      <c r="E23" s="615"/>
      <c r="F23" s="615"/>
      <c r="G23" s="615"/>
      <c r="H23" s="615"/>
      <c r="I23" s="615"/>
      <c r="J23" s="615"/>
      <c r="K23" s="615"/>
      <c r="L23" s="615"/>
      <c r="M23" s="615"/>
      <c r="N23" s="615"/>
      <c r="O23" s="615"/>
      <c r="P23" s="615"/>
      <c r="Q23" s="615"/>
      <c r="R23" s="615"/>
      <c r="S23" s="615"/>
      <c r="T23" s="615"/>
      <c r="U23" s="615"/>
      <c r="V23" s="51" t="s">
        <v>10</v>
      </c>
    </row>
    <row r="24" spans="1:22" ht="15" x14ac:dyDescent="0.25">
      <c r="A24" s="5" t="s">
        <v>113</v>
      </c>
      <c r="V24" s="51" t="s">
        <v>10</v>
      </c>
    </row>
    <row r="25" spans="1:22" x14ac:dyDescent="0.2">
      <c r="A25" s="616" t="s">
        <v>500</v>
      </c>
      <c r="B25" s="617"/>
      <c r="C25" s="617"/>
      <c r="D25" s="617"/>
      <c r="E25" s="617"/>
      <c r="F25" s="617"/>
      <c r="G25" s="617"/>
      <c r="H25" s="617"/>
      <c r="I25" s="617"/>
      <c r="J25" s="617"/>
      <c r="K25" s="617"/>
      <c r="L25" s="617"/>
      <c r="M25" s="617"/>
      <c r="N25" s="617"/>
      <c r="O25" s="617"/>
      <c r="P25" s="617"/>
      <c r="Q25" s="617"/>
      <c r="R25" s="617"/>
      <c r="S25" s="617"/>
      <c r="T25" s="617"/>
      <c r="U25" s="617"/>
      <c r="V25" s="51" t="s">
        <v>10</v>
      </c>
    </row>
    <row r="26" spans="1:22" x14ac:dyDescent="0.2">
      <c r="A26" s="615"/>
      <c r="B26" s="615"/>
      <c r="C26" s="615"/>
      <c r="D26" s="615"/>
      <c r="E26" s="615"/>
      <c r="F26" s="615"/>
      <c r="G26" s="615"/>
      <c r="H26" s="615"/>
      <c r="I26" s="615"/>
      <c r="J26" s="615"/>
      <c r="K26" s="615"/>
      <c r="L26" s="615"/>
      <c r="M26" s="615"/>
      <c r="N26" s="615"/>
      <c r="O26" s="615"/>
      <c r="P26" s="615"/>
      <c r="Q26" s="615"/>
      <c r="R26" s="615"/>
      <c r="S26" s="615"/>
      <c r="T26" s="615"/>
      <c r="U26" s="615"/>
      <c r="V26" s="51" t="s">
        <v>10</v>
      </c>
    </row>
    <row r="27" spans="1:22" ht="15" x14ac:dyDescent="0.25">
      <c r="A27" s="5" t="s">
        <v>114</v>
      </c>
      <c r="V27" s="51" t="s">
        <v>10</v>
      </c>
    </row>
    <row r="28" spans="1:22" x14ac:dyDescent="0.2">
      <c r="A28" s="616" t="s">
        <v>501</v>
      </c>
      <c r="B28" s="617"/>
      <c r="C28" s="617"/>
      <c r="D28" s="617"/>
      <c r="E28" s="617"/>
      <c r="F28" s="617"/>
      <c r="G28" s="617"/>
      <c r="H28" s="617"/>
      <c r="I28" s="617"/>
      <c r="J28" s="617"/>
      <c r="K28" s="617"/>
      <c r="L28" s="617"/>
      <c r="M28" s="617"/>
      <c r="N28" s="617"/>
      <c r="O28" s="617"/>
      <c r="P28" s="617"/>
      <c r="Q28" s="617"/>
      <c r="R28" s="617"/>
      <c r="S28" s="617"/>
      <c r="T28" s="617"/>
      <c r="U28" s="617"/>
      <c r="V28" s="51" t="s">
        <v>10</v>
      </c>
    </row>
    <row r="29" spans="1:22" x14ac:dyDescent="0.2">
      <c r="A29" s="615"/>
      <c r="B29" s="615"/>
      <c r="C29" s="615"/>
      <c r="D29" s="615"/>
      <c r="E29" s="615"/>
      <c r="F29" s="615"/>
      <c r="G29" s="615"/>
      <c r="H29" s="615"/>
      <c r="I29" s="615"/>
      <c r="J29" s="615"/>
      <c r="K29" s="615"/>
      <c r="L29" s="615"/>
      <c r="M29" s="615"/>
      <c r="N29" s="615"/>
      <c r="O29" s="615"/>
      <c r="P29" s="615"/>
      <c r="Q29" s="615"/>
      <c r="R29" s="615"/>
      <c r="S29" s="615"/>
      <c r="T29" s="615"/>
      <c r="U29" s="615"/>
      <c r="V29" s="51" t="s">
        <v>10</v>
      </c>
    </row>
    <row r="30" spans="1:22" x14ac:dyDescent="0.2">
      <c r="V30" s="51" t="s">
        <v>10</v>
      </c>
    </row>
    <row r="31" spans="1:22" x14ac:dyDescent="0.2">
      <c r="V31" s="4" t="s">
        <v>11</v>
      </c>
    </row>
  </sheetData>
  <customSheetViews>
    <customSheetView guid="{EE916FE7-61FB-4021-ADDD-E082241FC03C}" scale="80" showPageBreaks="1" printArea="1" view="pageBreakPreview">
      <selection activeCell="S12" sqref="S12"/>
      <pageMargins left="0.7" right="0.7" top="0.64" bottom="0.61" header="0.3" footer="0.3"/>
      <printOptions horizontalCentered="1"/>
      <pageSetup scale="56" orientation="landscape" r:id="rId1"/>
      <headerFooter>
        <oddHeader>&amp;L&amp;"Arial,Bold"&amp;12F. Crosswalk of 2013 Availability</oddHeader>
        <oddFooter>&amp;C&amp;"Arial,Regular"Exhibit F - Crosswalk of 2013 Availability&amp;R&amp;"Arial,Regular"Management and Administration</oddFooter>
      </headerFooter>
    </customSheetView>
    <customSheetView guid="{0BB5DC4B-BC2A-4489-BE17-5E267FA1EF63}" scale="80" showPageBreaks="1" printArea="1" view="pageBreakPreview">
      <selection activeCell="S12" sqref="S12"/>
      <pageMargins left="0.7" right="0.7" top="0.64" bottom="0.61" header="0.3" footer="0.3"/>
      <printOptions horizontalCentered="1"/>
      <pageSetup scale="56" orientation="landscape" r:id="rId2"/>
      <headerFooter>
        <oddHeader>&amp;L&amp;"Arial,Bold"&amp;12F. Crosswalk of 2013 Availability</oddHeader>
        <oddFooter>&amp;C&amp;"Arial,Regular"Exhibit F - Crosswalk of 2013 Availability&amp;R&amp;"Arial,Regular"Management and Administration</oddFooter>
      </headerFooter>
    </customSheetView>
    <customSheetView guid="{6C58FFE1-D756-42C4-A1BC-AA7F1DC1E56F}" scale="80" showPageBreaks="1" printArea="1" view="pageBreakPreview">
      <selection activeCell="S12" sqref="S12"/>
      <pageMargins left="0.7" right="0.7" top="0.64" bottom="0.61" header="0.3" footer="0.3"/>
      <printOptions horizontalCentered="1"/>
      <pageSetup scale="56" orientation="landscape" r:id="rId3"/>
      <headerFooter>
        <oddHeader>&amp;L&amp;"Arial,Bold"&amp;12F. Crosswalk of 2013 Availability</oddHeader>
        <oddFooter>&amp;C&amp;"Arial,Regular"Exhibit F - Crosswalk of 2013 Availability&amp;R&amp;"Arial,Regular"Management and Administration</oddFooter>
      </headerFooter>
    </customSheetView>
    <customSheetView guid="{CFA5D1C9-F4C9-4B8D-923D-4C71CB6E7D3B}" scale="80" showPageBreaks="1" printArea="1" view="pageBreakPreview">
      <selection activeCell="S12" sqref="S12"/>
      <pageMargins left="0.7" right="0.7" top="0.64" bottom="0.61" header="0.3" footer="0.3"/>
      <printOptions horizontalCentered="1"/>
      <pageSetup scale="56" orientation="landscape" r:id="rId4"/>
      <headerFooter>
        <oddHeader>&amp;L&amp;"Arial,Bold"&amp;12F. Crosswalk of 2013 Availability</oddHeader>
        <oddFooter>&amp;C&amp;"Arial,Regular"Exhibit F - Crosswalk of 2013 Availability&amp;R&amp;"Arial,Regular"Management and Administration</oddFooter>
      </headerFooter>
    </customSheetView>
    <customSheetView guid="{A788DF77-74F1-49E4-8B34-BFBDB7664F30}" scale="80" showPageBreaks="1" printArea="1" view="pageBreakPreview">
      <selection activeCell="S12" sqref="S12"/>
      <pageMargins left="0.7" right="0.7" top="0.64" bottom="0.61" header="0.3" footer="0.3"/>
      <printOptions horizontalCentered="1"/>
      <pageSetup scale="56" orientation="landscape" r:id="rId5"/>
      <headerFooter>
        <oddHeader>&amp;L&amp;"Arial,Bold"&amp;12F. Crosswalk of 2013 Availability</oddHeader>
        <oddFooter>&amp;C&amp;"Arial,Regular"Exhibit F - Crosswalk of 2013 Availability&amp;R&amp;"Arial,Regular"Management and Administration</oddFooter>
      </headerFooter>
    </customSheetView>
  </customSheetViews>
  <mergeCells count="18">
    <mergeCell ref="A7:A8"/>
    <mergeCell ref="B7:D7"/>
    <mergeCell ref="N7:P7"/>
    <mergeCell ref="S7:U7"/>
    <mergeCell ref="A1:U1"/>
    <mergeCell ref="A2:U2"/>
    <mergeCell ref="A3:U3"/>
    <mergeCell ref="A4:U4"/>
    <mergeCell ref="H7:J7"/>
    <mergeCell ref="K7:M7"/>
    <mergeCell ref="E7:G7"/>
    <mergeCell ref="A19:U19"/>
    <mergeCell ref="A29:U29"/>
    <mergeCell ref="A22:U22"/>
    <mergeCell ref="A23:U23"/>
    <mergeCell ref="A25:U25"/>
    <mergeCell ref="A26:U26"/>
    <mergeCell ref="A28:U28"/>
  </mergeCells>
  <printOptions horizontalCentered="1"/>
  <pageMargins left="0.7" right="0.7" top="0.64" bottom="0.61" header="0.3" footer="0.3"/>
  <pageSetup scale="70" orientation="landscape" r:id="rId6"/>
  <headerFooter>
    <oddHeader>&amp;L&amp;"Arial,Bold"&amp;12F. Crosswalk of 2013 Availability</oddHeader>
    <oddFooter>&amp;C&amp;"Arial,Regular"Exhibit F - Crosswalk of 2013 Availability&amp;R&amp;"Arial,Regular"Management and Administration</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view="pageBreakPreview" zoomScale="80" zoomScaleNormal="100" zoomScaleSheetLayoutView="80" workbookViewId="0">
      <selection activeCell="B10" sqref="B10:C10"/>
    </sheetView>
  </sheetViews>
  <sheetFormatPr defaultRowHeight="14.25" x14ac:dyDescent="0.2"/>
  <cols>
    <col min="1" max="1" width="63.5703125" style="143" customWidth="1"/>
    <col min="2" max="2" width="16.85546875" style="143" customWidth="1"/>
    <col min="3" max="3" width="20.42578125" style="143" customWidth="1"/>
    <col min="4" max="4" width="12" style="143" customWidth="1"/>
    <col min="5" max="5" width="16.5703125" style="143" customWidth="1"/>
    <col min="6" max="6" width="14" style="4" bestFit="1" customWidth="1"/>
    <col min="7" max="7" width="4.5703125" style="143" customWidth="1"/>
    <col min="8" max="8" width="122.85546875" style="143" customWidth="1"/>
    <col min="9" max="10" width="8.28515625" style="143" customWidth="1"/>
    <col min="11" max="11" width="12.7109375" style="143" customWidth="1"/>
    <col min="12" max="13" width="8.28515625" style="143" customWidth="1"/>
    <col min="14" max="14" width="12.7109375" style="143" customWidth="1"/>
    <col min="15" max="16384" width="9.140625" style="143"/>
  </cols>
  <sheetData>
    <row r="1" spans="1:14" ht="18" x14ac:dyDescent="0.25">
      <c r="A1" s="577" t="s">
        <v>253</v>
      </c>
      <c r="B1" s="577"/>
      <c r="C1" s="577"/>
      <c r="D1" s="577"/>
      <c r="E1" s="577"/>
      <c r="F1" s="51" t="s">
        <v>10</v>
      </c>
      <c r="G1" s="6"/>
      <c r="H1" s="199"/>
      <c r="I1" s="6"/>
      <c r="J1" s="6"/>
      <c r="K1" s="6"/>
      <c r="L1" s="6"/>
      <c r="M1" s="6"/>
      <c r="N1" s="6"/>
    </row>
    <row r="2" spans="1:14" ht="15" x14ac:dyDescent="0.2">
      <c r="A2" s="578" t="s">
        <v>152</v>
      </c>
      <c r="B2" s="578"/>
      <c r="C2" s="578"/>
      <c r="D2" s="578"/>
      <c r="E2" s="578"/>
      <c r="F2" s="51" t="s">
        <v>10</v>
      </c>
      <c r="G2" s="7"/>
      <c r="H2" s="198"/>
      <c r="I2" s="7"/>
      <c r="J2" s="7"/>
      <c r="K2" s="7"/>
      <c r="L2" s="7"/>
      <c r="M2" s="7"/>
      <c r="N2" s="7"/>
    </row>
    <row r="3" spans="1:14" x14ac:dyDescent="0.2">
      <c r="A3" s="579" t="s">
        <v>432</v>
      </c>
      <c r="B3" s="579"/>
      <c r="C3" s="579"/>
      <c r="D3" s="579"/>
      <c r="E3" s="579"/>
      <c r="F3" s="51" t="s">
        <v>10</v>
      </c>
      <c r="G3" s="163"/>
      <c r="H3" s="198"/>
      <c r="I3" s="163"/>
      <c r="J3" s="163"/>
      <c r="K3" s="163"/>
      <c r="L3" s="163"/>
      <c r="M3" s="163"/>
      <c r="N3" s="163"/>
    </row>
    <row r="4" spans="1:14" x14ac:dyDescent="0.2">
      <c r="A4" s="608" t="s">
        <v>1</v>
      </c>
      <c r="B4" s="608"/>
      <c r="C4" s="608"/>
      <c r="D4" s="608"/>
      <c r="E4" s="608"/>
      <c r="F4" s="51" t="s">
        <v>10</v>
      </c>
      <c r="G4" s="162"/>
      <c r="H4" s="198"/>
      <c r="I4" s="162"/>
      <c r="J4" s="162"/>
      <c r="K4" s="162"/>
      <c r="L4" s="162"/>
      <c r="M4" s="162"/>
      <c r="N4" s="162"/>
    </row>
    <row r="5" spans="1:14" x14ac:dyDescent="0.2">
      <c r="A5" s="521"/>
      <c r="B5" s="521"/>
      <c r="C5" s="521"/>
      <c r="D5" s="521"/>
      <c r="E5" s="521"/>
      <c r="F5" s="51"/>
      <c r="G5" s="162"/>
      <c r="H5" s="198"/>
      <c r="I5" s="162"/>
      <c r="J5" s="162"/>
      <c r="K5" s="162"/>
      <c r="L5" s="162"/>
      <c r="M5" s="162"/>
      <c r="N5" s="162"/>
    </row>
    <row r="6" spans="1:14" x14ac:dyDescent="0.2">
      <c r="A6" s="521"/>
      <c r="B6" s="521"/>
      <c r="C6" s="521"/>
      <c r="D6" s="521"/>
      <c r="E6" s="521"/>
      <c r="F6" s="51"/>
      <c r="G6" s="162"/>
      <c r="H6" s="198"/>
      <c r="I6" s="162"/>
      <c r="J6" s="162"/>
      <c r="K6" s="162"/>
      <c r="L6" s="162"/>
      <c r="M6" s="162"/>
      <c r="N6" s="162"/>
    </row>
    <row r="7" spans="1:14" ht="15" x14ac:dyDescent="0.25">
      <c r="A7" s="535"/>
      <c r="B7" s="535"/>
      <c r="C7" s="535"/>
      <c r="D7" s="535"/>
      <c r="E7" s="535"/>
      <c r="F7" s="51" t="s">
        <v>10</v>
      </c>
      <c r="G7" s="162"/>
      <c r="H7" s="241"/>
      <c r="I7" s="162"/>
      <c r="J7" s="162"/>
      <c r="K7" s="162"/>
      <c r="L7" s="162"/>
      <c r="M7" s="162"/>
      <c r="N7" s="162"/>
    </row>
    <row r="8" spans="1:14" ht="15" customHeight="1" x14ac:dyDescent="0.2">
      <c r="A8" s="649" t="s">
        <v>252</v>
      </c>
      <c r="B8" s="636" t="s">
        <v>434</v>
      </c>
      <c r="C8" s="653"/>
      <c r="D8" s="636" t="s">
        <v>9</v>
      </c>
      <c r="E8" s="639"/>
      <c r="F8" s="51" t="s">
        <v>10</v>
      </c>
    </row>
    <row r="9" spans="1:14" ht="15" customHeight="1" x14ac:dyDescent="0.2">
      <c r="A9" s="650"/>
      <c r="B9" s="636" t="s">
        <v>378</v>
      </c>
      <c r="C9" s="653"/>
      <c r="D9" s="663"/>
      <c r="E9" s="639"/>
      <c r="F9" s="51"/>
    </row>
    <row r="10" spans="1:14" ht="77.25" customHeight="1" x14ac:dyDescent="0.2">
      <c r="A10" s="650"/>
      <c r="B10" s="636" t="s">
        <v>430</v>
      </c>
      <c r="C10" s="652"/>
      <c r="D10" s="663"/>
      <c r="E10" s="639"/>
      <c r="F10" s="51" t="s">
        <v>10</v>
      </c>
    </row>
    <row r="11" spans="1:14" x14ac:dyDescent="0.2">
      <c r="A11" s="651"/>
      <c r="B11" s="235" t="s">
        <v>2</v>
      </c>
      <c r="C11" s="235" t="s">
        <v>3</v>
      </c>
      <c r="D11" s="235" t="s">
        <v>2</v>
      </c>
      <c r="E11" s="235" t="s">
        <v>3</v>
      </c>
      <c r="F11" s="51" t="s">
        <v>10</v>
      </c>
    </row>
    <row r="12" spans="1:14" x14ac:dyDescent="0.2">
      <c r="A12" s="297" t="s">
        <v>72</v>
      </c>
      <c r="B12" s="209"/>
      <c r="C12" s="209">
        <v>8</v>
      </c>
      <c r="D12" s="209"/>
      <c r="E12" s="209">
        <f t="shared" ref="E12:E17" si="0">C12</f>
        <v>8</v>
      </c>
      <c r="F12" s="51" t="s">
        <v>10</v>
      </c>
    </row>
    <row r="13" spans="1:14" x14ac:dyDescent="0.2">
      <c r="A13" s="297" t="s">
        <v>73</v>
      </c>
      <c r="B13" s="209"/>
      <c r="C13" s="209">
        <v>254</v>
      </c>
      <c r="D13" s="209"/>
      <c r="E13" s="209">
        <f t="shared" si="0"/>
        <v>254</v>
      </c>
      <c r="F13" s="51" t="s">
        <v>10</v>
      </c>
    </row>
    <row r="14" spans="1:14" x14ac:dyDescent="0.2">
      <c r="A14" s="297" t="s">
        <v>74</v>
      </c>
      <c r="B14" s="209"/>
      <c r="C14" s="209">
        <v>5146</v>
      </c>
      <c r="D14" s="209"/>
      <c r="E14" s="209">
        <f t="shared" si="0"/>
        <v>5146</v>
      </c>
      <c r="F14" s="51" t="s">
        <v>10</v>
      </c>
    </row>
    <row r="15" spans="1:14" x14ac:dyDescent="0.2">
      <c r="A15" s="297" t="s">
        <v>75</v>
      </c>
      <c r="B15" s="209"/>
      <c r="C15" s="209">
        <v>4751</v>
      </c>
      <c r="D15" s="209"/>
      <c r="E15" s="209">
        <f t="shared" si="0"/>
        <v>4751</v>
      </c>
      <c r="F15" s="51" t="s">
        <v>10</v>
      </c>
    </row>
    <row r="16" spans="1:14" x14ac:dyDescent="0.2">
      <c r="A16" s="297" t="s">
        <v>83</v>
      </c>
      <c r="B16" s="209"/>
      <c r="C16" s="209">
        <v>54819</v>
      </c>
      <c r="D16" s="209"/>
      <c r="E16" s="209">
        <f t="shared" si="0"/>
        <v>54819</v>
      </c>
      <c r="F16" s="51" t="s">
        <v>10</v>
      </c>
    </row>
    <row r="17" spans="1:6" x14ac:dyDescent="0.2">
      <c r="A17" s="357" t="s">
        <v>84</v>
      </c>
      <c r="B17" s="238"/>
      <c r="C17" s="238">
        <v>22</v>
      </c>
      <c r="D17" s="238"/>
      <c r="E17" s="238">
        <f t="shared" si="0"/>
        <v>22</v>
      </c>
      <c r="F17" s="51" t="s">
        <v>10</v>
      </c>
    </row>
    <row r="18" spans="1:6" ht="15" x14ac:dyDescent="0.25">
      <c r="A18" s="295" t="s">
        <v>250</v>
      </c>
      <c r="B18" s="118">
        <f>SUM(B12:B17)</f>
        <v>0</v>
      </c>
      <c r="C18" s="118">
        <f>SUM(C12:C17)</f>
        <v>65000</v>
      </c>
      <c r="D18" s="118">
        <f>SUM(D12:D17)</f>
        <v>0</v>
      </c>
      <c r="E18" s="118">
        <f>SUM(E12:E17)</f>
        <v>65000</v>
      </c>
      <c r="F18" s="51" t="s">
        <v>10</v>
      </c>
    </row>
    <row r="19" spans="1:6" ht="15" x14ac:dyDescent="0.25">
      <c r="A19" s="294"/>
      <c r="B19" s="244"/>
      <c r="C19" s="244"/>
      <c r="D19" s="244"/>
      <c r="E19" s="244"/>
      <c r="F19" s="51" t="s">
        <v>10</v>
      </c>
    </row>
    <row r="20" spans="1:6" x14ac:dyDescent="0.2">
      <c r="A20" s="247"/>
      <c r="B20" s="247"/>
      <c r="C20" s="247"/>
      <c r="D20" s="247"/>
      <c r="E20" s="247"/>
      <c r="F20" s="51" t="s">
        <v>11</v>
      </c>
    </row>
    <row r="21" spans="1:6" x14ac:dyDescent="0.2">
      <c r="F21" s="51"/>
    </row>
  </sheetData>
  <customSheetViews>
    <customSheetView guid="{EE916FE7-61FB-4021-ADDD-E082241FC03C}" scale="80" showPageBreaks="1" printArea="1" view="pageBreakPreview">
      <selection activeCell="E46" sqref="E46"/>
      <pageMargins left="0.7" right="0.7" top="0.52" bottom="0.39" header="0.3" footer="0.23"/>
      <printOptions horizontalCentered="1"/>
      <pageSetup scale="56" fitToHeight="2" orientation="landscape" r:id="rId1"/>
      <headerFooter>
        <oddHeader xml:space="preserve">&amp;L&amp;"Arial,Bold"&amp;12J. Financial Analysis of Program Changes
</oddHeader>
        <oddFooter>&amp;C&amp;"Arial,Regular"Exhibit J - Financial Analysis of Program Changes&amp;R&amp;"Arial,Regular"Crime Victims Fund</oddFooter>
      </headerFooter>
    </customSheetView>
    <customSheetView guid="{0BB5DC4B-BC2A-4489-BE17-5E267FA1EF63}" scale="80" showPageBreaks="1" printArea="1" view="pageBreakPreview">
      <selection activeCell="E46" sqref="E46"/>
      <pageMargins left="0.7" right="0.7" top="0.52" bottom="0.39" header="0.3" footer="0.23"/>
      <printOptions horizontalCentered="1"/>
      <pageSetup scale="56" fitToHeight="2" orientation="landscape" r:id="rId2"/>
      <headerFooter>
        <oddHeader xml:space="preserve">&amp;L&amp;"Arial,Bold"&amp;12J. Financial Analysis of Program Changes
</oddHeader>
        <oddFooter>&amp;C&amp;"Arial,Regular"Exhibit J - Financial Analysis of Program Changes&amp;R&amp;"Arial,Regular"Crime Victims Fund</oddFooter>
      </headerFooter>
    </customSheetView>
    <customSheetView guid="{6C58FFE1-D756-42C4-A1BC-AA7F1DC1E56F}" scale="80" showPageBreaks="1" printArea="1" view="pageBreakPreview">
      <selection activeCell="E46" sqref="E46"/>
      <pageMargins left="0.7" right="0.7" top="0.52" bottom="0.39" header="0.3" footer="0.23"/>
      <printOptions horizontalCentered="1"/>
      <pageSetup scale="56" fitToHeight="2" orientation="landscape" r:id="rId3"/>
      <headerFooter>
        <oddHeader xml:space="preserve">&amp;L&amp;"Arial,Bold"&amp;12J. Financial Analysis of Program Changes
</oddHeader>
        <oddFooter>&amp;C&amp;"Arial,Regular"Exhibit J - Financial Analysis of Program Changes&amp;R&amp;"Arial,Regular"Crime Victims Fund</oddFooter>
      </headerFooter>
    </customSheetView>
    <customSheetView guid="{CFA5D1C9-F4C9-4B8D-923D-4C71CB6E7D3B}" scale="80" showPageBreaks="1" printArea="1" view="pageBreakPreview">
      <selection activeCell="E46" sqref="E46"/>
      <pageMargins left="0.7" right="0.7" top="0.52" bottom="0.39" header="0.3" footer="0.23"/>
      <printOptions horizontalCentered="1"/>
      <pageSetup scale="56" fitToHeight="2" orientation="landscape" r:id="rId4"/>
      <headerFooter>
        <oddHeader xml:space="preserve">&amp;L&amp;"Arial,Bold"&amp;12J. Financial Analysis of Program Changes
</oddHeader>
        <oddFooter>&amp;C&amp;"Arial,Regular"Exhibit J - Financial Analysis of Program Changes&amp;R&amp;"Arial,Regular"Crime Victims Fund</oddFooter>
      </headerFooter>
    </customSheetView>
    <customSheetView guid="{A788DF77-74F1-49E4-8B34-BFBDB7664F30}" scale="80" showPageBreaks="1" printArea="1" view="pageBreakPreview">
      <selection activeCell="E46" sqref="E46"/>
      <pageMargins left="0.7" right="0.7" top="0.52" bottom="0.39" header="0.3" footer="0.23"/>
      <printOptions horizontalCentered="1"/>
      <pageSetup scale="56" fitToHeight="2" orientation="landscape" r:id="rId5"/>
      <headerFooter>
        <oddHeader xml:space="preserve">&amp;L&amp;"Arial,Bold"&amp;12J. Financial Analysis of Program Changes
</oddHeader>
        <oddFooter>&amp;C&amp;"Arial,Regular"Exhibit J - Financial Analysis of Program Changes&amp;R&amp;"Arial,Regular"Crime Victims Fund</oddFooter>
      </headerFooter>
    </customSheetView>
  </customSheetViews>
  <mergeCells count="9">
    <mergeCell ref="A1:E1"/>
    <mergeCell ref="A2:E2"/>
    <mergeCell ref="A3:E3"/>
    <mergeCell ref="A4:E4"/>
    <mergeCell ref="A8:A11"/>
    <mergeCell ref="B10:C10"/>
    <mergeCell ref="B9:C9"/>
    <mergeCell ref="B8:C8"/>
    <mergeCell ref="D8:E10"/>
  </mergeCells>
  <printOptions horizontalCentered="1"/>
  <pageMargins left="0.7" right="0.7" top="0.52" bottom="0.39" header="0.3" footer="0.23"/>
  <pageSetup scale="90" fitToHeight="2" orientation="landscape" r:id="rId6"/>
  <headerFooter>
    <oddHeader xml:space="preserve">&amp;L&amp;"Arial,Bold"&amp;12J. Financial Analysis of Program Changes
</oddHeader>
    <oddFooter>&amp;C&amp;"Arial,Regular"Exhibit J - Financial Analysis of Program Changes&amp;R&amp;"Arial,Regular"Crime Victims Fund</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view="pageBreakPreview" zoomScale="90" zoomScaleNormal="100" zoomScaleSheetLayoutView="90" workbookViewId="0">
      <pane xSplit="1" ySplit="7" topLeftCell="B20" activePane="bottomRight" state="frozen"/>
      <selection pane="topRight" activeCell="B1" sqref="B1"/>
      <selection pane="bottomLeft" activeCell="A8" sqref="A8"/>
      <selection pane="bottomRight" activeCell="C46" sqref="C46"/>
    </sheetView>
  </sheetViews>
  <sheetFormatPr defaultRowHeight="14.25" x14ac:dyDescent="0.2"/>
  <cols>
    <col min="1" max="1" width="86.5703125" style="143" customWidth="1"/>
    <col min="2" max="2" width="8.28515625" style="143" customWidth="1"/>
    <col min="3" max="3" width="12.7109375" style="143" customWidth="1"/>
    <col min="4" max="4" width="8.28515625" style="143" customWidth="1"/>
    <col min="5" max="5" width="12.7109375" style="143" customWidth="1"/>
    <col min="6" max="6" width="10.5703125" style="143" customWidth="1"/>
    <col min="7" max="7" width="12.7109375" style="143" customWidth="1"/>
    <col min="8" max="8" width="8.28515625" style="143" customWidth="1"/>
    <col min="9" max="9" width="12.7109375" style="143" customWidth="1"/>
    <col min="10" max="10" width="14" style="4" bestFit="1" customWidth="1"/>
    <col min="11" max="11" width="4.5703125" style="143" customWidth="1"/>
    <col min="12" max="12" width="116.7109375" style="257" customWidth="1"/>
    <col min="13" max="14" width="8.28515625" style="143" customWidth="1"/>
    <col min="15" max="15" width="12.7109375" style="143" customWidth="1"/>
    <col min="16" max="17" width="8.28515625" style="143" customWidth="1"/>
    <col min="18" max="18" width="12.7109375" style="143" customWidth="1"/>
    <col min="19" max="16384" width="9.140625" style="143"/>
  </cols>
  <sheetData>
    <row r="1" spans="1:18" ht="18" x14ac:dyDescent="0.25">
      <c r="A1" s="577" t="s">
        <v>59</v>
      </c>
      <c r="B1" s="577"/>
      <c r="C1" s="577"/>
      <c r="D1" s="577"/>
      <c r="E1" s="577"/>
      <c r="F1" s="577"/>
      <c r="G1" s="577"/>
      <c r="H1" s="577"/>
      <c r="I1" s="577"/>
      <c r="J1" s="51" t="s">
        <v>10</v>
      </c>
      <c r="K1" s="6"/>
      <c r="L1" s="199"/>
      <c r="M1" s="6"/>
      <c r="N1" s="6"/>
      <c r="O1" s="6"/>
      <c r="P1" s="6"/>
      <c r="Q1" s="6"/>
      <c r="R1" s="6"/>
    </row>
    <row r="2" spans="1:18" ht="15" x14ac:dyDescent="0.2">
      <c r="A2" s="578" t="s">
        <v>152</v>
      </c>
      <c r="B2" s="578"/>
      <c r="C2" s="578"/>
      <c r="D2" s="578"/>
      <c r="E2" s="578"/>
      <c r="F2" s="578"/>
      <c r="G2" s="578"/>
      <c r="H2" s="578"/>
      <c r="I2" s="578"/>
      <c r="J2" s="51" t="s">
        <v>10</v>
      </c>
      <c r="K2" s="7"/>
      <c r="L2" s="198"/>
      <c r="M2" s="7"/>
      <c r="N2" s="7"/>
      <c r="O2" s="7"/>
      <c r="P2" s="7"/>
      <c r="Q2" s="7"/>
      <c r="R2" s="7"/>
    </row>
    <row r="3" spans="1:18" x14ac:dyDescent="0.2">
      <c r="A3" s="579" t="s">
        <v>432</v>
      </c>
      <c r="B3" s="579"/>
      <c r="C3" s="579"/>
      <c r="D3" s="579"/>
      <c r="E3" s="579"/>
      <c r="F3" s="579"/>
      <c r="G3" s="579"/>
      <c r="H3" s="579"/>
      <c r="I3" s="579"/>
      <c r="J3" s="51" t="s">
        <v>10</v>
      </c>
      <c r="K3" s="163"/>
      <c r="L3" s="198"/>
      <c r="M3" s="163"/>
      <c r="N3" s="163"/>
      <c r="O3" s="163"/>
      <c r="P3" s="163"/>
      <c r="Q3" s="163"/>
      <c r="R3" s="163"/>
    </row>
    <row r="4" spans="1:18" x14ac:dyDescent="0.2">
      <c r="A4" s="608" t="s">
        <v>1</v>
      </c>
      <c r="B4" s="608"/>
      <c r="C4" s="608"/>
      <c r="D4" s="608"/>
      <c r="E4" s="608"/>
      <c r="F4" s="608"/>
      <c r="G4" s="608"/>
      <c r="H4" s="608"/>
      <c r="I4" s="608"/>
      <c r="J4" s="51" t="s">
        <v>10</v>
      </c>
      <c r="K4" s="162"/>
      <c r="L4" s="198"/>
      <c r="M4" s="162"/>
      <c r="N4" s="162"/>
      <c r="O4" s="162"/>
      <c r="P4" s="162"/>
      <c r="Q4" s="162"/>
      <c r="R4" s="162"/>
    </row>
    <row r="5" spans="1:18" ht="15.75" thickBot="1" x14ac:dyDescent="0.3">
      <c r="A5" s="608"/>
      <c r="B5" s="608"/>
      <c r="C5" s="608"/>
      <c r="D5" s="608"/>
      <c r="E5" s="608"/>
      <c r="F5" s="608"/>
      <c r="G5" s="608"/>
      <c r="H5" s="608"/>
      <c r="I5" s="608"/>
      <c r="J5" s="51" t="s">
        <v>10</v>
      </c>
      <c r="K5" s="162"/>
      <c r="L5" s="241"/>
      <c r="M5" s="162"/>
      <c r="N5" s="162"/>
      <c r="O5" s="162"/>
      <c r="P5" s="162"/>
      <c r="Q5" s="162"/>
      <c r="R5" s="162"/>
    </row>
    <row r="6" spans="1:18" ht="15" x14ac:dyDescent="0.2">
      <c r="A6" s="585" t="s">
        <v>60</v>
      </c>
      <c r="B6" s="588" t="s">
        <v>133</v>
      </c>
      <c r="C6" s="588"/>
      <c r="D6" s="588" t="s">
        <v>135</v>
      </c>
      <c r="E6" s="588"/>
      <c r="F6" s="588" t="s">
        <v>130</v>
      </c>
      <c r="G6" s="588"/>
      <c r="H6" s="588" t="s">
        <v>31</v>
      </c>
      <c r="I6" s="589"/>
      <c r="J6" s="51" t="s">
        <v>10</v>
      </c>
      <c r="L6" s="302"/>
    </row>
    <row r="7" spans="1:18" ht="28.5" x14ac:dyDescent="0.2">
      <c r="A7" s="586"/>
      <c r="B7" s="235" t="s">
        <v>17</v>
      </c>
      <c r="C7" s="235" t="s">
        <v>3</v>
      </c>
      <c r="D7" s="235" t="s">
        <v>17</v>
      </c>
      <c r="E7" s="235" t="s">
        <v>3</v>
      </c>
      <c r="F7" s="235" t="s">
        <v>17</v>
      </c>
      <c r="G7" s="235" t="s">
        <v>3</v>
      </c>
      <c r="H7" s="235" t="s">
        <v>17</v>
      </c>
      <c r="I7" s="234" t="s">
        <v>3</v>
      </c>
      <c r="J7" s="51" t="s">
        <v>10</v>
      </c>
      <c r="L7" s="306"/>
    </row>
    <row r="8" spans="1:18" x14ac:dyDescent="0.2">
      <c r="A8" s="218" t="s">
        <v>61</v>
      </c>
      <c r="B8" s="217">
        <v>0</v>
      </c>
      <c r="C8" s="217">
        <v>0</v>
      </c>
      <c r="D8" s="217">
        <v>0</v>
      </c>
      <c r="E8" s="217">
        <v>0</v>
      </c>
      <c r="F8" s="217">
        <v>0</v>
      </c>
      <c r="G8" s="217">
        <v>0</v>
      </c>
      <c r="H8" s="217">
        <f t="shared" ref="H8:I13" si="0">F8-D8</f>
        <v>0</v>
      </c>
      <c r="I8" s="286">
        <f t="shared" si="0"/>
        <v>0</v>
      </c>
      <c r="J8" s="51" t="s">
        <v>10</v>
      </c>
      <c r="L8" s="302"/>
    </row>
    <row r="9" spans="1:18" x14ac:dyDescent="0.2">
      <c r="A9" s="142" t="s">
        <v>62</v>
      </c>
      <c r="B9" s="154">
        <v>0</v>
      </c>
      <c r="C9" s="154">
        <v>0</v>
      </c>
      <c r="D9" s="154">
        <v>0</v>
      </c>
      <c r="E9" s="154">
        <v>0</v>
      </c>
      <c r="F9" s="154">
        <v>0</v>
      </c>
      <c r="G9" s="154">
        <v>0</v>
      </c>
      <c r="H9" s="154">
        <f t="shared" si="0"/>
        <v>0</v>
      </c>
      <c r="I9" s="151">
        <f t="shared" si="0"/>
        <v>0</v>
      </c>
      <c r="J9" s="51" t="s">
        <v>10</v>
      </c>
    </row>
    <row r="10" spans="1:18" x14ac:dyDescent="0.2">
      <c r="A10" s="142" t="s">
        <v>106</v>
      </c>
      <c r="B10" s="154">
        <f t="shared" ref="B10:G10" si="1">SUM(B11:B12)</f>
        <v>0</v>
      </c>
      <c r="C10" s="154">
        <f t="shared" si="1"/>
        <v>0</v>
      </c>
      <c r="D10" s="154">
        <f t="shared" si="1"/>
        <v>0</v>
      </c>
      <c r="E10" s="154">
        <f t="shared" si="1"/>
        <v>0</v>
      </c>
      <c r="F10" s="154">
        <f t="shared" si="1"/>
        <v>0</v>
      </c>
      <c r="G10" s="154">
        <f t="shared" si="1"/>
        <v>0</v>
      </c>
      <c r="H10" s="154">
        <f t="shared" si="0"/>
        <v>0</v>
      </c>
      <c r="I10" s="151">
        <f t="shared" si="0"/>
        <v>0</v>
      </c>
      <c r="J10" s="51" t="s">
        <v>10</v>
      </c>
    </row>
    <row r="11" spans="1:18" x14ac:dyDescent="0.2">
      <c r="A11" s="62" t="s">
        <v>16</v>
      </c>
      <c r="B11" s="134">
        <v>0</v>
      </c>
      <c r="C11" s="134">
        <v>0</v>
      </c>
      <c r="D11" s="134">
        <v>0</v>
      </c>
      <c r="E11" s="134">
        <v>0</v>
      </c>
      <c r="F11" s="134">
        <v>0</v>
      </c>
      <c r="G11" s="134">
        <v>0</v>
      </c>
      <c r="H11" s="134">
        <f t="shared" si="0"/>
        <v>0</v>
      </c>
      <c r="I11" s="135">
        <f t="shared" si="0"/>
        <v>0</v>
      </c>
      <c r="J11" s="51" t="s">
        <v>10</v>
      </c>
    </row>
    <row r="12" spans="1:18" x14ac:dyDescent="0.2">
      <c r="A12" s="62" t="s">
        <v>63</v>
      </c>
      <c r="B12" s="134">
        <v>0</v>
      </c>
      <c r="C12" s="134">
        <v>0</v>
      </c>
      <c r="D12" s="134">
        <v>0</v>
      </c>
      <c r="E12" s="134">
        <v>0</v>
      </c>
      <c r="F12" s="134">
        <v>0</v>
      </c>
      <c r="G12" s="134">
        <v>0</v>
      </c>
      <c r="H12" s="134">
        <f t="shared" si="0"/>
        <v>0</v>
      </c>
      <c r="I12" s="135">
        <f t="shared" si="0"/>
        <v>0</v>
      </c>
      <c r="J12" s="51" t="s">
        <v>10</v>
      </c>
    </row>
    <row r="13" spans="1:18" x14ac:dyDescent="0.2">
      <c r="A13" s="142" t="s">
        <v>64</v>
      </c>
      <c r="B13" s="213">
        <v>0</v>
      </c>
      <c r="C13" s="213">
        <v>0</v>
      </c>
      <c r="D13" s="213">
        <v>0</v>
      </c>
      <c r="E13" s="213">
        <v>0</v>
      </c>
      <c r="F13" s="213">
        <v>0</v>
      </c>
      <c r="G13" s="213">
        <v>0</v>
      </c>
      <c r="H13" s="213">
        <f t="shared" si="0"/>
        <v>0</v>
      </c>
      <c r="I13" s="211">
        <f t="shared" si="0"/>
        <v>0</v>
      </c>
      <c r="J13" s="51" t="s">
        <v>10</v>
      </c>
    </row>
    <row r="14" spans="1:18" ht="15" x14ac:dyDescent="0.25">
      <c r="A14" s="64" t="s">
        <v>12</v>
      </c>
      <c r="B14" s="105">
        <f t="shared" ref="B14:I14" si="2">SUM(B8:B10,B13)</f>
        <v>0</v>
      </c>
      <c r="C14" s="105">
        <f t="shared" si="2"/>
        <v>0</v>
      </c>
      <c r="D14" s="105">
        <f t="shared" si="2"/>
        <v>0</v>
      </c>
      <c r="E14" s="105">
        <f t="shared" si="2"/>
        <v>0</v>
      </c>
      <c r="F14" s="105">
        <f t="shared" si="2"/>
        <v>0</v>
      </c>
      <c r="G14" s="105">
        <f t="shared" si="2"/>
        <v>0</v>
      </c>
      <c r="H14" s="105">
        <f t="shared" si="2"/>
        <v>0</v>
      </c>
      <c r="I14" s="109">
        <f t="shared" si="2"/>
        <v>0</v>
      </c>
      <c r="J14" s="51" t="s">
        <v>10</v>
      </c>
    </row>
    <row r="15" spans="1:18" ht="15" x14ac:dyDescent="0.25">
      <c r="A15" s="63" t="s">
        <v>65</v>
      </c>
      <c r="B15" s="154"/>
      <c r="C15" s="154"/>
      <c r="D15" s="154"/>
      <c r="E15" s="154"/>
      <c r="F15" s="154"/>
      <c r="G15" s="154"/>
      <c r="H15" s="154"/>
      <c r="I15" s="151"/>
      <c r="J15" s="51" t="s">
        <v>10</v>
      </c>
    </row>
    <row r="16" spans="1:18" x14ac:dyDescent="0.2">
      <c r="A16" s="142" t="s">
        <v>66</v>
      </c>
      <c r="B16" s="154">
        <v>0</v>
      </c>
      <c r="C16" s="154">
        <v>0</v>
      </c>
      <c r="D16" s="154">
        <v>0</v>
      </c>
      <c r="E16" s="154">
        <v>0</v>
      </c>
      <c r="F16" s="154">
        <v>0</v>
      </c>
      <c r="G16" s="154">
        <v>0</v>
      </c>
      <c r="H16" s="154">
        <v>0</v>
      </c>
      <c r="I16" s="151">
        <f t="shared" ref="I16:I36" si="3">G16-E16</f>
        <v>0</v>
      </c>
      <c r="J16" s="51" t="s">
        <v>10</v>
      </c>
    </row>
    <row r="17" spans="1:10" x14ac:dyDescent="0.2">
      <c r="A17" s="142" t="s">
        <v>67</v>
      </c>
      <c r="B17" s="154">
        <v>0</v>
      </c>
      <c r="C17" s="154">
        <v>0</v>
      </c>
      <c r="D17" s="154">
        <v>0</v>
      </c>
      <c r="E17" s="154">
        <v>0</v>
      </c>
      <c r="F17" s="154">
        <v>0</v>
      </c>
      <c r="G17" s="154">
        <v>0</v>
      </c>
      <c r="H17" s="154">
        <v>0</v>
      </c>
      <c r="I17" s="151">
        <f t="shared" si="3"/>
        <v>0</v>
      </c>
      <c r="J17" s="51" t="s">
        <v>10</v>
      </c>
    </row>
    <row r="18" spans="1:10" x14ac:dyDescent="0.2">
      <c r="A18" s="142" t="s">
        <v>68</v>
      </c>
      <c r="B18" s="154">
        <v>0</v>
      </c>
      <c r="C18" s="154">
        <v>0</v>
      </c>
      <c r="D18" s="154">
        <v>0</v>
      </c>
      <c r="E18" s="154">
        <v>0</v>
      </c>
      <c r="F18" s="154">
        <v>0</v>
      </c>
      <c r="G18" s="154">
        <v>0</v>
      </c>
      <c r="H18" s="154">
        <v>0</v>
      </c>
      <c r="I18" s="151">
        <f t="shared" si="3"/>
        <v>0</v>
      </c>
      <c r="J18" s="51" t="s">
        <v>10</v>
      </c>
    </row>
    <row r="19" spans="1:10" x14ac:dyDescent="0.2">
      <c r="A19" s="142" t="s">
        <v>107</v>
      </c>
      <c r="B19" s="154">
        <v>0</v>
      </c>
      <c r="C19" s="154">
        <v>0</v>
      </c>
      <c r="D19" s="154">
        <v>0</v>
      </c>
      <c r="E19" s="154">
        <v>0</v>
      </c>
      <c r="F19" s="154">
        <v>0</v>
      </c>
      <c r="G19" s="154">
        <v>0</v>
      </c>
      <c r="H19" s="154">
        <v>0</v>
      </c>
      <c r="I19" s="151">
        <f t="shared" si="3"/>
        <v>0</v>
      </c>
      <c r="J19" s="51" t="s">
        <v>10</v>
      </c>
    </row>
    <row r="20" spans="1:10" x14ac:dyDescent="0.2">
      <c r="A20" s="142" t="s">
        <v>69</v>
      </c>
      <c r="B20" s="154">
        <v>0</v>
      </c>
      <c r="C20" s="154">
        <v>0</v>
      </c>
      <c r="D20" s="154">
        <v>0</v>
      </c>
      <c r="E20" s="154">
        <v>0</v>
      </c>
      <c r="F20" s="154">
        <v>0</v>
      </c>
      <c r="G20" s="154">
        <v>0</v>
      </c>
      <c r="H20" s="154">
        <v>0</v>
      </c>
      <c r="I20" s="151">
        <f t="shared" si="3"/>
        <v>0</v>
      </c>
      <c r="J20" s="51" t="s">
        <v>10</v>
      </c>
    </row>
    <row r="21" spans="1:10" x14ac:dyDescent="0.2">
      <c r="A21" s="142" t="s">
        <v>70</v>
      </c>
      <c r="B21" s="154">
        <v>0</v>
      </c>
      <c r="C21" s="154">
        <v>0</v>
      </c>
      <c r="D21" s="154">
        <v>0</v>
      </c>
      <c r="E21" s="154">
        <v>0</v>
      </c>
      <c r="F21" s="154">
        <v>0</v>
      </c>
      <c r="G21" s="154">
        <v>0</v>
      </c>
      <c r="H21" s="154">
        <v>0</v>
      </c>
      <c r="I21" s="151">
        <f t="shared" si="3"/>
        <v>0</v>
      </c>
      <c r="J21" s="51" t="s">
        <v>10</v>
      </c>
    </row>
    <row r="22" spans="1:10" x14ac:dyDescent="0.2">
      <c r="A22" s="142" t="s">
        <v>71</v>
      </c>
      <c r="B22" s="154">
        <v>0</v>
      </c>
      <c r="C22" s="154">
        <v>0</v>
      </c>
      <c r="D22" s="154">
        <v>0</v>
      </c>
      <c r="E22" s="154">
        <v>0</v>
      </c>
      <c r="F22" s="154">
        <v>0</v>
      </c>
      <c r="G22" s="154">
        <v>0</v>
      </c>
      <c r="H22" s="154">
        <v>0</v>
      </c>
      <c r="I22" s="151">
        <f t="shared" si="3"/>
        <v>0</v>
      </c>
      <c r="J22" s="51" t="s">
        <v>10</v>
      </c>
    </row>
    <row r="23" spans="1:10" x14ac:dyDescent="0.2">
      <c r="A23" s="142" t="s">
        <v>72</v>
      </c>
      <c r="B23" s="154">
        <v>0</v>
      </c>
      <c r="C23" s="154">
        <v>85</v>
      </c>
      <c r="D23" s="154">
        <v>0</v>
      </c>
      <c r="E23" s="154">
        <v>85</v>
      </c>
      <c r="F23" s="154">
        <v>0</v>
      </c>
      <c r="G23" s="154">
        <v>94</v>
      </c>
      <c r="H23" s="154">
        <v>0</v>
      </c>
      <c r="I23" s="151">
        <f t="shared" si="3"/>
        <v>9</v>
      </c>
      <c r="J23" s="51" t="s">
        <v>10</v>
      </c>
    </row>
    <row r="24" spans="1:10" x14ac:dyDescent="0.2">
      <c r="A24" s="142" t="s">
        <v>73</v>
      </c>
      <c r="B24" s="154">
        <v>0</v>
      </c>
      <c r="C24" s="154">
        <v>2809</v>
      </c>
      <c r="D24" s="154">
        <v>0</v>
      </c>
      <c r="E24" s="154">
        <v>2809</v>
      </c>
      <c r="F24" s="154">
        <v>0</v>
      </c>
      <c r="G24" s="154">
        <v>3063</v>
      </c>
      <c r="H24" s="154">
        <v>0</v>
      </c>
      <c r="I24" s="151">
        <f t="shared" si="3"/>
        <v>254</v>
      </c>
      <c r="J24" s="51" t="s">
        <v>10</v>
      </c>
    </row>
    <row r="25" spans="1:10" x14ac:dyDescent="0.2">
      <c r="A25" s="142" t="s">
        <v>74</v>
      </c>
      <c r="B25" s="154">
        <v>0</v>
      </c>
      <c r="C25" s="154">
        <v>56961</v>
      </c>
      <c r="D25" s="154">
        <v>0</v>
      </c>
      <c r="E25" s="154">
        <v>62502</v>
      </c>
      <c r="F25" s="154">
        <v>0</v>
      </c>
      <c r="G25" s="154">
        <v>67648</v>
      </c>
      <c r="H25" s="154">
        <v>0</v>
      </c>
      <c r="I25" s="151">
        <f t="shared" si="3"/>
        <v>5146</v>
      </c>
      <c r="J25" s="51" t="s">
        <v>10</v>
      </c>
    </row>
    <row r="26" spans="1:10" x14ac:dyDescent="0.2">
      <c r="A26" s="142" t="s">
        <v>75</v>
      </c>
      <c r="B26" s="154">
        <v>0</v>
      </c>
      <c r="C26" s="154">
        <v>52586</v>
      </c>
      <c r="D26" s="154">
        <v>0</v>
      </c>
      <c r="E26" s="154">
        <v>58127</v>
      </c>
      <c r="F26" s="154">
        <v>0</v>
      </c>
      <c r="G26" s="154">
        <v>62878</v>
      </c>
      <c r="H26" s="154">
        <v>0</v>
      </c>
      <c r="I26" s="151">
        <f t="shared" si="3"/>
        <v>4751</v>
      </c>
      <c r="J26" s="51" t="s">
        <v>10</v>
      </c>
    </row>
    <row r="27" spans="1:10" x14ac:dyDescent="0.2">
      <c r="A27" s="142" t="s">
        <v>76</v>
      </c>
      <c r="B27" s="154">
        <v>0</v>
      </c>
      <c r="C27" s="154">
        <v>0</v>
      </c>
      <c r="D27" s="154">
        <v>0</v>
      </c>
      <c r="E27" s="154">
        <v>0</v>
      </c>
      <c r="F27" s="154">
        <v>0</v>
      </c>
      <c r="G27" s="154">
        <v>0</v>
      </c>
      <c r="H27" s="154">
        <v>0</v>
      </c>
      <c r="I27" s="151">
        <f t="shared" si="3"/>
        <v>0</v>
      </c>
      <c r="J27" s="51" t="s">
        <v>10</v>
      </c>
    </row>
    <row r="28" spans="1:10" x14ac:dyDescent="0.2">
      <c r="A28" s="142" t="s">
        <v>77</v>
      </c>
      <c r="B28" s="154">
        <v>0</v>
      </c>
      <c r="C28" s="154">
        <v>0</v>
      </c>
      <c r="D28" s="154">
        <v>0</v>
      </c>
      <c r="E28" s="154">
        <v>0</v>
      </c>
      <c r="F28" s="154">
        <v>0</v>
      </c>
      <c r="G28" s="154">
        <v>0</v>
      </c>
      <c r="H28" s="154">
        <v>0</v>
      </c>
      <c r="I28" s="151">
        <f t="shared" si="3"/>
        <v>0</v>
      </c>
      <c r="J28" s="51" t="s">
        <v>10</v>
      </c>
    </row>
    <row r="29" spans="1:10" x14ac:dyDescent="0.2">
      <c r="A29" s="142" t="s">
        <v>23</v>
      </c>
      <c r="B29" s="154">
        <v>0</v>
      </c>
      <c r="C29" s="154">
        <v>0</v>
      </c>
      <c r="D29" s="154">
        <v>0</v>
      </c>
      <c r="E29" s="154">
        <v>0</v>
      </c>
      <c r="F29" s="154">
        <v>0</v>
      </c>
      <c r="G29" s="154">
        <v>0</v>
      </c>
      <c r="H29" s="154">
        <v>0</v>
      </c>
      <c r="I29" s="151">
        <f t="shared" si="3"/>
        <v>0</v>
      </c>
      <c r="J29" s="51" t="s">
        <v>10</v>
      </c>
    </row>
    <row r="30" spans="1:10" x14ac:dyDescent="0.2">
      <c r="A30" s="142" t="s">
        <v>78</v>
      </c>
      <c r="B30" s="154">
        <v>0</v>
      </c>
      <c r="C30" s="154">
        <v>0</v>
      </c>
      <c r="D30" s="154">
        <v>0</v>
      </c>
      <c r="E30" s="154">
        <v>0</v>
      </c>
      <c r="F30" s="154">
        <v>0</v>
      </c>
      <c r="G30" s="154">
        <v>0</v>
      </c>
      <c r="H30" s="154">
        <v>0</v>
      </c>
      <c r="I30" s="151">
        <f t="shared" si="3"/>
        <v>0</v>
      </c>
      <c r="J30" s="51" t="s">
        <v>10</v>
      </c>
    </row>
    <row r="31" spans="1:10" x14ac:dyDescent="0.2">
      <c r="A31" s="142" t="s">
        <v>79</v>
      </c>
      <c r="B31" s="154">
        <v>0</v>
      </c>
      <c r="C31" s="154">
        <v>0</v>
      </c>
      <c r="D31" s="154">
        <v>0</v>
      </c>
      <c r="E31" s="154">
        <v>0</v>
      </c>
      <c r="F31" s="154">
        <v>0</v>
      </c>
      <c r="G31" s="154">
        <v>0</v>
      </c>
      <c r="H31" s="154">
        <v>0</v>
      </c>
      <c r="I31" s="151">
        <f t="shared" si="3"/>
        <v>0</v>
      </c>
      <c r="J31" s="51" t="s">
        <v>10</v>
      </c>
    </row>
    <row r="32" spans="1:10" x14ac:dyDescent="0.2">
      <c r="A32" s="142" t="s">
        <v>80</v>
      </c>
      <c r="B32" s="154">
        <v>0</v>
      </c>
      <c r="C32" s="154">
        <v>0</v>
      </c>
      <c r="D32" s="154">
        <v>0</v>
      </c>
      <c r="E32" s="154">
        <v>0</v>
      </c>
      <c r="F32" s="154">
        <v>0</v>
      </c>
      <c r="G32" s="154">
        <v>0</v>
      </c>
      <c r="H32" s="154">
        <v>0</v>
      </c>
      <c r="I32" s="151">
        <f t="shared" si="3"/>
        <v>0</v>
      </c>
      <c r="J32" s="51" t="s">
        <v>10</v>
      </c>
    </row>
    <row r="33" spans="1:12" x14ac:dyDescent="0.2">
      <c r="A33" s="142" t="s">
        <v>81</v>
      </c>
      <c r="B33" s="154">
        <v>0</v>
      </c>
      <c r="C33" s="154">
        <v>0</v>
      </c>
      <c r="D33" s="154">
        <v>0</v>
      </c>
      <c r="E33" s="154">
        <v>0</v>
      </c>
      <c r="F33" s="154">
        <v>0</v>
      </c>
      <c r="G33" s="154">
        <v>0</v>
      </c>
      <c r="H33" s="154">
        <v>0</v>
      </c>
      <c r="I33" s="151">
        <f t="shared" si="3"/>
        <v>0</v>
      </c>
      <c r="J33" s="51" t="s">
        <v>10</v>
      </c>
    </row>
    <row r="34" spans="1:12" x14ac:dyDescent="0.2">
      <c r="A34" s="142" t="s">
        <v>82</v>
      </c>
      <c r="B34" s="154">
        <v>0</v>
      </c>
      <c r="C34" s="154">
        <v>0</v>
      </c>
      <c r="D34" s="154">
        <v>0</v>
      </c>
      <c r="E34" s="154">
        <v>0</v>
      </c>
      <c r="F34" s="154">
        <v>0</v>
      </c>
      <c r="G34" s="154">
        <v>0</v>
      </c>
      <c r="H34" s="154">
        <v>0</v>
      </c>
      <c r="I34" s="151">
        <f t="shared" si="3"/>
        <v>0</v>
      </c>
      <c r="J34" s="51" t="s">
        <v>10</v>
      </c>
    </row>
    <row r="35" spans="1:12" x14ac:dyDescent="0.2">
      <c r="A35" s="142" t="s">
        <v>83</v>
      </c>
      <c r="B35" s="154">
        <v>0</v>
      </c>
      <c r="C35" s="154">
        <v>623754</v>
      </c>
      <c r="D35" s="154">
        <v>0</v>
      </c>
      <c r="E35" s="154">
        <v>621231</v>
      </c>
      <c r="F35" s="154">
        <v>0</v>
      </c>
      <c r="G35" s="154">
        <v>726049</v>
      </c>
      <c r="H35" s="154">
        <v>0</v>
      </c>
      <c r="I35" s="151">
        <f t="shared" si="3"/>
        <v>104818</v>
      </c>
      <c r="J35" s="51" t="s">
        <v>10</v>
      </c>
    </row>
    <row r="36" spans="1:12" x14ac:dyDescent="0.2">
      <c r="A36" s="142" t="s">
        <v>84</v>
      </c>
      <c r="B36" s="154">
        <v>0</v>
      </c>
      <c r="C36" s="154">
        <v>246</v>
      </c>
      <c r="D36" s="154">
        <v>0</v>
      </c>
      <c r="E36" s="154">
        <v>246</v>
      </c>
      <c r="F36" s="154">
        <v>0</v>
      </c>
      <c r="G36" s="154">
        <v>268</v>
      </c>
      <c r="H36" s="154">
        <v>0</v>
      </c>
      <c r="I36" s="151">
        <f t="shared" si="3"/>
        <v>22</v>
      </c>
      <c r="J36" s="51" t="s">
        <v>10</v>
      </c>
    </row>
    <row r="37" spans="1:12" ht="15" x14ac:dyDescent="0.25">
      <c r="A37" s="64" t="s">
        <v>85</v>
      </c>
      <c r="B37" s="70">
        <v>0</v>
      </c>
      <c r="C37" s="70">
        <f>SUM(C14:C36)</f>
        <v>736441</v>
      </c>
      <c r="D37" s="70">
        <v>0</v>
      </c>
      <c r="E37" s="70">
        <f>SUM(E14:E36)</f>
        <v>745000</v>
      </c>
      <c r="F37" s="70">
        <v>0</v>
      </c>
      <c r="G37" s="70">
        <f>SUM(G14:G36)</f>
        <v>860000</v>
      </c>
      <c r="H37" s="70">
        <v>0</v>
      </c>
      <c r="I37" s="72">
        <f>SUM(I14:I36)</f>
        <v>115000</v>
      </c>
      <c r="J37" s="51" t="s">
        <v>10</v>
      </c>
      <c r="L37" s="302"/>
    </row>
    <row r="38" spans="1:12" x14ac:dyDescent="0.2">
      <c r="A38" s="142" t="s">
        <v>108</v>
      </c>
      <c r="B38" s="154">
        <v>0</v>
      </c>
      <c r="C38" s="268">
        <v>-50000</v>
      </c>
      <c r="D38" s="154">
        <v>0</v>
      </c>
      <c r="E38" s="268">
        <v>-50000</v>
      </c>
      <c r="F38" s="154">
        <v>0</v>
      </c>
      <c r="G38" s="268">
        <v>-50000</v>
      </c>
      <c r="H38" s="154">
        <v>0</v>
      </c>
      <c r="I38" s="151">
        <f>G38-E38</f>
        <v>0</v>
      </c>
      <c r="J38" s="51" t="s">
        <v>10</v>
      </c>
      <c r="L38" s="302"/>
    </row>
    <row r="39" spans="1:12" x14ac:dyDescent="0.2">
      <c r="A39" s="142" t="s">
        <v>435</v>
      </c>
      <c r="B39" s="154">
        <v>0</v>
      </c>
      <c r="C39" s="268">
        <v>10559</v>
      </c>
      <c r="D39" s="154">
        <v>0</v>
      </c>
      <c r="E39" s="268">
        <v>0</v>
      </c>
      <c r="F39" s="154">
        <v>0</v>
      </c>
      <c r="G39" s="154">
        <v>0</v>
      </c>
      <c r="H39" s="154">
        <v>0</v>
      </c>
      <c r="I39" s="151">
        <f>G39-E39</f>
        <v>0</v>
      </c>
      <c r="J39" s="51" t="s">
        <v>10</v>
      </c>
      <c r="L39" s="302"/>
    </row>
    <row r="40" spans="1:12" x14ac:dyDescent="0.2">
      <c r="A40" s="142" t="s">
        <v>118</v>
      </c>
      <c r="B40" s="154">
        <v>0</v>
      </c>
      <c r="C40" s="268">
        <v>0</v>
      </c>
      <c r="D40" s="154">
        <v>0</v>
      </c>
      <c r="E40" s="268">
        <v>0</v>
      </c>
      <c r="F40" s="154">
        <v>0</v>
      </c>
      <c r="G40" s="154">
        <v>0</v>
      </c>
      <c r="H40" s="154">
        <v>0</v>
      </c>
      <c r="I40" s="151">
        <f>G40-E40</f>
        <v>0</v>
      </c>
      <c r="J40" s="51" t="s">
        <v>10</v>
      </c>
      <c r="L40" s="302"/>
    </row>
    <row r="41" spans="1:12" x14ac:dyDescent="0.2">
      <c r="A41" s="142" t="s">
        <v>86</v>
      </c>
      <c r="B41" s="154">
        <v>0</v>
      </c>
      <c r="C41" s="154">
        <v>50000</v>
      </c>
      <c r="D41" s="154">
        <v>0</v>
      </c>
      <c r="E41" s="154">
        <v>50000</v>
      </c>
      <c r="F41" s="154">
        <v>0</v>
      </c>
      <c r="G41" s="154">
        <v>0</v>
      </c>
      <c r="H41" s="154">
        <v>0</v>
      </c>
      <c r="I41" s="151">
        <f>G41-E41</f>
        <v>-50000</v>
      </c>
      <c r="J41" s="51" t="s">
        <v>10</v>
      </c>
      <c r="L41" s="302"/>
    </row>
    <row r="42" spans="1:12" x14ac:dyDescent="0.2">
      <c r="A42" s="142" t="s">
        <v>112</v>
      </c>
      <c r="B42" s="154">
        <v>0</v>
      </c>
      <c r="C42" s="154">
        <v>0</v>
      </c>
      <c r="D42" s="154">
        <v>0</v>
      </c>
      <c r="E42" s="154">
        <v>0</v>
      </c>
      <c r="F42" s="154">
        <v>0</v>
      </c>
      <c r="G42" s="154">
        <v>0</v>
      </c>
      <c r="H42" s="154">
        <v>0</v>
      </c>
      <c r="I42" s="151">
        <f>G42-E42</f>
        <v>0</v>
      </c>
      <c r="J42" s="51" t="s">
        <v>10</v>
      </c>
      <c r="L42" s="302"/>
    </row>
    <row r="43" spans="1:12" ht="15.75" thickBot="1" x14ac:dyDescent="0.3">
      <c r="A43" s="65" t="s">
        <v>87</v>
      </c>
      <c r="B43" s="136">
        <f t="shared" ref="B43:I43" si="4">SUM(B37:B42)</f>
        <v>0</v>
      </c>
      <c r="C43" s="136">
        <f t="shared" si="4"/>
        <v>747000</v>
      </c>
      <c r="D43" s="136">
        <f t="shared" si="4"/>
        <v>0</v>
      </c>
      <c r="E43" s="136">
        <f t="shared" si="4"/>
        <v>745000</v>
      </c>
      <c r="F43" s="136">
        <f t="shared" si="4"/>
        <v>0</v>
      </c>
      <c r="G43" s="136">
        <f t="shared" si="4"/>
        <v>810000</v>
      </c>
      <c r="H43" s="136">
        <f t="shared" si="4"/>
        <v>0</v>
      </c>
      <c r="I43" s="137">
        <f t="shared" si="4"/>
        <v>65000</v>
      </c>
      <c r="J43" s="51" t="s">
        <v>10</v>
      </c>
      <c r="L43" s="302"/>
    </row>
    <row r="44" spans="1:12" x14ac:dyDescent="0.2">
      <c r="A44" s="305" t="s">
        <v>13</v>
      </c>
      <c r="B44" s="304"/>
      <c r="C44" s="304"/>
      <c r="D44" s="304"/>
      <c r="E44" s="304"/>
      <c r="F44" s="304"/>
      <c r="G44" s="304"/>
      <c r="H44" s="304"/>
      <c r="I44" s="303"/>
      <c r="J44" s="51" t="s">
        <v>10</v>
      </c>
    </row>
    <row r="45" spans="1:12" x14ac:dyDescent="0.2">
      <c r="A45" s="142" t="s">
        <v>88</v>
      </c>
      <c r="B45" s="154">
        <v>0</v>
      </c>
      <c r="C45" s="154"/>
      <c r="D45" s="154">
        <v>0</v>
      </c>
      <c r="E45" s="154"/>
      <c r="F45" s="154">
        <v>0</v>
      </c>
      <c r="G45" s="154"/>
      <c r="H45" s="154">
        <f>F45-D45</f>
        <v>0</v>
      </c>
      <c r="I45" s="151"/>
      <c r="J45" s="51" t="s">
        <v>10</v>
      </c>
    </row>
    <row r="46" spans="1:12" x14ac:dyDescent="0.2">
      <c r="A46" s="142"/>
      <c r="B46" s="154"/>
      <c r="C46" s="154"/>
      <c r="D46" s="154"/>
      <c r="E46" s="154"/>
      <c r="F46" s="154"/>
      <c r="G46" s="154"/>
      <c r="H46" s="154"/>
      <c r="I46" s="151"/>
      <c r="J46" s="51" t="s">
        <v>10</v>
      </c>
      <c r="L46" s="302"/>
    </row>
    <row r="47" spans="1:12" x14ac:dyDescent="0.2">
      <c r="A47" s="142" t="s">
        <v>89</v>
      </c>
      <c r="B47" s="154"/>
      <c r="C47" s="154">
        <v>0</v>
      </c>
      <c r="D47" s="154"/>
      <c r="E47" s="154">
        <v>0</v>
      </c>
      <c r="F47" s="154"/>
      <c r="G47" s="154">
        <v>0</v>
      </c>
      <c r="H47" s="154"/>
      <c r="I47" s="151">
        <f>G47-E47</f>
        <v>0</v>
      </c>
      <c r="J47" s="51" t="s">
        <v>10</v>
      </c>
    </row>
    <row r="48" spans="1:12" ht="15" thickBot="1" x14ac:dyDescent="0.25">
      <c r="A48" s="301" t="s">
        <v>90</v>
      </c>
      <c r="B48" s="300"/>
      <c r="C48" s="300">
        <v>0</v>
      </c>
      <c r="D48" s="300"/>
      <c r="E48" s="300">
        <v>0</v>
      </c>
      <c r="F48" s="300"/>
      <c r="G48" s="300">
        <v>0</v>
      </c>
      <c r="H48" s="300"/>
      <c r="I48" s="299">
        <f>G48-E48</f>
        <v>0</v>
      </c>
      <c r="J48" s="51" t="s">
        <v>10</v>
      </c>
    </row>
    <row r="49" spans="1:10" x14ac:dyDescent="0.2">
      <c r="J49" s="51" t="s">
        <v>10</v>
      </c>
    </row>
    <row r="50" spans="1:10" x14ac:dyDescent="0.2">
      <c r="A50" s="298" t="s">
        <v>475</v>
      </c>
      <c r="J50" s="51" t="s">
        <v>11</v>
      </c>
    </row>
    <row r="52" spans="1:10" x14ac:dyDescent="0.2">
      <c r="F52" s="147"/>
    </row>
    <row r="53" spans="1:10" x14ac:dyDescent="0.2">
      <c r="D53" s="147"/>
      <c r="E53" s="147"/>
    </row>
  </sheetData>
  <customSheetViews>
    <customSheetView guid="{EE916FE7-61FB-4021-ADDD-E082241FC03C}" scale="90" showPageBreaks="1" printArea="1" view="pageBreakPreview">
      <pane xSplit="1" ySplit="7" topLeftCell="B8" activePane="bottomRight" state="frozen"/>
      <selection pane="bottomRight" activeCell="G54" sqref="G54"/>
      <pageMargins left="0.6" right="0.6" top="0.56999999999999995" bottom="0.55000000000000004" header="0.3" footer="0.3"/>
      <printOptions horizontalCentered="1"/>
      <pageSetup scale="72" orientation="landscape" r:id="rId1"/>
      <headerFooter>
        <oddHeader>&amp;L&amp;"Arial,Bold"&amp;12K. Summary of Requirements by Object Class</oddHeader>
        <oddFooter>&amp;C&amp;"Arial,Regular"Exhibit K - Summary of Requirements by Object Class&amp;R&amp;"Arial,Regular"Crime Victims Fund</oddFooter>
      </headerFooter>
    </customSheetView>
    <customSheetView guid="{0BB5DC4B-BC2A-4489-BE17-5E267FA1EF63}" scale="90" showPageBreaks="1" printArea="1" view="pageBreakPreview">
      <pane xSplit="1" ySplit="7" topLeftCell="B8" activePane="bottomRight" state="frozen"/>
      <selection pane="bottomRight" activeCell="G54" sqref="G54"/>
      <pageMargins left="0.6" right="0.6" top="0.56999999999999995" bottom="0.55000000000000004" header="0.3" footer="0.3"/>
      <printOptions horizontalCentered="1"/>
      <pageSetup scale="72" orientation="landscape" r:id="rId2"/>
      <headerFooter>
        <oddHeader>&amp;L&amp;"Arial,Bold"&amp;12K. Summary of Requirements by Object Class</oddHeader>
        <oddFooter>&amp;C&amp;"Arial,Regular"Exhibit K - Summary of Requirements by Object Class&amp;R&amp;"Arial,Regular"Crime Victims Fund</oddFooter>
      </headerFooter>
    </customSheetView>
    <customSheetView guid="{6C58FFE1-D756-42C4-A1BC-AA7F1DC1E56F}" scale="90" showPageBreaks="1" printArea="1" view="pageBreakPreview">
      <pane xSplit="1" ySplit="7" topLeftCell="B20" activePane="bottomRight" state="frozen"/>
      <selection pane="bottomRight" activeCell="G54" sqref="G54"/>
      <pageMargins left="0.6" right="0.6" top="0.56999999999999995" bottom="0.55000000000000004" header="0.3" footer="0.3"/>
      <printOptions horizontalCentered="1"/>
      <pageSetup scale="72" orientation="landscape" r:id="rId3"/>
      <headerFooter>
        <oddHeader>&amp;L&amp;"Arial,Bold"&amp;12K. Summary of Requirements by Object Class</oddHeader>
        <oddFooter>&amp;C&amp;"Arial,Regular"Exhibit K - Summary of Requirements by Object Class&amp;R&amp;"Arial,Regular"Crime Victims Fund</oddFooter>
      </headerFooter>
    </customSheetView>
    <customSheetView guid="{CFA5D1C9-F4C9-4B8D-923D-4C71CB6E7D3B}" scale="90" showPageBreaks="1" printArea="1" view="pageBreakPreview">
      <pane xSplit="1" ySplit="7" topLeftCell="B8" activePane="bottomRight" state="frozen"/>
      <selection pane="bottomRight" activeCell="G54" sqref="G54"/>
      <pageMargins left="0.6" right="0.6" top="0.56999999999999995" bottom="0.55000000000000004" header="0.3" footer="0.3"/>
      <printOptions horizontalCentered="1"/>
      <pageSetup scale="72" orientation="landscape" r:id="rId4"/>
      <headerFooter>
        <oddHeader>&amp;L&amp;"Arial,Bold"&amp;12K. Summary of Requirements by Object Class</oddHeader>
        <oddFooter>&amp;C&amp;"Arial,Regular"Exhibit K - Summary of Requirements by Object Class&amp;R&amp;"Arial,Regular"Crime Victims Fund</oddFooter>
      </headerFooter>
    </customSheetView>
    <customSheetView guid="{A788DF77-74F1-49E4-8B34-BFBDB7664F30}" scale="90" showPageBreaks="1" printArea="1" view="pageBreakPreview">
      <pane xSplit="1" ySplit="7" topLeftCell="B20" activePane="bottomRight" state="frozen"/>
      <selection pane="bottomRight" activeCell="G54" sqref="G54"/>
      <pageMargins left="0.6" right="0.6" top="0.56999999999999995" bottom="0.55000000000000004" header="0.3" footer="0.3"/>
      <printOptions horizontalCentered="1"/>
      <pageSetup scale="72" orientation="landscape" r:id="rId5"/>
      <headerFooter>
        <oddHeader>&amp;L&amp;"Arial,Bold"&amp;12K. Summary of Requirements by Object Class</oddHeader>
        <oddFooter>&amp;C&amp;"Arial,Regular"Exhibit K - Summary of Requirements by Object Class&amp;R&amp;"Arial,Regular"Crime Victims Fund</oddFooter>
      </headerFooter>
    </customSheetView>
  </customSheetViews>
  <mergeCells count="10">
    <mergeCell ref="A6:A7"/>
    <mergeCell ref="B6:C6"/>
    <mergeCell ref="D6:E6"/>
    <mergeCell ref="F6:G6"/>
    <mergeCell ref="H6:I6"/>
    <mergeCell ref="A1:I1"/>
    <mergeCell ref="A2:I2"/>
    <mergeCell ref="A3:I3"/>
    <mergeCell ref="A4:I4"/>
    <mergeCell ref="A5:I5"/>
  </mergeCells>
  <printOptions horizontalCentered="1"/>
  <pageMargins left="0.6" right="0.6" top="0.56999999999999995" bottom="0.55000000000000004" header="0.3" footer="0.3"/>
  <pageSetup scale="72" orientation="landscape" r:id="rId6"/>
  <headerFooter>
    <oddHeader>&amp;L&amp;"Arial,Bold"&amp;12K. Summary of Requirements by Object Class</oddHeader>
    <oddFooter>&amp;C&amp;"Arial,Regular"Exhibit K - Summary of Requirements by Object Class&amp;R&amp;"Arial,Regular"Crime Victims Fund</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view="pageBreakPreview" zoomScale="80" zoomScaleNormal="100" zoomScaleSheetLayoutView="80" workbookViewId="0">
      <selection activeCell="M19" sqref="M19"/>
    </sheetView>
  </sheetViews>
  <sheetFormatPr defaultRowHeight="15" x14ac:dyDescent="0.2"/>
  <cols>
    <col min="1" max="10" width="13.5703125" style="388" customWidth="1"/>
    <col min="11" max="16384" width="9.140625" style="388"/>
  </cols>
  <sheetData>
    <row r="1" spans="1:11" s="391" customFormat="1" ht="15.75" x14ac:dyDescent="0.25">
      <c r="A1" s="396"/>
      <c r="K1" s="392" t="s">
        <v>10</v>
      </c>
    </row>
    <row r="2" spans="1:11" s="391" customFormat="1" ht="20.25" x14ac:dyDescent="0.3">
      <c r="A2" s="665" t="s">
        <v>152</v>
      </c>
      <c r="B2" s="666"/>
      <c r="C2" s="666"/>
      <c r="D2" s="666"/>
      <c r="E2" s="666"/>
      <c r="F2" s="666"/>
      <c r="G2" s="666"/>
      <c r="H2" s="666"/>
      <c r="I2" s="666"/>
      <c r="J2" s="666"/>
      <c r="K2" s="392" t="s">
        <v>10</v>
      </c>
    </row>
    <row r="3" spans="1:11" s="391" customFormat="1" x14ac:dyDescent="0.2">
      <c r="A3" s="395"/>
      <c r="B3" s="395"/>
      <c r="C3" s="395"/>
      <c r="D3" s="395"/>
      <c r="E3" s="395"/>
      <c r="F3" s="395"/>
      <c r="G3" s="395"/>
      <c r="H3" s="395"/>
      <c r="I3" s="395"/>
      <c r="J3" s="395"/>
      <c r="K3" s="392" t="s">
        <v>10</v>
      </c>
    </row>
    <row r="4" spans="1:11" s="391" customFormat="1" ht="15.75" x14ac:dyDescent="0.25">
      <c r="A4" s="667"/>
      <c r="B4" s="668"/>
      <c r="C4" s="668"/>
      <c r="D4" s="668"/>
      <c r="E4" s="668"/>
      <c r="F4" s="668"/>
      <c r="G4" s="668"/>
      <c r="H4" s="668"/>
      <c r="I4" s="668"/>
      <c r="J4" s="668"/>
      <c r="K4" s="392" t="s">
        <v>10</v>
      </c>
    </row>
    <row r="5" spans="1:11" s="391" customFormat="1" x14ac:dyDescent="0.2">
      <c r="A5" s="669" t="s">
        <v>1</v>
      </c>
      <c r="B5" s="670"/>
      <c r="C5" s="670"/>
      <c r="D5" s="670"/>
      <c r="E5" s="670"/>
      <c r="F5" s="670"/>
      <c r="G5" s="670"/>
      <c r="H5" s="670"/>
      <c r="I5" s="670"/>
      <c r="J5" s="670"/>
      <c r="K5" s="392" t="s">
        <v>10</v>
      </c>
    </row>
    <row r="6" spans="1:11" s="391" customFormat="1" x14ac:dyDescent="0.2">
      <c r="A6" s="394"/>
      <c r="B6" s="394"/>
      <c r="C6" s="394"/>
      <c r="D6" s="394"/>
      <c r="E6" s="394"/>
      <c r="F6" s="394"/>
      <c r="G6" s="394"/>
      <c r="H6" s="394"/>
      <c r="I6" s="394"/>
      <c r="J6" s="394"/>
      <c r="K6" s="392" t="s">
        <v>10</v>
      </c>
    </row>
    <row r="7" spans="1:11" s="391" customFormat="1" ht="36.75" customHeight="1" x14ac:dyDescent="0.25">
      <c r="A7" s="671" t="s">
        <v>455</v>
      </c>
      <c r="B7" s="671"/>
      <c r="C7" s="671"/>
      <c r="D7" s="671"/>
      <c r="E7" s="671"/>
      <c r="F7" s="671"/>
      <c r="G7" s="671"/>
      <c r="H7" s="671"/>
      <c r="I7" s="671"/>
      <c r="J7" s="671"/>
      <c r="K7" s="392" t="s">
        <v>10</v>
      </c>
    </row>
    <row r="8" spans="1:11" s="391" customFormat="1" ht="15.75" x14ac:dyDescent="0.25">
      <c r="A8" s="393"/>
      <c r="B8" s="393"/>
      <c r="C8" s="393"/>
      <c r="D8" s="393"/>
      <c r="E8" s="393"/>
      <c r="F8" s="393"/>
      <c r="G8" s="393"/>
      <c r="H8" s="393"/>
      <c r="I8" s="393"/>
      <c r="J8" s="393"/>
      <c r="K8" s="392" t="s">
        <v>10</v>
      </c>
    </row>
    <row r="9" spans="1:11" s="537" customFormat="1" ht="71.25" customHeight="1" x14ac:dyDescent="0.25">
      <c r="A9" s="664" t="s">
        <v>454</v>
      </c>
      <c r="B9" s="664"/>
      <c r="C9" s="664"/>
      <c r="D9" s="664"/>
      <c r="E9" s="664"/>
      <c r="F9" s="664"/>
      <c r="G9" s="664"/>
      <c r="H9" s="664"/>
      <c r="I9" s="664"/>
      <c r="J9" s="664"/>
      <c r="K9" s="536" t="s">
        <v>10</v>
      </c>
    </row>
    <row r="10" spans="1:11" s="537" customFormat="1" ht="135.75" customHeight="1" x14ac:dyDescent="0.25">
      <c r="A10" s="664" t="s">
        <v>453</v>
      </c>
      <c r="B10" s="664"/>
      <c r="C10" s="664"/>
      <c r="D10" s="664"/>
      <c r="E10" s="664"/>
      <c r="F10" s="664"/>
      <c r="G10" s="664"/>
      <c r="H10" s="664"/>
      <c r="I10" s="664"/>
      <c r="J10" s="664"/>
      <c r="K10" s="536" t="s">
        <v>10</v>
      </c>
    </row>
    <row r="11" spans="1:11" s="537" customFormat="1" ht="87.75" customHeight="1" x14ac:dyDescent="0.25">
      <c r="A11" s="672" t="s">
        <v>452</v>
      </c>
      <c r="B11" s="672"/>
      <c r="C11" s="672"/>
      <c r="D11" s="672"/>
      <c r="E11" s="672"/>
      <c r="F11" s="672"/>
      <c r="G11" s="672"/>
      <c r="H11" s="672"/>
      <c r="I11" s="672"/>
      <c r="J11" s="672"/>
      <c r="K11" s="536" t="s">
        <v>10</v>
      </c>
    </row>
    <row r="12" spans="1:11" s="537" customFormat="1" ht="72" customHeight="1" x14ac:dyDescent="0.25">
      <c r="A12" s="672" t="s">
        <v>451</v>
      </c>
      <c r="B12" s="672"/>
      <c r="C12" s="672"/>
      <c r="D12" s="672"/>
      <c r="E12" s="672"/>
      <c r="F12" s="672"/>
      <c r="G12" s="672"/>
      <c r="H12" s="672"/>
      <c r="I12" s="672"/>
      <c r="J12" s="672"/>
      <c r="K12" s="536" t="s">
        <v>10</v>
      </c>
    </row>
    <row r="13" spans="1:11" s="537" customFormat="1" ht="74.25" customHeight="1" x14ac:dyDescent="0.25">
      <c r="A13" s="672" t="s">
        <v>450</v>
      </c>
      <c r="B13" s="672"/>
      <c r="C13" s="672"/>
      <c r="D13" s="672"/>
      <c r="E13" s="672"/>
      <c r="F13" s="672"/>
      <c r="G13" s="672"/>
      <c r="H13" s="672"/>
      <c r="I13" s="672"/>
      <c r="J13" s="672"/>
      <c r="K13" s="536" t="s">
        <v>10</v>
      </c>
    </row>
    <row r="14" spans="1:11" s="537" customFormat="1" ht="68.25" customHeight="1" x14ac:dyDescent="0.25">
      <c r="A14" s="672" t="s">
        <v>449</v>
      </c>
      <c r="B14" s="672"/>
      <c r="C14" s="672"/>
      <c r="D14" s="672"/>
      <c r="E14" s="672"/>
      <c r="F14" s="672"/>
      <c r="G14" s="672"/>
      <c r="H14" s="672"/>
      <c r="I14" s="672"/>
      <c r="J14" s="672"/>
      <c r="K14" s="536" t="s">
        <v>10</v>
      </c>
    </row>
    <row r="15" spans="1:11" s="537" customFormat="1" ht="90" customHeight="1" x14ac:dyDescent="0.25">
      <c r="A15" s="672" t="s">
        <v>448</v>
      </c>
      <c r="B15" s="672"/>
      <c r="C15" s="672"/>
      <c r="D15" s="672"/>
      <c r="E15" s="672"/>
      <c r="F15" s="672"/>
      <c r="G15" s="672"/>
      <c r="H15" s="672"/>
      <c r="I15" s="672"/>
      <c r="J15" s="672"/>
      <c r="K15" s="536" t="s">
        <v>10</v>
      </c>
    </row>
    <row r="16" spans="1:11" s="537" customFormat="1" ht="75" customHeight="1" x14ac:dyDescent="0.25">
      <c r="A16" s="672" t="s">
        <v>447</v>
      </c>
      <c r="B16" s="672"/>
      <c r="C16" s="672"/>
      <c r="D16" s="672"/>
      <c r="E16" s="672"/>
      <c r="F16" s="672"/>
      <c r="G16" s="672"/>
      <c r="H16" s="672"/>
      <c r="I16" s="672"/>
      <c r="J16" s="672"/>
      <c r="K16" s="536" t="s">
        <v>10</v>
      </c>
    </row>
    <row r="17" spans="1:11" s="537" customFormat="1" ht="102" customHeight="1" x14ac:dyDescent="0.25">
      <c r="A17" s="672" t="s">
        <v>446</v>
      </c>
      <c r="B17" s="672"/>
      <c r="C17" s="672"/>
      <c r="D17" s="672"/>
      <c r="E17" s="672"/>
      <c r="F17" s="672"/>
      <c r="G17" s="672"/>
      <c r="H17" s="672"/>
      <c r="I17" s="672"/>
      <c r="J17" s="672"/>
      <c r="K17" s="536" t="s">
        <v>10</v>
      </c>
    </row>
    <row r="18" spans="1:11" s="537" customFormat="1" ht="57" customHeight="1" x14ac:dyDescent="0.25">
      <c r="A18" s="672" t="s">
        <v>445</v>
      </c>
      <c r="B18" s="672"/>
      <c r="C18" s="672"/>
      <c r="D18" s="672"/>
      <c r="E18" s="672"/>
      <c r="F18" s="672"/>
      <c r="G18" s="672"/>
      <c r="H18" s="672"/>
      <c r="I18" s="672"/>
      <c r="J18" s="672"/>
      <c r="K18" s="536" t="s">
        <v>10</v>
      </c>
    </row>
    <row r="19" spans="1:11" s="537" customFormat="1" ht="72" customHeight="1" x14ac:dyDescent="0.25">
      <c r="A19" s="672" t="s">
        <v>444</v>
      </c>
      <c r="B19" s="672"/>
      <c r="C19" s="672"/>
      <c r="D19" s="672"/>
      <c r="E19" s="672"/>
      <c r="F19" s="672"/>
      <c r="G19" s="672"/>
      <c r="H19" s="672"/>
      <c r="I19" s="672"/>
      <c r="J19" s="672"/>
      <c r="K19" s="536" t="s">
        <v>10</v>
      </c>
    </row>
    <row r="20" spans="1:11" s="537" customFormat="1" ht="57.75" customHeight="1" x14ac:dyDescent="0.25">
      <c r="A20" s="672" t="s">
        <v>443</v>
      </c>
      <c r="B20" s="672"/>
      <c r="C20" s="672"/>
      <c r="D20" s="672"/>
      <c r="E20" s="672"/>
      <c r="F20" s="672"/>
      <c r="G20" s="672"/>
      <c r="H20" s="672"/>
      <c r="I20" s="672"/>
      <c r="J20" s="672"/>
      <c r="K20" s="536" t="s">
        <v>10</v>
      </c>
    </row>
    <row r="21" spans="1:11" s="537" customFormat="1" ht="132.75" customHeight="1" x14ac:dyDescent="0.25">
      <c r="A21" s="672" t="s">
        <v>598</v>
      </c>
      <c r="B21" s="672"/>
      <c r="C21" s="672"/>
      <c r="D21" s="672"/>
      <c r="E21" s="672"/>
      <c r="F21" s="672"/>
      <c r="G21" s="672"/>
      <c r="H21" s="672"/>
      <c r="I21" s="672"/>
      <c r="J21" s="672"/>
      <c r="K21" s="536" t="s">
        <v>10</v>
      </c>
    </row>
    <row r="22" spans="1:11" s="537" customFormat="1" ht="57" customHeight="1" x14ac:dyDescent="0.25">
      <c r="A22" s="672" t="s">
        <v>442</v>
      </c>
      <c r="B22" s="672"/>
      <c r="C22" s="672"/>
      <c r="D22" s="672"/>
      <c r="E22" s="672"/>
      <c r="F22" s="672"/>
      <c r="G22" s="672"/>
      <c r="H22" s="672"/>
      <c r="I22" s="672"/>
      <c r="J22" s="672"/>
      <c r="K22" s="536" t="s">
        <v>10</v>
      </c>
    </row>
    <row r="23" spans="1:11" s="537" customFormat="1" ht="132" customHeight="1" x14ac:dyDescent="0.25">
      <c r="A23" s="672" t="s">
        <v>441</v>
      </c>
      <c r="B23" s="672"/>
      <c r="C23" s="672"/>
      <c r="D23" s="672"/>
      <c r="E23" s="672"/>
      <c r="F23" s="672"/>
      <c r="G23" s="672"/>
      <c r="H23" s="672"/>
      <c r="I23" s="672"/>
      <c r="J23" s="672"/>
      <c r="K23" s="536" t="s">
        <v>10</v>
      </c>
    </row>
    <row r="24" spans="1:11" s="537" customFormat="1" ht="61.5" customHeight="1" x14ac:dyDescent="0.25">
      <c r="A24" s="672" t="s">
        <v>440</v>
      </c>
      <c r="B24" s="672"/>
      <c r="C24" s="672"/>
      <c r="D24" s="672"/>
      <c r="E24" s="672"/>
      <c r="F24" s="672"/>
      <c r="G24" s="672"/>
      <c r="H24" s="672"/>
      <c r="I24" s="672"/>
      <c r="J24" s="672"/>
      <c r="K24" s="536" t="s">
        <v>10</v>
      </c>
    </row>
    <row r="25" spans="1:11" s="539" customFormat="1" ht="72.75" customHeight="1" x14ac:dyDescent="0.25">
      <c r="A25" s="664" t="s">
        <v>439</v>
      </c>
      <c r="B25" s="664"/>
      <c r="C25" s="664"/>
      <c r="D25" s="664"/>
      <c r="E25" s="664"/>
      <c r="F25" s="664"/>
      <c r="G25" s="664"/>
      <c r="H25" s="664"/>
      <c r="I25" s="664"/>
      <c r="J25" s="664"/>
      <c r="K25" s="538" t="s">
        <v>10</v>
      </c>
    </row>
    <row r="26" spans="1:11" s="537" customFormat="1" ht="85.5" customHeight="1" x14ac:dyDescent="0.25">
      <c r="A26" s="672" t="s">
        <v>438</v>
      </c>
      <c r="B26" s="672"/>
      <c r="C26" s="672"/>
      <c r="D26" s="672"/>
      <c r="E26" s="672"/>
      <c r="F26" s="672"/>
      <c r="G26" s="672"/>
      <c r="H26" s="672"/>
      <c r="I26" s="672"/>
      <c r="J26" s="672"/>
      <c r="K26" s="536" t="s">
        <v>10</v>
      </c>
    </row>
    <row r="27" spans="1:11" s="537" customFormat="1" ht="85.5" customHeight="1" x14ac:dyDescent="0.25">
      <c r="A27" s="672" t="s">
        <v>600</v>
      </c>
      <c r="B27" s="672"/>
      <c r="C27" s="672"/>
      <c r="D27" s="672"/>
      <c r="E27" s="672"/>
      <c r="F27" s="672"/>
      <c r="G27" s="672"/>
      <c r="H27" s="672"/>
      <c r="I27" s="672"/>
      <c r="J27" s="672"/>
      <c r="K27" s="536" t="s">
        <v>10</v>
      </c>
    </row>
    <row r="28" spans="1:11" s="537" customFormat="1" ht="49.5" customHeight="1" x14ac:dyDescent="0.25">
      <c r="A28" s="672" t="s">
        <v>437</v>
      </c>
      <c r="B28" s="672"/>
      <c r="C28" s="672"/>
      <c r="D28" s="672"/>
      <c r="E28" s="672"/>
      <c r="F28" s="672"/>
      <c r="G28" s="672"/>
      <c r="H28" s="672"/>
      <c r="I28" s="672"/>
      <c r="J28" s="672"/>
      <c r="K28" s="536" t="s">
        <v>10</v>
      </c>
    </row>
    <row r="29" spans="1:11" s="537" customFormat="1" ht="53.25" customHeight="1" x14ac:dyDescent="0.25">
      <c r="A29" s="672" t="s">
        <v>436</v>
      </c>
      <c r="B29" s="672"/>
      <c r="C29" s="672"/>
      <c r="D29" s="672"/>
      <c r="E29" s="672"/>
      <c r="F29" s="672"/>
      <c r="G29" s="672"/>
      <c r="H29" s="672"/>
      <c r="I29" s="672"/>
      <c r="J29" s="672"/>
      <c r="K29" s="536" t="s">
        <v>10</v>
      </c>
    </row>
    <row r="30" spans="1:11" s="537" customFormat="1" ht="102" customHeight="1" x14ac:dyDescent="0.25">
      <c r="A30" s="672" t="s">
        <v>599</v>
      </c>
      <c r="B30" s="672"/>
      <c r="C30" s="672"/>
      <c r="D30" s="672"/>
      <c r="E30" s="672"/>
      <c r="F30" s="672"/>
      <c r="G30" s="672"/>
      <c r="H30" s="672"/>
      <c r="I30" s="672"/>
      <c r="J30" s="672"/>
      <c r="K30" s="536" t="s">
        <v>10</v>
      </c>
    </row>
    <row r="31" spans="1:11" s="537" customFormat="1" ht="70.5" customHeight="1" x14ac:dyDescent="0.25">
      <c r="A31" s="672" t="s">
        <v>601</v>
      </c>
      <c r="B31" s="672"/>
      <c r="C31" s="672"/>
      <c r="D31" s="672"/>
      <c r="E31" s="672"/>
      <c r="F31" s="672"/>
      <c r="G31" s="672"/>
      <c r="H31" s="672"/>
      <c r="I31" s="672"/>
      <c r="J31" s="672"/>
      <c r="K31" s="536" t="s">
        <v>11</v>
      </c>
    </row>
    <row r="32" spans="1:11" x14ac:dyDescent="0.2">
      <c r="A32" s="390"/>
      <c r="B32" s="390"/>
      <c r="C32" s="390"/>
      <c r="D32" s="390"/>
      <c r="E32" s="390"/>
      <c r="F32" s="390"/>
      <c r="G32" s="390"/>
      <c r="H32" s="390"/>
      <c r="I32" s="390"/>
      <c r="J32" s="390"/>
      <c r="K32" s="389"/>
    </row>
    <row r="33" spans="11:11" x14ac:dyDescent="0.2">
      <c r="K33" s="389"/>
    </row>
    <row r="34" spans="11:11" x14ac:dyDescent="0.2">
      <c r="K34" s="389"/>
    </row>
  </sheetData>
  <customSheetViews>
    <customSheetView guid="{EE916FE7-61FB-4021-ADDD-E082241FC03C}" scale="80" showPageBreaks="1" fitToPage="1" printArea="1" view="pageBreakPreview" topLeftCell="A28">
      <selection activeCell="A10" sqref="A10:J10"/>
      <rowBreaks count="6" manualBreakCount="6">
        <brk id="10" max="9" man="1"/>
        <brk id="13" max="9" man="1"/>
        <brk id="16" max="9" man="1"/>
        <brk id="19" max="9" man="1"/>
        <brk id="22" max="9" man="1"/>
        <brk id="25" max="9" man="1"/>
      </rowBreaks>
      <pageMargins left="0.75" right="0.75" top="1" bottom="1" header="0.5" footer="0.5"/>
      <pageSetup fitToHeight="0" orientation="landscape" r:id="rId1"/>
      <headerFooter alignWithMargins="0">
        <oddHeader xml:space="preserve">&amp;L&amp;"Arial,Bold"&amp;12L.  Status of Congressionally Requested Studies, Reports, and Evaluations
</oddHeader>
        <oddFooter>&amp;C&amp;"Arial,Regular"Exhibit L - Status of Congressionally Requested Studies, Reports, and Evaluations</oddFooter>
      </headerFooter>
    </customSheetView>
    <customSheetView guid="{0BB5DC4B-BC2A-4489-BE17-5E267FA1EF63}" scale="80" showPageBreaks="1" fitToPage="1" printArea="1" view="pageBreakPreview" topLeftCell="A28">
      <selection activeCell="A10" sqref="A10:J10"/>
      <rowBreaks count="6" manualBreakCount="6">
        <brk id="10" max="9" man="1"/>
        <brk id="13" max="9" man="1"/>
        <brk id="16" max="9" man="1"/>
        <brk id="19" max="9" man="1"/>
        <brk id="22" max="9" man="1"/>
        <brk id="25" max="9" man="1"/>
      </rowBreaks>
      <pageMargins left="0.75" right="0.75" top="1" bottom="1" header="0.5" footer="0.5"/>
      <pageSetup fitToHeight="0" orientation="landscape" r:id="rId2"/>
      <headerFooter alignWithMargins="0">
        <oddHeader xml:space="preserve">&amp;L&amp;"Arial,Bold"&amp;12L.  Status of Congressionally Requested Studies, Reports, and Evaluations
</oddHeader>
        <oddFooter>&amp;C&amp;"Arial,Regular"Exhibit L - Status of Congressionally Requested Studies, Reports, and Evaluations</oddFooter>
      </headerFooter>
    </customSheetView>
    <customSheetView guid="{6C58FFE1-D756-42C4-A1BC-AA7F1DC1E56F}" scale="80" showPageBreaks="1" fitToPage="1" printArea="1" view="pageBreakPreview">
      <selection activeCell="A12" sqref="A12:J12"/>
      <rowBreaks count="6" manualBreakCount="6">
        <brk id="10" max="9" man="1"/>
        <brk id="13" max="9" man="1"/>
        <brk id="16" max="9" man="1"/>
        <brk id="19" max="9" man="1"/>
        <brk id="22" max="9" man="1"/>
        <brk id="25" max="9" man="1"/>
      </rowBreaks>
      <pageMargins left="0.75" right="0.75" top="1" bottom="1" header="0.5" footer="0.5"/>
      <pageSetup fitToHeight="0" orientation="landscape" r:id="rId3"/>
      <headerFooter alignWithMargins="0">
        <oddHeader xml:space="preserve">&amp;L&amp;"Arial,Bold"&amp;12L.  Status of Congressionally Requested Studies, Reports, and Evaluations
</oddHeader>
        <oddFooter>&amp;C&amp;"Arial,Regular"Exhibit L - Status of Congressionally Requested Studies, Reports, and Evaluations</oddFooter>
      </headerFooter>
    </customSheetView>
    <customSheetView guid="{CFA5D1C9-F4C9-4B8D-923D-4C71CB6E7D3B}" scale="80" showPageBreaks="1" fitToPage="1" printArea="1" view="pageBreakPreview" topLeftCell="A28">
      <selection activeCell="A10" sqref="A10:J10"/>
      <rowBreaks count="6" manualBreakCount="6">
        <brk id="10" max="9" man="1"/>
        <brk id="13" max="9" man="1"/>
        <brk id="16" max="9" man="1"/>
        <brk id="19" max="9" man="1"/>
        <brk id="22" max="9" man="1"/>
        <brk id="25" max="9" man="1"/>
      </rowBreaks>
      <pageMargins left="0.75" right="0.75" top="1" bottom="1" header="0.5" footer="0.5"/>
      <pageSetup fitToHeight="0" orientation="landscape" r:id="rId4"/>
      <headerFooter alignWithMargins="0">
        <oddHeader xml:space="preserve">&amp;L&amp;"Arial,Bold"&amp;12L.  Status of Congressionally Requested Studies, Reports, and Evaluations
</oddHeader>
        <oddFooter>&amp;C&amp;"Arial,Regular"Exhibit L - Status of Congressionally Requested Studies, Reports, and Evaluations</oddFooter>
      </headerFooter>
    </customSheetView>
    <customSheetView guid="{A788DF77-74F1-49E4-8B34-BFBDB7664F30}" scale="80" showPageBreaks="1" fitToPage="1" printArea="1" view="pageBreakPreview">
      <selection activeCell="A12" sqref="A12:J12"/>
      <rowBreaks count="6" manualBreakCount="6">
        <brk id="10" max="9" man="1"/>
        <brk id="13" max="9" man="1"/>
        <brk id="16" max="9" man="1"/>
        <brk id="19" max="9" man="1"/>
        <brk id="22" max="9" man="1"/>
        <brk id="25" max="9" man="1"/>
      </rowBreaks>
      <pageMargins left="0.75" right="0.75" top="1" bottom="1" header="0.5" footer="0.5"/>
      <pageSetup fitToHeight="0" orientation="landscape" r:id="rId5"/>
      <headerFooter alignWithMargins="0">
        <oddHeader xml:space="preserve">&amp;L&amp;"Arial,Bold"&amp;12L.  Status of Congressionally Requested Studies, Reports, and Evaluations
</oddHeader>
        <oddFooter>&amp;C&amp;"Arial,Regular"Exhibit L - Status of Congressionally Requested Studies, Reports, and Evaluations</oddFooter>
      </headerFooter>
    </customSheetView>
  </customSheetViews>
  <mergeCells count="27">
    <mergeCell ref="A23:J23"/>
    <mergeCell ref="A24:J24"/>
    <mergeCell ref="A30:J30"/>
    <mergeCell ref="A31:J31"/>
    <mergeCell ref="A25:J25"/>
    <mergeCell ref="A26:J26"/>
    <mergeCell ref="A27:J27"/>
    <mergeCell ref="A28:J28"/>
    <mergeCell ref="A29:J29"/>
    <mergeCell ref="A22:J22"/>
    <mergeCell ref="A11:J11"/>
    <mergeCell ref="A12:J12"/>
    <mergeCell ref="A13:J13"/>
    <mergeCell ref="A14:J14"/>
    <mergeCell ref="A15:J15"/>
    <mergeCell ref="A16:J16"/>
    <mergeCell ref="A17:J17"/>
    <mergeCell ref="A18:J18"/>
    <mergeCell ref="A19:J19"/>
    <mergeCell ref="A20:J20"/>
    <mergeCell ref="A21:J21"/>
    <mergeCell ref="A10:J10"/>
    <mergeCell ref="A9:J9"/>
    <mergeCell ref="A2:J2"/>
    <mergeCell ref="A4:J4"/>
    <mergeCell ref="A5:J5"/>
    <mergeCell ref="A7:J7"/>
  </mergeCells>
  <printOptions horizontalCentered="1"/>
  <pageMargins left="0.5" right="0.25" top="0.75" bottom="0.5" header="0.5" footer="0.5"/>
  <pageSetup scale="78" fitToHeight="0" orientation="landscape" r:id="rId6"/>
  <headerFooter alignWithMargins="0">
    <oddHeader xml:space="preserve">&amp;L&amp;"Arial,Bold"&amp;12L.  Status of Congressionally Requested Studies, Reports, and Evaluations
</oddHeader>
    <oddFooter>&amp;C&amp;"Arial,Regular"Exhibit L - Status of Congressionally Requested Studies, Reports, and Evaluations</oddFooter>
  </headerFooter>
  <rowBreaks count="2" manualBreakCount="2">
    <brk id="13" max="9" man="1"/>
    <brk id="20" max="9"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2"/>
  <sheetViews>
    <sheetView view="pageBreakPreview" zoomScale="70" zoomScaleNormal="80" zoomScaleSheetLayoutView="70" workbookViewId="0">
      <pane xSplit="2" ySplit="1" topLeftCell="C94" activePane="bottomRight" state="frozen"/>
      <selection pane="topRight" activeCell="R1" sqref="R1"/>
      <selection pane="bottomLeft" activeCell="A10" sqref="A10"/>
      <selection pane="bottomRight" activeCell="A123" sqref="A123"/>
    </sheetView>
  </sheetViews>
  <sheetFormatPr defaultColWidth="25.28515625" defaultRowHeight="18.75" x14ac:dyDescent="0.3"/>
  <cols>
    <col min="1" max="1" width="95.5703125" style="447" customWidth="1"/>
    <col min="2" max="2" width="22.5703125" style="446" customWidth="1"/>
    <col min="3" max="3" width="19.5703125" style="446" customWidth="1"/>
    <col min="4" max="4" width="21.42578125" style="446" customWidth="1"/>
    <col min="5" max="16384" width="25.28515625" style="446"/>
  </cols>
  <sheetData>
    <row r="1" spans="1:5" ht="87.75" customHeight="1" x14ac:dyDescent="0.3">
      <c r="A1" s="540"/>
      <c r="B1" s="541" t="s">
        <v>597</v>
      </c>
      <c r="C1" s="541" t="s">
        <v>596</v>
      </c>
      <c r="D1" s="541" t="s">
        <v>595</v>
      </c>
      <c r="E1" s="542" t="s">
        <v>594</v>
      </c>
    </row>
    <row r="2" spans="1:5" ht="15.75" customHeight="1" x14ac:dyDescent="0.3">
      <c r="A2" s="543" t="s">
        <v>178</v>
      </c>
      <c r="B2" s="451"/>
      <c r="C2" s="451"/>
      <c r="D2" s="451"/>
      <c r="E2" s="544"/>
    </row>
    <row r="3" spans="1:5" ht="15.75" customHeight="1" x14ac:dyDescent="0.3">
      <c r="A3" s="545" t="s">
        <v>184</v>
      </c>
      <c r="B3" s="452">
        <v>45026.257708093057</v>
      </c>
      <c r="C3" s="451">
        <v>45000</v>
      </c>
      <c r="D3" s="451">
        <v>55400</v>
      </c>
      <c r="E3" s="544">
        <f t="shared" ref="E3:E17" si="0">D3-C3</f>
        <v>10400</v>
      </c>
    </row>
    <row r="4" spans="1:5" ht="15.75" customHeight="1" x14ac:dyDescent="0.3">
      <c r="A4" s="546" t="s">
        <v>593</v>
      </c>
      <c r="B4" s="462">
        <v>0</v>
      </c>
      <c r="C4" s="459">
        <v>0</v>
      </c>
      <c r="D4" s="459">
        <v>1000</v>
      </c>
      <c r="E4" s="547">
        <f t="shared" si="0"/>
        <v>1000</v>
      </c>
    </row>
    <row r="5" spans="1:5" ht="32.25" x14ac:dyDescent="0.3">
      <c r="A5" s="546" t="s">
        <v>592</v>
      </c>
      <c r="B5" s="462">
        <v>0</v>
      </c>
      <c r="C5" s="459">
        <v>0</v>
      </c>
      <c r="D5" s="459">
        <v>1500</v>
      </c>
      <c r="E5" s="547">
        <f t="shared" si="0"/>
        <v>1500</v>
      </c>
    </row>
    <row r="6" spans="1:5" x14ac:dyDescent="0.3">
      <c r="A6" s="546" t="s">
        <v>591</v>
      </c>
      <c r="B6" s="462">
        <v>24389.222925217073</v>
      </c>
      <c r="C6" s="459">
        <v>0</v>
      </c>
      <c r="D6" s="459">
        <v>0</v>
      </c>
      <c r="E6" s="547">
        <f t="shared" si="0"/>
        <v>0</v>
      </c>
    </row>
    <row r="7" spans="1:5" ht="15.75" customHeight="1" x14ac:dyDescent="0.3">
      <c r="A7" s="546" t="s">
        <v>590</v>
      </c>
      <c r="B7" s="462">
        <v>9380.4703558527199</v>
      </c>
      <c r="C7" s="459">
        <v>0</v>
      </c>
      <c r="D7" s="459">
        <v>0</v>
      </c>
      <c r="E7" s="547">
        <f t="shared" si="0"/>
        <v>0</v>
      </c>
    </row>
    <row r="8" spans="1:5" x14ac:dyDescent="0.3">
      <c r="A8" s="548" t="s">
        <v>589</v>
      </c>
      <c r="B8" s="451">
        <v>32831.646245484524</v>
      </c>
      <c r="C8" s="451">
        <v>30000</v>
      </c>
      <c r="D8" s="451">
        <v>25000</v>
      </c>
      <c r="E8" s="544">
        <f t="shared" si="0"/>
        <v>-5000</v>
      </c>
    </row>
    <row r="9" spans="1:5" ht="15.75" customHeight="1" x14ac:dyDescent="0.3">
      <c r="A9" s="548" t="s">
        <v>588</v>
      </c>
      <c r="B9" s="451">
        <v>40336.022530166701</v>
      </c>
      <c r="C9" s="451">
        <v>40000</v>
      </c>
      <c r="D9" s="451">
        <v>47500</v>
      </c>
      <c r="E9" s="544">
        <f t="shared" si="0"/>
        <v>7500</v>
      </c>
    </row>
    <row r="10" spans="1:5" ht="15.75" customHeight="1" x14ac:dyDescent="0.3">
      <c r="A10" s="546" t="s">
        <v>603</v>
      </c>
      <c r="B10" s="459">
        <v>0</v>
      </c>
      <c r="C10" s="459">
        <v>0</v>
      </c>
      <c r="D10" s="459">
        <v>2700</v>
      </c>
      <c r="E10" s="547">
        <f t="shared" si="0"/>
        <v>2700</v>
      </c>
    </row>
    <row r="11" spans="1:5" ht="17.25" customHeight="1" x14ac:dyDescent="0.3">
      <c r="A11" s="546" t="s">
        <v>587</v>
      </c>
      <c r="B11" s="459">
        <v>0</v>
      </c>
      <c r="C11" s="459">
        <v>0</v>
      </c>
      <c r="D11" s="459">
        <v>3000</v>
      </c>
      <c r="E11" s="547">
        <f t="shared" si="0"/>
        <v>3000</v>
      </c>
    </row>
    <row r="12" spans="1:5" ht="15.75" customHeight="1" x14ac:dyDescent="0.3">
      <c r="A12" s="546" t="s">
        <v>586</v>
      </c>
      <c r="B12" s="459">
        <v>4896.3377</v>
      </c>
      <c r="C12" s="459">
        <v>0</v>
      </c>
      <c r="D12" s="459"/>
      <c r="E12" s="547">
        <f t="shared" si="0"/>
        <v>0</v>
      </c>
    </row>
    <row r="13" spans="1:5" x14ac:dyDescent="0.3">
      <c r="A13" s="548" t="s">
        <v>168</v>
      </c>
      <c r="B13" s="459">
        <v>0</v>
      </c>
      <c r="C13" s="451">
        <v>4000</v>
      </c>
      <c r="D13" s="451">
        <v>6000</v>
      </c>
      <c r="E13" s="544">
        <f t="shared" si="0"/>
        <v>2000</v>
      </c>
    </row>
    <row r="14" spans="1:5" x14ac:dyDescent="0.3">
      <c r="A14" s="549" t="s">
        <v>585</v>
      </c>
      <c r="B14" s="459">
        <v>0</v>
      </c>
      <c r="C14" s="459">
        <v>1000</v>
      </c>
      <c r="D14" s="459">
        <v>0</v>
      </c>
      <c r="E14" s="547">
        <f t="shared" si="0"/>
        <v>-1000</v>
      </c>
    </row>
    <row r="15" spans="1:5" x14ac:dyDescent="0.3">
      <c r="A15" s="546" t="s">
        <v>584</v>
      </c>
      <c r="B15" s="459">
        <v>0</v>
      </c>
      <c r="C15" s="459">
        <v>3000</v>
      </c>
      <c r="D15" s="459">
        <v>3000</v>
      </c>
      <c r="E15" s="547">
        <f t="shared" si="0"/>
        <v>0</v>
      </c>
    </row>
    <row r="16" spans="1:5" s="465" customFormat="1" x14ac:dyDescent="0.3">
      <c r="A16" s="546" t="s">
        <v>583</v>
      </c>
      <c r="B16" s="459">
        <v>0</v>
      </c>
      <c r="C16" s="471">
        <v>0</v>
      </c>
      <c r="D16" s="471">
        <v>0</v>
      </c>
      <c r="E16" s="550">
        <f t="shared" si="0"/>
        <v>0</v>
      </c>
    </row>
    <row r="17" spans="1:5" s="465" customFormat="1" ht="19.5" x14ac:dyDescent="0.3">
      <c r="A17" s="545" t="s">
        <v>582</v>
      </c>
      <c r="B17" s="451">
        <v>938.04703558527206</v>
      </c>
      <c r="C17" s="469">
        <v>1000</v>
      </c>
      <c r="D17" s="469">
        <v>3000</v>
      </c>
      <c r="E17" s="551">
        <f t="shared" si="0"/>
        <v>2000</v>
      </c>
    </row>
    <row r="18" spans="1:5" s="465" customFormat="1" ht="15.75" customHeight="1" x14ac:dyDescent="0.3">
      <c r="A18" s="552" t="s">
        <v>581</v>
      </c>
      <c r="B18" s="455">
        <f>+B8+B3+B9+B17</f>
        <v>119131.97351932956</v>
      </c>
      <c r="C18" s="455">
        <f>+C8+C3+C9+C17+C13</f>
        <v>120000</v>
      </c>
      <c r="D18" s="455">
        <f>+D8+D3+D9+D17+D13</f>
        <v>136900</v>
      </c>
      <c r="E18" s="553">
        <f>+E8+E3+E9+E17+E13</f>
        <v>16900</v>
      </c>
    </row>
    <row r="19" spans="1:5" s="465" customFormat="1" ht="15.75" customHeight="1" x14ac:dyDescent="0.3">
      <c r="A19" s="548"/>
      <c r="B19" s="457"/>
      <c r="C19" s="469"/>
      <c r="D19" s="466"/>
      <c r="E19" s="554"/>
    </row>
    <row r="20" spans="1:5" s="465" customFormat="1" ht="15.75" customHeight="1" x14ac:dyDescent="0.3">
      <c r="A20" s="543" t="s">
        <v>282</v>
      </c>
      <c r="B20" s="451"/>
      <c r="C20" s="469"/>
      <c r="D20" s="469"/>
      <c r="E20" s="551"/>
    </row>
    <row r="21" spans="1:5" s="465" customFormat="1" ht="15.75" customHeight="1" x14ac:dyDescent="0.3">
      <c r="A21" s="548" t="s">
        <v>315</v>
      </c>
      <c r="B21" s="451">
        <v>18597.88874922528</v>
      </c>
      <c r="C21" s="451">
        <v>20000</v>
      </c>
      <c r="D21" s="469">
        <v>20000</v>
      </c>
      <c r="E21" s="551">
        <f t="shared" ref="E21:E52" si="1">D21-C21</f>
        <v>0</v>
      </c>
    </row>
    <row r="22" spans="1:5" s="465" customFormat="1" ht="15.75" customHeight="1" x14ac:dyDescent="0.3">
      <c r="A22" s="548" t="s">
        <v>314</v>
      </c>
      <c r="B22" s="451">
        <v>4649.4721873063199</v>
      </c>
      <c r="C22" s="469">
        <v>0</v>
      </c>
      <c r="D22" s="469">
        <v>0</v>
      </c>
      <c r="E22" s="551">
        <f t="shared" si="1"/>
        <v>0</v>
      </c>
    </row>
    <row r="23" spans="1:5" s="465" customFormat="1" ht="15.75" customHeight="1" x14ac:dyDescent="0.3">
      <c r="A23" s="548" t="s">
        <v>311</v>
      </c>
      <c r="B23" s="451">
        <v>19992.730405417176</v>
      </c>
      <c r="C23" s="469">
        <v>22500</v>
      </c>
      <c r="D23" s="469">
        <v>0</v>
      </c>
      <c r="E23" s="551">
        <f t="shared" si="1"/>
        <v>-22500</v>
      </c>
    </row>
    <row r="24" spans="1:5" s="465" customFormat="1" ht="15.75" customHeight="1" x14ac:dyDescent="0.3">
      <c r="A24" s="546" t="s">
        <v>313</v>
      </c>
      <c r="B24" s="459">
        <v>1468.90131</v>
      </c>
      <c r="C24" s="471">
        <v>1500</v>
      </c>
      <c r="D24" s="471">
        <v>0</v>
      </c>
      <c r="E24" s="550">
        <f t="shared" si="1"/>
        <v>-1500</v>
      </c>
    </row>
    <row r="25" spans="1:5" s="475" customFormat="1" ht="15.75" customHeight="1" x14ac:dyDescent="0.3">
      <c r="A25" s="548" t="s">
        <v>279</v>
      </c>
      <c r="B25" s="451">
        <v>17667.994311764014</v>
      </c>
      <c r="C25" s="469">
        <v>13500</v>
      </c>
      <c r="D25" s="469">
        <v>15000</v>
      </c>
      <c r="E25" s="551">
        <f t="shared" si="1"/>
        <v>1500</v>
      </c>
    </row>
    <row r="26" spans="1:5" s="465" customFormat="1" ht="15.75" customHeight="1" x14ac:dyDescent="0.3">
      <c r="A26" s="548" t="s">
        <v>278</v>
      </c>
      <c r="B26" s="451">
        <v>16738.099874302752</v>
      </c>
      <c r="C26" s="469">
        <v>10500</v>
      </c>
      <c r="D26" s="469">
        <v>29500</v>
      </c>
      <c r="E26" s="551">
        <f t="shared" si="1"/>
        <v>19000</v>
      </c>
    </row>
    <row r="27" spans="1:5" s="465" customFormat="1" ht="15.75" customHeight="1" x14ac:dyDescent="0.3">
      <c r="A27" s="548" t="s">
        <v>580</v>
      </c>
      <c r="B27" s="451">
        <v>364907.31535967428</v>
      </c>
      <c r="C27" s="469">
        <v>376000</v>
      </c>
      <c r="D27" s="469">
        <v>376000</v>
      </c>
      <c r="E27" s="551">
        <f t="shared" si="1"/>
        <v>0</v>
      </c>
    </row>
    <row r="28" spans="1:5" s="465" customFormat="1" ht="15.75" customHeight="1" x14ac:dyDescent="0.3">
      <c r="A28" s="546" t="s">
        <v>311</v>
      </c>
      <c r="B28" s="459">
        <v>0</v>
      </c>
      <c r="C28" s="471">
        <v>0</v>
      </c>
      <c r="D28" s="471">
        <v>22500</v>
      </c>
      <c r="E28" s="550">
        <f t="shared" si="1"/>
        <v>22500</v>
      </c>
    </row>
    <row r="29" spans="1:5" s="465" customFormat="1" ht="15.75" customHeight="1" x14ac:dyDescent="0.3">
      <c r="A29" s="546" t="s">
        <v>275</v>
      </c>
      <c r="B29" s="459">
        <v>5579.3666247675837</v>
      </c>
      <c r="C29" s="471">
        <v>0</v>
      </c>
      <c r="D29" s="471">
        <v>0</v>
      </c>
      <c r="E29" s="550">
        <f t="shared" si="1"/>
        <v>0</v>
      </c>
    </row>
    <row r="30" spans="1:5" s="465" customFormat="1" ht="15.75" customHeight="1" x14ac:dyDescent="0.3">
      <c r="A30" s="546" t="s">
        <v>310</v>
      </c>
      <c r="B30" s="459">
        <v>3719.5777498450561</v>
      </c>
      <c r="C30" s="459">
        <v>4000</v>
      </c>
      <c r="D30" s="471">
        <v>0</v>
      </c>
      <c r="E30" s="550">
        <f t="shared" si="1"/>
        <v>-4000</v>
      </c>
    </row>
    <row r="31" spans="1:5" s="465" customFormat="1" ht="15.75" customHeight="1" x14ac:dyDescent="0.3">
      <c r="A31" s="546" t="s">
        <v>309</v>
      </c>
      <c r="B31" s="459">
        <v>0</v>
      </c>
      <c r="C31" s="459">
        <v>5000</v>
      </c>
      <c r="D31" s="471">
        <v>10000</v>
      </c>
      <c r="E31" s="550">
        <f t="shared" si="1"/>
        <v>5000</v>
      </c>
    </row>
    <row r="32" spans="1:5" s="465" customFormat="1" ht="15.75" customHeight="1" x14ac:dyDescent="0.3">
      <c r="A32" s="546" t="s">
        <v>579</v>
      </c>
      <c r="B32" s="459">
        <v>0</v>
      </c>
      <c r="C32" s="459">
        <v>2500</v>
      </c>
      <c r="D32" s="471">
        <v>5000</v>
      </c>
      <c r="E32" s="550">
        <f t="shared" si="1"/>
        <v>2500</v>
      </c>
    </row>
    <row r="33" spans="1:5" s="465" customFormat="1" ht="15.75" customHeight="1" x14ac:dyDescent="0.3">
      <c r="A33" s="546" t="s">
        <v>307</v>
      </c>
      <c r="B33" s="459">
        <v>1859.7888749225281</v>
      </c>
      <c r="C33" s="459">
        <v>1000</v>
      </c>
      <c r="D33" s="471">
        <v>2000</v>
      </c>
      <c r="E33" s="550">
        <f t="shared" si="1"/>
        <v>1000</v>
      </c>
    </row>
    <row r="34" spans="1:5" s="465" customFormat="1" ht="15.75" customHeight="1" x14ac:dyDescent="0.3">
      <c r="A34" s="546" t="s">
        <v>578</v>
      </c>
      <c r="B34" s="459">
        <v>3719.5777498450561</v>
      </c>
      <c r="C34" s="459">
        <v>1000</v>
      </c>
      <c r="D34" s="471">
        <v>2000</v>
      </c>
      <c r="E34" s="550">
        <f t="shared" si="1"/>
        <v>1000</v>
      </c>
    </row>
    <row r="35" spans="1:5" s="465" customFormat="1" ht="15.75" customHeight="1" x14ac:dyDescent="0.3">
      <c r="A35" s="546" t="s">
        <v>305</v>
      </c>
      <c r="B35" s="459">
        <v>4649.4721873063199</v>
      </c>
      <c r="C35" s="459">
        <v>15000</v>
      </c>
      <c r="D35" s="471">
        <v>15000</v>
      </c>
      <c r="E35" s="550">
        <f t="shared" si="1"/>
        <v>0</v>
      </c>
    </row>
    <row r="36" spans="1:5" s="465" customFormat="1" ht="15.75" customHeight="1" x14ac:dyDescent="0.3">
      <c r="A36" s="546" t="s">
        <v>577</v>
      </c>
      <c r="B36" s="459">
        <v>0</v>
      </c>
      <c r="C36" s="459">
        <v>2500</v>
      </c>
      <c r="D36" s="471">
        <v>0</v>
      </c>
      <c r="E36" s="550">
        <f t="shared" si="1"/>
        <v>-2500</v>
      </c>
    </row>
    <row r="37" spans="1:5" s="472" customFormat="1" ht="15.75" customHeight="1" x14ac:dyDescent="0.3">
      <c r="A37" s="545" t="s">
        <v>576</v>
      </c>
      <c r="B37" s="451">
        <v>0</v>
      </c>
      <c r="C37" s="451">
        <v>0</v>
      </c>
      <c r="D37" s="451">
        <v>15000</v>
      </c>
      <c r="E37" s="544">
        <f t="shared" si="1"/>
        <v>15000</v>
      </c>
    </row>
    <row r="38" spans="1:5" s="465" customFormat="1" ht="15.75" customHeight="1" x14ac:dyDescent="0.3">
      <c r="A38" s="548" t="s">
        <v>268</v>
      </c>
      <c r="B38" s="451">
        <v>2557.2097030184764</v>
      </c>
      <c r="C38" s="451">
        <v>2000</v>
      </c>
      <c r="D38" s="469">
        <v>0</v>
      </c>
      <c r="E38" s="551">
        <f t="shared" si="1"/>
        <v>-2000</v>
      </c>
    </row>
    <row r="39" spans="1:5" s="465" customFormat="1" ht="15.75" customHeight="1" x14ac:dyDescent="0.3">
      <c r="A39" s="548" t="s">
        <v>575</v>
      </c>
      <c r="B39" s="451">
        <v>2789.6833123837919</v>
      </c>
      <c r="C39" s="451">
        <v>2000</v>
      </c>
      <c r="D39" s="469">
        <v>2000</v>
      </c>
      <c r="E39" s="551">
        <f t="shared" si="1"/>
        <v>0</v>
      </c>
    </row>
    <row r="40" spans="1:5" s="465" customFormat="1" ht="15.75" customHeight="1" x14ac:dyDescent="0.3">
      <c r="A40" s="548" t="s">
        <v>516</v>
      </c>
      <c r="B40" s="451">
        <v>0</v>
      </c>
      <c r="C40" s="451">
        <v>0</v>
      </c>
      <c r="D40" s="469">
        <v>5000</v>
      </c>
      <c r="E40" s="551">
        <f t="shared" si="1"/>
        <v>5000</v>
      </c>
    </row>
    <row r="41" spans="1:5" s="465" customFormat="1" ht="15.75" customHeight="1" x14ac:dyDescent="0.3">
      <c r="A41" s="548" t="s">
        <v>574</v>
      </c>
      <c r="B41" s="451">
        <v>0</v>
      </c>
      <c r="C41" s="451">
        <v>0</v>
      </c>
      <c r="D41" s="469">
        <v>35000</v>
      </c>
      <c r="E41" s="551">
        <f t="shared" si="1"/>
        <v>35000</v>
      </c>
    </row>
    <row r="42" spans="1:5" s="465" customFormat="1" ht="15.75" customHeight="1" x14ac:dyDescent="0.3">
      <c r="A42" s="548" t="s">
        <v>302</v>
      </c>
      <c r="B42" s="451">
        <v>0</v>
      </c>
      <c r="C42" s="451">
        <v>75000</v>
      </c>
      <c r="D42" s="469">
        <v>75000</v>
      </c>
      <c r="E42" s="551">
        <f t="shared" si="1"/>
        <v>0</v>
      </c>
    </row>
    <row r="43" spans="1:5" s="465" customFormat="1" ht="15.75" customHeight="1" x14ac:dyDescent="0.3">
      <c r="A43" s="546" t="s">
        <v>301</v>
      </c>
      <c r="B43" s="459">
        <v>0</v>
      </c>
      <c r="C43" s="459">
        <v>50000</v>
      </c>
      <c r="D43" s="471">
        <v>0</v>
      </c>
      <c r="E43" s="550">
        <f t="shared" si="1"/>
        <v>-50000</v>
      </c>
    </row>
    <row r="44" spans="1:5" s="465" customFormat="1" ht="15.75" customHeight="1" x14ac:dyDescent="0.3">
      <c r="A44" s="546" t="s">
        <v>300</v>
      </c>
      <c r="B44" s="459">
        <v>0</v>
      </c>
      <c r="C44" s="459">
        <v>25000</v>
      </c>
      <c r="D44" s="471">
        <v>0</v>
      </c>
      <c r="E44" s="550">
        <f t="shared" si="1"/>
        <v>-25000</v>
      </c>
    </row>
    <row r="45" spans="1:5" s="465" customFormat="1" ht="15.75" customHeight="1" x14ac:dyDescent="0.3">
      <c r="A45" s="548" t="s">
        <v>573</v>
      </c>
      <c r="B45" s="451">
        <v>5579.3666247675837</v>
      </c>
      <c r="C45" s="451">
        <v>6000</v>
      </c>
      <c r="D45" s="469">
        <v>6000</v>
      </c>
      <c r="E45" s="551">
        <f t="shared" si="1"/>
        <v>0</v>
      </c>
    </row>
    <row r="46" spans="1:5" s="465" customFormat="1" ht="19.5" x14ac:dyDescent="0.3">
      <c r="A46" s="548" t="s">
        <v>572</v>
      </c>
      <c r="B46" s="451">
        <v>116236.80468265801</v>
      </c>
      <c r="C46" s="451">
        <v>125000</v>
      </c>
      <c r="D46" s="469">
        <v>100000</v>
      </c>
      <c r="E46" s="551">
        <f t="shared" si="1"/>
        <v>-25000</v>
      </c>
    </row>
    <row r="47" spans="1:5" s="465" customFormat="1" ht="15.75" customHeight="1" x14ac:dyDescent="0.3">
      <c r="A47" s="546" t="s">
        <v>298</v>
      </c>
      <c r="B47" s="459">
        <v>108797.64918296789</v>
      </c>
      <c r="C47" s="459">
        <v>117000</v>
      </c>
      <c r="D47" s="471">
        <v>0</v>
      </c>
      <c r="E47" s="550">
        <f t="shared" si="1"/>
        <v>-117000</v>
      </c>
    </row>
    <row r="48" spans="1:5" s="465" customFormat="1" ht="15.75" customHeight="1" x14ac:dyDescent="0.3">
      <c r="A48" s="546" t="s">
        <v>297</v>
      </c>
      <c r="B48" s="459">
        <v>3719.5777498450561</v>
      </c>
      <c r="C48" s="459">
        <v>4000</v>
      </c>
      <c r="D48" s="471">
        <v>0</v>
      </c>
      <c r="E48" s="550">
        <f t="shared" si="1"/>
        <v>-4000</v>
      </c>
    </row>
    <row r="49" spans="1:5" s="465" customFormat="1" ht="15.75" customHeight="1" x14ac:dyDescent="0.3">
      <c r="A49" s="546" t="s">
        <v>296</v>
      </c>
      <c r="B49" s="459">
        <v>3719.5777498450561</v>
      </c>
      <c r="C49" s="459">
        <v>4000</v>
      </c>
      <c r="D49" s="471">
        <v>0</v>
      </c>
      <c r="E49" s="550">
        <f t="shared" si="1"/>
        <v>-4000</v>
      </c>
    </row>
    <row r="50" spans="1:5" s="465" customFormat="1" ht="15.75" customHeight="1" x14ac:dyDescent="0.3">
      <c r="A50" s="546" t="s">
        <v>295</v>
      </c>
      <c r="B50" s="459">
        <v>0</v>
      </c>
      <c r="C50" s="459">
        <v>0</v>
      </c>
      <c r="D50" s="471">
        <v>20000</v>
      </c>
      <c r="E50" s="550">
        <f t="shared" si="1"/>
        <v>20000</v>
      </c>
    </row>
    <row r="51" spans="1:5" s="465" customFormat="1" ht="15.75" customHeight="1" x14ac:dyDescent="0.3">
      <c r="A51" s="548" t="s">
        <v>571</v>
      </c>
      <c r="B51" s="451">
        <v>12088.627686996433</v>
      </c>
      <c r="C51" s="451">
        <v>8000</v>
      </c>
      <c r="D51" s="469">
        <v>23000</v>
      </c>
      <c r="E51" s="551">
        <f t="shared" si="1"/>
        <v>15000</v>
      </c>
    </row>
    <row r="52" spans="1:5" s="465" customFormat="1" ht="15.75" customHeight="1" x14ac:dyDescent="0.3">
      <c r="A52" s="548" t="s">
        <v>266</v>
      </c>
      <c r="B52" s="451">
        <v>38125.671935911821</v>
      </c>
      <c r="C52" s="451">
        <v>40500</v>
      </c>
      <c r="D52" s="469">
        <v>0</v>
      </c>
      <c r="E52" s="551">
        <f t="shared" si="1"/>
        <v>-40500</v>
      </c>
    </row>
    <row r="53" spans="1:5" s="465" customFormat="1" ht="15.75" customHeight="1" x14ac:dyDescent="0.3">
      <c r="A53" s="545" t="s">
        <v>294</v>
      </c>
      <c r="B53" s="451">
        <v>8369.0499371513761</v>
      </c>
      <c r="C53" s="451">
        <v>10000</v>
      </c>
      <c r="D53" s="469">
        <v>15000</v>
      </c>
      <c r="E53" s="551">
        <f t="shared" ref="E53:E83" si="2">D53-C53</f>
        <v>5000</v>
      </c>
    </row>
    <row r="54" spans="1:5" s="465" customFormat="1" ht="15.75" customHeight="1" x14ac:dyDescent="0.3">
      <c r="A54" s="546" t="s">
        <v>293</v>
      </c>
      <c r="B54" s="459">
        <v>3440.6094186066766</v>
      </c>
      <c r="C54" s="459">
        <v>0</v>
      </c>
      <c r="D54" s="471">
        <v>2500</v>
      </c>
      <c r="E54" s="550">
        <f t="shared" si="2"/>
        <v>2500</v>
      </c>
    </row>
    <row r="55" spans="1:5" s="465" customFormat="1" ht="15.75" customHeight="1" x14ac:dyDescent="0.3">
      <c r="A55" s="548" t="s">
        <v>292</v>
      </c>
      <c r="B55" s="451">
        <v>3254.6305311144238</v>
      </c>
      <c r="C55" s="451">
        <v>0</v>
      </c>
      <c r="D55" s="469">
        <v>0</v>
      </c>
      <c r="E55" s="551">
        <f t="shared" si="2"/>
        <v>0</v>
      </c>
    </row>
    <row r="56" spans="1:5" s="465" customFormat="1" ht="15.75" customHeight="1" x14ac:dyDescent="0.3">
      <c r="A56" s="548" t="s">
        <v>570</v>
      </c>
      <c r="B56" s="451">
        <v>35335.988623528028</v>
      </c>
      <c r="C56" s="451">
        <v>30000</v>
      </c>
      <c r="D56" s="469">
        <v>0</v>
      </c>
      <c r="E56" s="551">
        <f t="shared" si="2"/>
        <v>-30000</v>
      </c>
    </row>
    <row r="57" spans="1:5" s="465" customFormat="1" ht="15.75" customHeight="1" x14ac:dyDescent="0.3">
      <c r="A57" s="548" t="s">
        <v>467</v>
      </c>
      <c r="B57" s="451">
        <v>0</v>
      </c>
      <c r="C57" s="469">
        <v>0</v>
      </c>
      <c r="D57" s="469">
        <v>5400</v>
      </c>
      <c r="E57" s="551">
        <f t="shared" si="2"/>
        <v>5400</v>
      </c>
    </row>
    <row r="58" spans="1:5" s="465" customFormat="1" ht="15.75" customHeight="1" x14ac:dyDescent="0.3">
      <c r="A58" s="545" t="s">
        <v>264</v>
      </c>
      <c r="B58" s="451">
        <v>3719.5777498450561</v>
      </c>
      <c r="C58" s="451">
        <v>2000</v>
      </c>
      <c r="D58" s="469">
        <v>0</v>
      </c>
      <c r="E58" s="551">
        <f t="shared" si="2"/>
        <v>-2000</v>
      </c>
    </row>
    <row r="59" spans="1:5" s="465" customFormat="1" ht="15.75" customHeight="1" x14ac:dyDescent="0.3">
      <c r="A59" s="545" t="s">
        <v>275</v>
      </c>
      <c r="B59" s="451">
        <v>0</v>
      </c>
      <c r="C59" s="451">
        <v>27500</v>
      </c>
      <c r="D59" s="469">
        <v>30000</v>
      </c>
      <c r="E59" s="551">
        <f t="shared" si="2"/>
        <v>2500</v>
      </c>
    </row>
    <row r="60" spans="1:5" s="465" customFormat="1" ht="15.75" customHeight="1" x14ac:dyDescent="0.3">
      <c r="A60" s="546" t="s">
        <v>291</v>
      </c>
      <c r="B60" s="451">
        <v>0</v>
      </c>
      <c r="C60" s="459">
        <v>1000</v>
      </c>
      <c r="D60" s="471">
        <v>0</v>
      </c>
      <c r="E60" s="550">
        <f t="shared" si="2"/>
        <v>-1000</v>
      </c>
    </row>
    <row r="61" spans="1:5" s="465" customFormat="1" ht="16.5" customHeight="1" x14ac:dyDescent="0.3">
      <c r="A61" s="548" t="s">
        <v>263</v>
      </c>
      <c r="B61" s="451">
        <v>8369.0499371513761</v>
      </c>
      <c r="C61" s="451">
        <v>8250</v>
      </c>
      <c r="D61" s="469">
        <v>0</v>
      </c>
      <c r="E61" s="551">
        <f t="shared" si="2"/>
        <v>-8250</v>
      </c>
    </row>
    <row r="62" spans="1:5" s="465" customFormat="1" ht="15.75" customHeight="1" x14ac:dyDescent="0.3">
      <c r="A62" s="548" t="s">
        <v>262</v>
      </c>
      <c r="B62" s="451">
        <v>929.89443746126403</v>
      </c>
      <c r="C62" s="451">
        <v>750</v>
      </c>
      <c r="D62" s="469">
        <v>0</v>
      </c>
      <c r="E62" s="551">
        <f t="shared" si="2"/>
        <v>-750</v>
      </c>
    </row>
    <row r="63" spans="1:5" s="465" customFormat="1" ht="15.75" customHeight="1" x14ac:dyDescent="0.3">
      <c r="A63" s="548" t="s">
        <v>290</v>
      </c>
      <c r="B63" s="451">
        <v>0</v>
      </c>
      <c r="C63" s="451">
        <v>58500</v>
      </c>
      <c r="D63" s="469">
        <v>0</v>
      </c>
      <c r="E63" s="550">
        <f t="shared" si="2"/>
        <v>-58500</v>
      </c>
    </row>
    <row r="64" spans="1:5" s="465" customFormat="1" ht="19.5" x14ac:dyDescent="0.3">
      <c r="A64" s="548" t="s">
        <v>569</v>
      </c>
      <c r="B64" s="451">
        <v>5579.3666247675837</v>
      </c>
      <c r="C64" s="459">
        <v>46500</v>
      </c>
      <c r="D64" s="469">
        <v>50000</v>
      </c>
      <c r="E64" s="551">
        <f t="shared" si="2"/>
        <v>3500</v>
      </c>
    </row>
    <row r="65" spans="1:5" s="465" customFormat="1" ht="19.5" x14ac:dyDescent="0.3">
      <c r="A65" s="555" t="s">
        <v>568</v>
      </c>
      <c r="B65" s="451">
        <v>11158.733249535167</v>
      </c>
      <c r="C65" s="459">
        <v>12000</v>
      </c>
      <c r="D65" s="469">
        <v>5000</v>
      </c>
      <c r="E65" s="551">
        <f t="shared" si="2"/>
        <v>-7000</v>
      </c>
    </row>
    <row r="66" spans="1:5" s="465" customFormat="1" ht="15.75" customHeight="1" x14ac:dyDescent="0.3">
      <c r="A66" s="545" t="s">
        <v>289</v>
      </c>
      <c r="B66" s="451">
        <v>929.89443746126403</v>
      </c>
      <c r="C66" s="451">
        <v>1000</v>
      </c>
      <c r="D66" s="469">
        <v>1000</v>
      </c>
      <c r="E66" s="551">
        <f t="shared" si="2"/>
        <v>0</v>
      </c>
    </row>
    <row r="67" spans="1:5" s="465" customFormat="1" ht="19.5" x14ac:dyDescent="0.3">
      <c r="A67" s="548" t="s">
        <v>567</v>
      </c>
      <c r="B67" s="451">
        <v>11158.733249535167</v>
      </c>
      <c r="C67" s="451">
        <v>12000</v>
      </c>
      <c r="D67" s="469">
        <v>0</v>
      </c>
      <c r="E67" s="551">
        <f t="shared" si="2"/>
        <v>-12000</v>
      </c>
    </row>
    <row r="68" spans="1:5" s="465" customFormat="1" x14ac:dyDescent="0.3">
      <c r="A68" s="548" t="s">
        <v>288</v>
      </c>
      <c r="B68" s="451">
        <v>6509.2610622288475</v>
      </c>
      <c r="C68" s="451">
        <v>7000</v>
      </c>
      <c r="D68" s="469">
        <v>7000</v>
      </c>
      <c r="E68" s="551">
        <f t="shared" si="2"/>
        <v>0</v>
      </c>
    </row>
    <row r="69" spans="1:5" s="465" customFormat="1" ht="15.75" customHeight="1" x14ac:dyDescent="0.3">
      <c r="A69" s="548" t="s">
        <v>259</v>
      </c>
      <c r="B69" s="451">
        <v>11623.6804682658</v>
      </c>
      <c r="C69" s="451">
        <v>12500</v>
      </c>
      <c r="D69" s="469">
        <v>10500</v>
      </c>
      <c r="E69" s="551">
        <f t="shared" si="2"/>
        <v>-2000</v>
      </c>
    </row>
    <row r="70" spans="1:5" s="465" customFormat="1" ht="15.75" customHeight="1" x14ac:dyDescent="0.3">
      <c r="A70" s="545" t="s">
        <v>605</v>
      </c>
      <c r="B70" s="451">
        <v>0</v>
      </c>
      <c r="C70" s="451">
        <v>0</v>
      </c>
      <c r="D70" s="469">
        <v>44000</v>
      </c>
      <c r="E70" s="551">
        <f t="shared" si="2"/>
        <v>44000</v>
      </c>
    </row>
    <row r="71" spans="1:5" s="465" customFormat="1" ht="15.75" customHeight="1" x14ac:dyDescent="0.3">
      <c r="A71" s="545" t="s">
        <v>379</v>
      </c>
      <c r="B71" s="451">
        <v>0</v>
      </c>
      <c r="C71" s="451">
        <v>0</v>
      </c>
      <c r="D71" s="469">
        <v>9000</v>
      </c>
      <c r="E71" s="551">
        <f t="shared" si="2"/>
        <v>9000</v>
      </c>
    </row>
    <row r="72" spans="1:5" s="465" customFormat="1" ht="15.75" customHeight="1" x14ac:dyDescent="0.3">
      <c r="A72" s="545" t="s">
        <v>604</v>
      </c>
      <c r="B72" s="451">
        <v>0</v>
      </c>
      <c r="C72" s="451">
        <v>4000</v>
      </c>
      <c r="D72" s="469">
        <v>10000</v>
      </c>
      <c r="E72" s="551">
        <f t="shared" si="2"/>
        <v>6000</v>
      </c>
    </row>
    <row r="73" spans="1:5" s="465" customFormat="1" ht="15.75" customHeight="1" x14ac:dyDescent="0.3">
      <c r="A73" s="548" t="s">
        <v>271</v>
      </c>
      <c r="B73" s="451">
        <v>11623.6804682658</v>
      </c>
      <c r="C73" s="451">
        <v>10000</v>
      </c>
      <c r="D73" s="469">
        <v>14000</v>
      </c>
      <c r="E73" s="551">
        <f t="shared" si="2"/>
        <v>4000</v>
      </c>
    </row>
    <row r="74" spans="1:5" s="465" customFormat="1" ht="15.75" customHeight="1" x14ac:dyDescent="0.3">
      <c r="A74" s="545" t="s">
        <v>566</v>
      </c>
      <c r="B74" s="451">
        <v>63930.242575461896</v>
      </c>
      <c r="C74" s="451">
        <v>67750</v>
      </c>
      <c r="D74" s="469">
        <v>115000</v>
      </c>
      <c r="E74" s="551">
        <f t="shared" si="2"/>
        <v>47250</v>
      </c>
    </row>
    <row r="75" spans="1:5" s="465" customFormat="1" ht="15.75" customHeight="1" x14ac:dyDescent="0.3">
      <c r="A75" s="546" t="s">
        <v>565</v>
      </c>
      <c r="B75" s="459">
        <v>0</v>
      </c>
      <c r="C75" s="459">
        <v>2000</v>
      </c>
      <c r="D75" s="471">
        <v>5000</v>
      </c>
      <c r="E75" s="550">
        <f t="shared" si="2"/>
        <v>3000</v>
      </c>
    </row>
    <row r="76" spans="1:5" s="465" customFormat="1" ht="15.75" customHeight="1" x14ac:dyDescent="0.3">
      <c r="A76" s="546" t="s">
        <v>564</v>
      </c>
      <c r="B76" s="459">
        <v>0</v>
      </c>
      <c r="C76" s="459">
        <v>7500</v>
      </c>
      <c r="D76" s="471">
        <v>30000</v>
      </c>
      <c r="E76" s="550">
        <f t="shared" si="2"/>
        <v>22500</v>
      </c>
    </row>
    <row r="77" spans="1:5" s="465" customFormat="1" ht="15.75" customHeight="1" x14ac:dyDescent="0.3">
      <c r="A77" s="556" t="s">
        <v>563</v>
      </c>
      <c r="B77" s="459">
        <v>0</v>
      </c>
      <c r="C77" s="459">
        <v>5000</v>
      </c>
      <c r="D77" s="471">
        <v>10000</v>
      </c>
      <c r="E77" s="550">
        <f t="shared" si="2"/>
        <v>5000</v>
      </c>
    </row>
    <row r="78" spans="1:5" s="475" customFormat="1" ht="15.75" customHeight="1" x14ac:dyDescent="0.3">
      <c r="A78" s="546" t="s">
        <v>283</v>
      </c>
      <c r="B78" s="459">
        <v>4649.4721873063199</v>
      </c>
      <c r="C78" s="459">
        <v>6000</v>
      </c>
      <c r="D78" s="471">
        <v>10000</v>
      </c>
      <c r="E78" s="550">
        <f t="shared" si="2"/>
        <v>4000</v>
      </c>
    </row>
    <row r="79" spans="1:5" s="465" customFormat="1" ht="15.75" customHeight="1" x14ac:dyDescent="0.3">
      <c r="A79" s="548" t="s">
        <v>258</v>
      </c>
      <c r="B79" s="451">
        <v>237123.08155262232</v>
      </c>
      <c r="C79" s="451">
        <v>180000</v>
      </c>
      <c r="D79" s="469">
        <v>0</v>
      </c>
      <c r="E79" s="551">
        <f t="shared" si="2"/>
        <v>-180000</v>
      </c>
    </row>
    <row r="80" spans="1:5" s="465" customFormat="1" ht="15.75" customHeight="1" x14ac:dyDescent="0.3">
      <c r="A80" s="548" t="s">
        <v>257</v>
      </c>
      <c r="B80" s="451">
        <v>3719.5777498450561</v>
      </c>
      <c r="C80" s="451">
        <v>4000</v>
      </c>
      <c r="D80" s="469">
        <v>0</v>
      </c>
      <c r="E80" s="551">
        <f t="shared" si="2"/>
        <v>-4000</v>
      </c>
    </row>
    <row r="81" spans="1:5" s="465" customFormat="1" ht="15.75" customHeight="1" x14ac:dyDescent="0.3">
      <c r="A81" s="548" t="s">
        <v>256</v>
      </c>
      <c r="B81" s="451">
        <v>12553.574905727062</v>
      </c>
      <c r="C81" s="451">
        <v>14250</v>
      </c>
      <c r="D81" s="469">
        <v>10500</v>
      </c>
      <c r="E81" s="551">
        <f t="shared" si="2"/>
        <v>-3750</v>
      </c>
    </row>
    <row r="82" spans="1:5" s="465" customFormat="1" ht="15.75" customHeight="1" x14ac:dyDescent="0.3">
      <c r="A82" s="545" t="s">
        <v>562</v>
      </c>
      <c r="B82" s="451">
        <v>4649.4721873063199</v>
      </c>
      <c r="C82" s="451">
        <v>8500</v>
      </c>
      <c r="D82" s="469">
        <v>5000</v>
      </c>
      <c r="E82" s="551">
        <f t="shared" si="2"/>
        <v>-3500</v>
      </c>
    </row>
    <row r="83" spans="1:5" s="465" customFormat="1" ht="15.75" customHeight="1" x14ac:dyDescent="0.3">
      <c r="A83" s="548" t="s">
        <v>254</v>
      </c>
      <c r="B83" s="451">
        <v>0</v>
      </c>
      <c r="C83" s="451">
        <v>12500</v>
      </c>
      <c r="D83" s="469">
        <v>0</v>
      </c>
      <c r="E83" s="551">
        <f t="shared" si="2"/>
        <v>-12500</v>
      </c>
    </row>
    <row r="84" spans="1:5" s="465" customFormat="1" ht="15.75" customHeight="1" x14ac:dyDescent="0.3">
      <c r="A84" s="557" t="s">
        <v>561</v>
      </c>
      <c r="B84" s="455">
        <f>SUM(B57,B22,B23,B25,B26,B27,B38,B39,B45,B59,B46,B51,B52,B53,B55,B21,B56,B58,B61,B62,B64,B65,B66,B67,B68,B69,B73,B74,B82,B79,B81,B80)</f>
        <v>1060468.3545806999</v>
      </c>
      <c r="C84" s="455">
        <f>SUM(C57,C22,C23,C25,C26,C27,C37,C38,C39,C42,C45,C59,C46,C51,C52,C53,C55,C21,C56,C58,C61,C62,C64,C65,C66,C67,C68,C69,C70,C72,C73,C74,C82,C79,C81,C80,C83)</f>
        <v>1171500</v>
      </c>
      <c r="D84" s="474">
        <f>SUM(D21,D25,D26,D27,D37,D39,D40,D41,D42,D45,D46,D51,D53,D57,D59,D64,D65,D66,D67,D68,D69,D70,D71,D72,D73,D74,D82,D81,D83)</f>
        <v>1032900</v>
      </c>
      <c r="E84" s="558">
        <f>SUM(E21,E23,E25,E26,E27,E37,E38,E39,E40,E41,E42,E45,E46,E51,E52,E53,E56,E57,E58,E59,E61,E62,E64,E65,E66,E67,E68,E69,E70,E71,E72,E73,E74,E82,E79,E80,E81,E83)</f>
        <v>-138600</v>
      </c>
    </row>
    <row r="85" spans="1:5" s="473" customFormat="1" ht="15.75" customHeight="1" x14ac:dyDescent="0.3">
      <c r="A85" s="552"/>
      <c r="B85" s="463"/>
      <c r="C85" s="463"/>
      <c r="D85" s="466"/>
      <c r="E85" s="554"/>
    </row>
    <row r="86" spans="1:5" s="465" customFormat="1" ht="15.75" customHeight="1" x14ac:dyDescent="0.3">
      <c r="A86" s="543" t="s">
        <v>560</v>
      </c>
      <c r="B86" s="451"/>
      <c r="C86" s="451"/>
      <c r="D86" s="469"/>
      <c r="E86" s="551"/>
    </row>
    <row r="87" spans="1:5" s="465" customFormat="1" ht="15.75" customHeight="1" x14ac:dyDescent="0.3">
      <c r="A87" s="548" t="s">
        <v>413</v>
      </c>
      <c r="B87" s="451">
        <v>1400.448746272428</v>
      </c>
      <c r="C87" s="451">
        <v>1500</v>
      </c>
      <c r="D87" s="469">
        <v>1500</v>
      </c>
      <c r="E87" s="551">
        <f t="shared" ref="E87:E105" si="3">D87-C87</f>
        <v>0</v>
      </c>
    </row>
    <row r="88" spans="1:5" s="465" customFormat="1" ht="18.75" customHeight="1" x14ac:dyDescent="0.3">
      <c r="A88" s="548" t="s">
        <v>559</v>
      </c>
      <c r="B88" s="451">
        <v>0</v>
      </c>
      <c r="C88" s="451">
        <v>500</v>
      </c>
      <c r="D88" s="469">
        <v>500</v>
      </c>
      <c r="E88" s="551">
        <f t="shared" si="3"/>
        <v>0</v>
      </c>
    </row>
    <row r="89" spans="1:5" s="465" customFormat="1" ht="15.75" customHeight="1" x14ac:dyDescent="0.3">
      <c r="A89" s="548" t="s">
        <v>396</v>
      </c>
      <c r="B89" s="451">
        <v>10269.957472664473</v>
      </c>
      <c r="C89" s="451">
        <v>5500</v>
      </c>
      <c r="D89" s="469">
        <v>18000</v>
      </c>
      <c r="E89" s="551">
        <f t="shared" si="3"/>
        <v>12500</v>
      </c>
    </row>
    <row r="90" spans="1:5" s="465" customFormat="1" ht="15.75" customHeight="1" x14ac:dyDescent="0.3">
      <c r="A90" s="548" t="s">
        <v>395</v>
      </c>
      <c r="B90" s="451">
        <v>18672.649950299041</v>
      </c>
      <c r="C90" s="451">
        <v>15000</v>
      </c>
      <c r="D90" s="469">
        <v>42000</v>
      </c>
      <c r="E90" s="551">
        <f t="shared" si="3"/>
        <v>27000</v>
      </c>
    </row>
    <row r="91" spans="1:5" s="465" customFormat="1" ht="15.75" customHeight="1" x14ac:dyDescent="0.3">
      <c r="A91" s="546" t="s">
        <v>411</v>
      </c>
      <c r="B91" s="459">
        <v>4668.1624875747602</v>
      </c>
      <c r="C91" s="459">
        <v>2500</v>
      </c>
      <c r="D91" s="471">
        <v>0</v>
      </c>
      <c r="E91" s="550">
        <f t="shared" si="3"/>
        <v>-2500</v>
      </c>
    </row>
    <row r="92" spans="1:5" s="465" customFormat="1" ht="15.75" customHeight="1" x14ac:dyDescent="0.3">
      <c r="A92" s="546" t="s">
        <v>410</v>
      </c>
      <c r="B92" s="459">
        <v>4668.1624875747602</v>
      </c>
      <c r="C92" s="459">
        <v>2500</v>
      </c>
      <c r="D92" s="471">
        <v>0</v>
      </c>
      <c r="E92" s="550">
        <f t="shared" si="3"/>
        <v>-2500</v>
      </c>
    </row>
    <row r="93" spans="1:5" s="465" customFormat="1" ht="15.75" customHeight="1" x14ac:dyDescent="0.3">
      <c r="A93" s="546" t="s">
        <v>558</v>
      </c>
      <c r="B93" s="459">
        <v>0</v>
      </c>
      <c r="C93" s="459">
        <v>5000</v>
      </c>
      <c r="D93" s="471">
        <v>10000</v>
      </c>
      <c r="E93" s="550">
        <f t="shared" si="3"/>
        <v>5000</v>
      </c>
    </row>
    <row r="94" spans="1:5" s="465" customFormat="1" ht="15.75" customHeight="1" x14ac:dyDescent="0.3">
      <c r="A94" s="546" t="s">
        <v>408</v>
      </c>
      <c r="B94" s="459">
        <v>9336.3249751495205</v>
      </c>
      <c r="C94" s="459">
        <v>5000</v>
      </c>
      <c r="D94" s="471">
        <v>0</v>
      </c>
      <c r="E94" s="550">
        <f t="shared" si="3"/>
        <v>-5000</v>
      </c>
    </row>
    <row r="95" spans="1:5" s="465" customFormat="1" ht="15.75" customHeight="1" x14ac:dyDescent="0.3">
      <c r="A95" s="548" t="s">
        <v>557</v>
      </c>
      <c r="B95" s="451">
        <v>0</v>
      </c>
      <c r="C95" s="451">
        <v>1000</v>
      </c>
      <c r="D95" s="469">
        <v>2000</v>
      </c>
      <c r="E95" s="551">
        <f t="shared" si="3"/>
        <v>1000</v>
      </c>
    </row>
    <row r="96" spans="1:5" s="465" customFormat="1" x14ac:dyDescent="0.3">
      <c r="A96" s="548" t="s">
        <v>406</v>
      </c>
      <c r="B96" s="451">
        <v>0</v>
      </c>
      <c r="C96" s="451">
        <v>0</v>
      </c>
      <c r="D96" s="469">
        <v>5400</v>
      </c>
      <c r="E96" s="551">
        <f t="shared" si="3"/>
        <v>5400</v>
      </c>
    </row>
    <row r="97" spans="1:5" s="465" customFormat="1" ht="15.75" customHeight="1" x14ac:dyDescent="0.3">
      <c r="A97" s="548" t="s">
        <v>556</v>
      </c>
      <c r="B97" s="451">
        <v>23340.812437873799</v>
      </c>
      <c r="C97" s="451"/>
      <c r="D97" s="469">
        <v>30000</v>
      </c>
      <c r="E97" s="551">
        <f t="shared" si="3"/>
        <v>30000</v>
      </c>
    </row>
    <row r="98" spans="1:5" s="472" customFormat="1" ht="15.75" customHeight="1" x14ac:dyDescent="0.3">
      <c r="A98" s="548" t="s">
        <v>555</v>
      </c>
      <c r="B98" s="451">
        <v>0</v>
      </c>
      <c r="C98" s="451"/>
      <c r="D98" s="451">
        <v>10000</v>
      </c>
      <c r="E98" s="544">
        <f t="shared" si="3"/>
        <v>10000</v>
      </c>
    </row>
    <row r="99" spans="1:5" s="465" customFormat="1" ht="19.5" x14ac:dyDescent="0.3">
      <c r="A99" s="548" t="s">
        <v>554</v>
      </c>
      <c r="B99" s="451">
        <v>62553.37733350179</v>
      </c>
      <c r="C99" s="451">
        <v>67000</v>
      </c>
      <c r="D99" s="469">
        <v>67000</v>
      </c>
      <c r="E99" s="551">
        <f t="shared" si="3"/>
        <v>0</v>
      </c>
    </row>
    <row r="100" spans="1:5" s="465" customFormat="1" ht="15.75" customHeight="1" x14ac:dyDescent="0.3">
      <c r="A100" s="548" t="s">
        <v>390</v>
      </c>
      <c r="B100" s="451">
        <v>1867.2649950299042</v>
      </c>
      <c r="C100" s="451">
        <v>1000</v>
      </c>
      <c r="D100" s="469">
        <v>4000</v>
      </c>
      <c r="E100" s="551">
        <f t="shared" si="3"/>
        <v>3000</v>
      </c>
    </row>
    <row r="101" spans="1:5" s="465" customFormat="1" ht="15.75" customHeight="1" x14ac:dyDescent="0.3">
      <c r="A101" s="548" t="s">
        <v>553</v>
      </c>
      <c r="B101" s="451">
        <v>41079.829890657893</v>
      </c>
      <c r="C101" s="451">
        <v>55500</v>
      </c>
      <c r="D101" s="469">
        <v>50000</v>
      </c>
      <c r="E101" s="551">
        <f t="shared" si="3"/>
        <v>-5500</v>
      </c>
    </row>
    <row r="102" spans="1:5" s="465" customFormat="1" ht="15.75" customHeight="1" x14ac:dyDescent="0.3">
      <c r="A102" s="546" t="s">
        <v>401</v>
      </c>
      <c r="B102" s="459">
        <v>466.81624875747605</v>
      </c>
      <c r="C102" s="459">
        <v>500</v>
      </c>
      <c r="D102" s="471">
        <v>0</v>
      </c>
      <c r="E102" s="550">
        <f t="shared" si="3"/>
        <v>-500</v>
      </c>
    </row>
    <row r="103" spans="1:5" s="465" customFormat="1" ht="15.75" customHeight="1" x14ac:dyDescent="0.3">
      <c r="A103" s="546" t="s">
        <v>400</v>
      </c>
      <c r="B103" s="459">
        <v>0</v>
      </c>
      <c r="C103" s="459">
        <v>10000</v>
      </c>
      <c r="D103" s="471">
        <v>0</v>
      </c>
      <c r="E103" s="550">
        <f t="shared" si="3"/>
        <v>-10000</v>
      </c>
    </row>
    <row r="104" spans="1:5" s="465" customFormat="1" ht="15.75" customHeight="1" x14ac:dyDescent="0.3">
      <c r="A104" s="548" t="s">
        <v>388</v>
      </c>
      <c r="B104" s="451">
        <v>17739.017452784086</v>
      </c>
      <c r="C104" s="451">
        <v>19000</v>
      </c>
      <c r="D104" s="469">
        <v>11000</v>
      </c>
      <c r="E104" s="551">
        <f t="shared" si="3"/>
        <v>-8000</v>
      </c>
    </row>
    <row r="105" spans="1:5" s="465" customFormat="1" ht="15.75" customHeight="1" x14ac:dyDescent="0.3">
      <c r="A105" s="548" t="s">
        <v>387</v>
      </c>
      <c r="B105" s="451">
        <v>84026.924776345666</v>
      </c>
      <c r="C105" s="451">
        <v>88500</v>
      </c>
      <c r="D105" s="469">
        <v>58000</v>
      </c>
      <c r="E105" s="551">
        <f t="shared" si="3"/>
        <v>-30500</v>
      </c>
    </row>
    <row r="106" spans="1:5" s="470" customFormat="1" ht="15.75" customHeight="1" x14ac:dyDescent="0.3">
      <c r="A106" s="552" t="s">
        <v>552</v>
      </c>
      <c r="B106" s="450">
        <f>SUM(B87,B89,B90,B96,B97,B99,B100,B101,B104,B105)</f>
        <v>260950.28305542908</v>
      </c>
      <c r="C106" s="450">
        <f>SUM(C87,C88,C89,C90,C95,C99,C100,C101,C104,C105)</f>
        <v>254500</v>
      </c>
      <c r="D106" s="449">
        <f>SUM(D87,D88,D89,D95,D90,D96,D97,D99,D98,D100,D101,D104,D105)</f>
        <v>299400</v>
      </c>
      <c r="E106" s="559">
        <f>SUM(E87,E88,E89,E95,E90,E96,E97,E99,E98,E100,E101,E104,E105)</f>
        <v>44900</v>
      </c>
    </row>
    <row r="107" spans="1:5" s="465" customFormat="1" ht="15.75" hidden="1" customHeight="1" x14ac:dyDescent="0.3">
      <c r="A107" s="560"/>
      <c r="B107" s="463"/>
      <c r="C107" s="451"/>
      <c r="D107" s="466"/>
      <c r="E107" s="554"/>
    </row>
    <row r="108" spans="1:5" s="465" customFormat="1" ht="15.75" customHeight="1" x14ac:dyDescent="0.3">
      <c r="A108" s="543" t="s">
        <v>424</v>
      </c>
      <c r="B108" s="451"/>
      <c r="C108" s="451"/>
      <c r="D108" s="469"/>
      <c r="E108" s="551"/>
    </row>
    <row r="109" spans="1:5" s="465" customFormat="1" ht="15.75" customHeight="1" x14ac:dyDescent="0.3">
      <c r="A109" s="548" t="s">
        <v>551</v>
      </c>
      <c r="B109" s="456">
        <v>15962.06</v>
      </c>
      <c r="C109" s="456">
        <v>16300</v>
      </c>
      <c r="D109" s="468">
        <v>16300</v>
      </c>
      <c r="E109" s="561">
        <f>D109-C109</f>
        <v>0</v>
      </c>
    </row>
    <row r="110" spans="1:5" s="467" customFormat="1" ht="15.75" customHeight="1" x14ac:dyDescent="0.3">
      <c r="A110" s="552" t="s">
        <v>550</v>
      </c>
      <c r="B110" s="455">
        <v>15962.06</v>
      </c>
      <c r="C110" s="450">
        <f>C109</f>
        <v>16300</v>
      </c>
      <c r="D110" s="449">
        <f>D109</f>
        <v>16300</v>
      </c>
      <c r="E110" s="559">
        <f>E109</f>
        <v>0</v>
      </c>
    </row>
    <row r="111" spans="1:5" s="465" customFormat="1" ht="15.75" customHeight="1" x14ac:dyDescent="0.3">
      <c r="A111" s="562"/>
      <c r="B111" s="451"/>
      <c r="C111" s="451"/>
      <c r="D111" s="466"/>
      <c r="E111" s="554"/>
    </row>
    <row r="112" spans="1:5" s="448" customFormat="1" ht="15.75" customHeight="1" x14ac:dyDescent="0.3">
      <c r="A112" s="552" t="s">
        <v>549</v>
      </c>
      <c r="B112" s="450">
        <f>+B110+B106+B84+B18</f>
        <v>1456512.6711554588</v>
      </c>
      <c r="C112" s="450">
        <f>+C110+C106+C84+C18</f>
        <v>1562300</v>
      </c>
      <c r="D112" s="450">
        <f>+D110+D106+D84+D18</f>
        <v>1485500</v>
      </c>
      <c r="E112" s="563">
        <f>+E110+E106+E84+E18</f>
        <v>-76800</v>
      </c>
    </row>
    <row r="113" spans="1:5" s="448" customFormat="1" ht="15.75" customHeight="1" x14ac:dyDescent="0.3">
      <c r="A113" s="552"/>
      <c r="B113" s="450"/>
      <c r="C113" s="464"/>
      <c r="D113" s="457"/>
      <c r="E113" s="564"/>
    </row>
    <row r="114" spans="1:5" ht="15.75" customHeight="1" x14ac:dyDescent="0.3">
      <c r="A114" s="565" t="s">
        <v>548</v>
      </c>
      <c r="B114" s="459">
        <v>0</v>
      </c>
      <c r="C114" s="459">
        <v>0</v>
      </c>
      <c r="D114" s="459">
        <f>SUM(D112-D110)*7%</f>
        <v>102844.00000000001</v>
      </c>
      <c r="E114" s="547">
        <f t="shared" ref="E114:E119" si="4">D114-C114</f>
        <v>102844.00000000001</v>
      </c>
    </row>
    <row r="115" spans="1:5" ht="15.75" customHeight="1" x14ac:dyDescent="0.3">
      <c r="A115" s="565" t="s">
        <v>547</v>
      </c>
      <c r="B115" s="459">
        <f>(SUM(+B112)-B110-B9-B3)*2%</f>
        <v>27103.76661834398</v>
      </c>
      <c r="C115" s="459">
        <f>(SUM(C112)-C3-C9-C110-C13-C30-C36-C42)*2%</f>
        <v>27510</v>
      </c>
      <c r="D115" s="459">
        <f>(SUM(D112)-D3-D9-D110-D15)*3%</f>
        <v>40899</v>
      </c>
      <c r="E115" s="547">
        <f t="shared" si="4"/>
        <v>13389</v>
      </c>
    </row>
    <row r="116" spans="1:5" ht="15.75" customHeight="1" x14ac:dyDescent="0.3">
      <c r="A116" s="566" t="s">
        <v>546</v>
      </c>
      <c r="B116" s="459">
        <v>1300</v>
      </c>
      <c r="C116" s="459">
        <v>0</v>
      </c>
      <c r="D116" s="459">
        <v>0</v>
      </c>
      <c r="E116" s="547">
        <f t="shared" si="4"/>
        <v>0</v>
      </c>
    </row>
    <row r="117" spans="1:5" ht="15.75" customHeight="1" x14ac:dyDescent="0.3">
      <c r="A117" s="566" t="s">
        <v>545</v>
      </c>
      <c r="B117" s="459">
        <v>0</v>
      </c>
      <c r="C117" s="451">
        <v>0</v>
      </c>
      <c r="D117" s="459">
        <v>2000</v>
      </c>
      <c r="E117" s="547">
        <f t="shared" si="4"/>
        <v>2000</v>
      </c>
    </row>
    <row r="118" spans="1:5" ht="15.75" customHeight="1" x14ac:dyDescent="0.3">
      <c r="A118" s="566" t="s">
        <v>544</v>
      </c>
      <c r="B118" s="459">
        <v>0</v>
      </c>
      <c r="C118" s="459">
        <v>250</v>
      </c>
      <c r="D118" s="459">
        <v>0</v>
      </c>
      <c r="E118" s="547">
        <f t="shared" si="4"/>
        <v>-250</v>
      </c>
    </row>
    <row r="119" spans="1:5" ht="16.5" customHeight="1" x14ac:dyDescent="0.3">
      <c r="A119" s="543" t="s">
        <v>543</v>
      </c>
      <c r="B119" s="450">
        <v>61949</v>
      </c>
      <c r="C119" s="450">
        <f>81000-72</f>
        <v>80928</v>
      </c>
      <c r="D119" s="450">
        <v>81000</v>
      </c>
      <c r="E119" s="563">
        <f t="shared" si="4"/>
        <v>72</v>
      </c>
    </row>
    <row r="120" spans="1:5" s="448" customFormat="1" ht="15.75" customHeight="1" x14ac:dyDescent="0.3">
      <c r="A120" s="552" t="s">
        <v>542</v>
      </c>
      <c r="B120" s="450">
        <f>+B119</f>
        <v>61949</v>
      </c>
      <c r="C120" s="450">
        <f>+C119</f>
        <v>80928</v>
      </c>
      <c r="D120" s="450">
        <f>+D119</f>
        <v>81000</v>
      </c>
      <c r="E120" s="563">
        <f>+E119</f>
        <v>72</v>
      </c>
    </row>
    <row r="121" spans="1:5" ht="15.75" customHeight="1" x14ac:dyDescent="0.3">
      <c r="A121" s="562"/>
      <c r="B121" s="451"/>
      <c r="C121" s="451"/>
      <c r="D121" s="450"/>
      <c r="E121" s="563"/>
    </row>
    <row r="122" spans="1:5" s="458" customFormat="1" ht="15.75" customHeight="1" x14ac:dyDescent="0.3">
      <c r="A122" s="543" t="s">
        <v>541</v>
      </c>
      <c r="B122" s="450">
        <v>730000</v>
      </c>
      <c r="C122" s="450">
        <v>745000</v>
      </c>
      <c r="D122" s="450">
        <v>810000</v>
      </c>
      <c r="E122" s="563">
        <f>D122-C122</f>
        <v>65000</v>
      </c>
    </row>
    <row r="123" spans="1:5" s="458" customFormat="1" ht="15.75" customHeight="1" x14ac:dyDescent="0.3">
      <c r="A123" s="567" t="s">
        <v>540</v>
      </c>
      <c r="B123" s="459"/>
      <c r="C123" s="459">
        <v>745000</v>
      </c>
      <c r="D123" s="459">
        <v>755000</v>
      </c>
      <c r="E123" s="547">
        <f>D123-C123</f>
        <v>10000</v>
      </c>
    </row>
    <row r="124" spans="1:5" s="461" customFormat="1" ht="15.75" customHeight="1" x14ac:dyDescent="0.3">
      <c r="A124" s="567" t="s">
        <v>539</v>
      </c>
      <c r="B124" s="459"/>
      <c r="C124" s="459">
        <v>0</v>
      </c>
      <c r="D124" s="459">
        <v>25000</v>
      </c>
      <c r="E124" s="547">
        <f>D124-C124</f>
        <v>25000</v>
      </c>
    </row>
    <row r="125" spans="1:5" s="458" customFormat="1" ht="21" customHeight="1" x14ac:dyDescent="0.3">
      <c r="A125" s="567" t="s">
        <v>538</v>
      </c>
      <c r="B125" s="459"/>
      <c r="C125" s="459">
        <v>0</v>
      </c>
      <c r="D125" s="460" t="s">
        <v>496</v>
      </c>
      <c r="E125" s="547">
        <v>0</v>
      </c>
    </row>
    <row r="126" spans="1:5" s="458" customFormat="1" ht="19.5" customHeight="1" x14ac:dyDescent="0.3">
      <c r="A126" s="567" t="s">
        <v>537</v>
      </c>
      <c r="B126" s="459"/>
      <c r="C126" s="459">
        <v>0</v>
      </c>
      <c r="D126" s="460" t="s">
        <v>495</v>
      </c>
      <c r="E126" s="547">
        <v>0</v>
      </c>
    </row>
    <row r="127" spans="1:5" s="453" customFormat="1" ht="15.75" customHeight="1" x14ac:dyDescent="0.3">
      <c r="A127" s="568"/>
      <c r="B127" s="450"/>
      <c r="C127" s="450"/>
      <c r="D127" s="450"/>
      <c r="E127" s="563"/>
    </row>
    <row r="128" spans="1:5" ht="15.75" customHeight="1" x14ac:dyDescent="0.3">
      <c r="A128" s="552" t="s">
        <v>536</v>
      </c>
      <c r="B128" s="455">
        <f>+B122+B119</f>
        <v>791949</v>
      </c>
      <c r="C128" s="455">
        <f>+C122+C120</f>
        <v>825928</v>
      </c>
      <c r="D128" s="455">
        <f>+D122+D119</f>
        <v>891000</v>
      </c>
      <c r="E128" s="553">
        <f>+E122+E119</f>
        <v>65072</v>
      </c>
    </row>
    <row r="129" spans="1:5" s="453" customFormat="1" ht="15.75" customHeight="1" x14ac:dyDescent="0.3">
      <c r="A129" s="552"/>
      <c r="B129" s="457"/>
      <c r="C129" s="450"/>
      <c r="D129" s="450"/>
      <c r="E129" s="563"/>
    </row>
    <row r="130" spans="1:5" s="448" customFormat="1" ht="15.75" customHeight="1" x14ac:dyDescent="0.3">
      <c r="A130" s="552" t="s">
        <v>535</v>
      </c>
      <c r="B130" s="455">
        <f>+B128+B112</f>
        <v>2248461.6711554588</v>
      </c>
      <c r="C130" s="455">
        <f>+C128+C112</f>
        <v>2388228</v>
      </c>
      <c r="D130" s="455">
        <f>+D128+D112</f>
        <v>2376500</v>
      </c>
      <c r="E130" s="553">
        <f>+E128+E112</f>
        <v>-11728</v>
      </c>
    </row>
    <row r="131" spans="1:5" ht="15.75" customHeight="1" x14ac:dyDescent="0.3">
      <c r="A131" s="569"/>
      <c r="B131" s="457"/>
      <c r="C131" s="451"/>
      <c r="D131" s="451"/>
      <c r="E131" s="544"/>
    </row>
    <row r="132" spans="1:5" ht="15.75" customHeight="1" x14ac:dyDescent="0.3">
      <c r="A132" s="548" t="s">
        <v>534</v>
      </c>
      <c r="B132" s="456">
        <f>+B142</f>
        <v>4406.7039299999997</v>
      </c>
      <c r="C132" s="451">
        <f>C142</f>
        <v>4250</v>
      </c>
      <c r="D132" s="451">
        <v>0</v>
      </c>
      <c r="E132" s="544">
        <f>D132-C132</f>
        <v>-4250</v>
      </c>
    </row>
    <row r="133" spans="1:5" ht="15.75" customHeight="1" x14ac:dyDescent="0.3">
      <c r="A133" s="552" t="s">
        <v>533</v>
      </c>
      <c r="B133" s="450">
        <f>SUM(B132:B132)</f>
        <v>4406.7039299999997</v>
      </c>
      <c r="C133" s="450">
        <f>SUM(C132:C132)</f>
        <v>4250</v>
      </c>
      <c r="D133" s="450">
        <f>SUM(D132:D132)</f>
        <v>0</v>
      </c>
      <c r="E133" s="563">
        <f>SUM(E132:E132)</f>
        <v>-4250</v>
      </c>
    </row>
    <row r="134" spans="1:5" s="453" customFormat="1" ht="15.75" customHeight="1" x14ac:dyDescent="0.3">
      <c r="A134" s="548"/>
      <c r="B134" s="450"/>
      <c r="C134" s="450"/>
      <c r="D134" s="450"/>
      <c r="E134" s="563"/>
    </row>
    <row r="135" spans="1:5" ht="15.75" customHeight="1" x14ac:dyDescent="0.3">
      <c r="A135" s="552" t="s">
        <v>532</v>
      </c>
      <c r="B135" s="455">
        <f>+B133+B130</f>
        <v>2252868.3750854586</v>
      </c>
      <c r="C135" s="455">
        <f>+C133+C130</f>
        <v>2392478</v>
      </c>
      <c r="D135" s="455">
        <f>+D133+D130</f>
        <v>2376500</v>
      </c>
      <c r="E135" s="553">
        <f>+E133+E130</f>
        <v>-15978</v>
      </c>
    </row>
    <row r="136" spans="1:5" ht="15.75" customHeight="1" x14ac:dyDescent="0.3">
      <c r="A136" s="552"/>
      <c r="B136" s="455"/>
      <c r="C136" s="451"/>
      <c r="D136" s="451"/>
      <c r="E136" s="544">
        <f>D136-C136</f>
        <v>0</v>
      </c>
    </row>
    <row r="137" spans="1:5" s="453" customFormat="1" ht="21.75" customHeight="1" x14ac:dyDescent="0.3">
      <c r="A137" s="548" t="s">
        <v>531</v>
      </c>
      <c r="B137" s="451">
        <v>-43000</v>
      </c>
      <c r="C137" s="451">
        <v>-59000</v>
      </c>
      <c r="D137" s="451">
        <v>-59000</v>
      </c>
      <c r="E137" s="544">
        <f>D137-C137</f>
        <v>0</v>
      </c>
    </row>
    <row r="138" spans="1:5" s="453" customFormat="1" ht="15.75" customHeight="1" x14ac:dyDescent="0.3">
      <c r="A138" s="570"/>
      <c r="B138" s="454"/>
      <c r="C138" s="450"/>
      <c r="D138" s="450"/>
      <c r="E138" s="563"/>
    </row>
    <row r="139" spans="1:5" ht="15.75" customHeight="1" x14ac:dyDescent="0.3">
      <c r="A139" s="543" t="s">
        <v>530</v>
      </c>
      <c r="B139" s="451"/>
      <c r="C139" s="451"/>
      <c r="D139" s="451"/>
      <c r="E139" s="544">
        <f>D139-C139</f>
        <v>0</v>
      </c>
    </row>
    <row r="140" spans="1:5" ht="15.75" customHeight="1" x14ac:dyDescent="0.3">
      <c r="A140" s="548" t="s">
        <v>529</v>
      </c>
      <c r="B140" s="451">
        <v>3427.4363899999998</v>
      </c>
      <c r="C140" s="451">
        <v>3250</v>
      </c>
      <c r="D140" s="451">
        <v>0</v>
      </c>
      <c r="E140" s="544">
        <f>D140-C140</f>
        <v>-3250</v>
      </c>
    </row>
    <row r="141" spans="1:5" ht="15.75" customHeight="1" x14ac:dyDescent="0.3">
      <c r="A141" s="548" t="s">
        <v>528</v>
      </c>
      <c r="B141" s="451">
        <v>979.26754000000005</v>
      </c>
      <c r="C141" s="451">
        <v>1000</v>
      </c>
      <c r="D141" s="451">
        <v>0</v>
      </c>
      <c r="E141" s="544">
        <f>D141-C141</f>
        <v>-1000</v>
      </c>
    </row>
    <row r="142" spans="1:5" s="448" customFormat="1" ht="15.75" customHeight="1" thickBot="1" x14ac:dyDescent="0.35">
      <c r="A142" s="571" t="s">
        <v>527</v>
      </c>
      <c r="B142" s="572">
        <f>SUM(B140:B141)</f>
        <v>4406.7039299999997</v>
      </c>
      <c r="C142" s="573">
        <f>C140+C141</f>
        <v>4250</v>
      </c>
      <c r="D142" s="573">
        <f>D140+D141</f>
        <v>0</v>
      </c>
      <c r="E142" s="574">
        <f>E140+E141</f>
        <v>-4250</v>
      </c>
    </row>
  </sheetData>
  <printOptions horizontalCentered="1"/>
  <pageMargins left="0.32" right="0.31" top="1.1100000000000001" bottom="0.5" header="0.5" footer="0.3"/>
  <pageSetup scale="53" orientation="landscape" r:id="rId1"/>
  <headerFooter>
    <oddHeader>&amp;L
&amp;C&amp;"Times New Roman,Regular"&amp;14Office of Justice Programs
Summary of Program Changes
FYs 2013 - 2015
(Dollars in Thousands)</oddHeader>
    <oddFooter>&amp;C &amp;P
Exhibit N - Summary of Program Changes</oddFooter>
  </headerFooter>
  <rowBreaks count="2" manualBreakCount="2">
    <brk id="54" max="4" man="1"/>
    <brk id="107"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view="pageBreakPreview" zoomScale="80" zoomScaleNormal="100" zoomScaleSheetLayoutView="80" workbookViewId="0">
      <selection activeCell="I40" sqref="I40"/>
    </sheetView>
  </sheetViews>
  <sheetFormatPr defaultRowHeight="14.25" x14ac:dyDescent="0.2"/>
  <cols>
    <col min="1" max="1" width="37.140625" style="9" customWidth="1"/>
    <col min="2" max="3" width="8.28515625" style="9" customWidth="1"/>
    <col min="4" max="4" width="12.7109375" style="9" customWidth="1"/>
    <col min="5" max="5" width="15" style="9" customWidth="1"/>
    <col min="6" max="6" width="8.28515625" style="9" customWidth="1"/>
    <col min="7" max="7" width="9.85546875" style="9" customWidth="1"/>
    <col min="8" max="10" width="12.7109375" style="9" customWidth="1"/>
    <col min="11" max="11" width="10.28515625" style="9" customWidth="1"/>
    <col min="12" max="12" width="9.85546875" style="9" customWidth="1"/>
    <col min="13" max="14" width="12.7109375" style="9" customWidth="1"/>
    <col min="15" max="16" width="8.28515625" style="9" customWidth="1"/>
    <col min="17" max="17" width="12.7109375" style="9" customWidth="1"/>
    <col min="18" max="16384" width="9.140625" style="9"/>
  </cols>
  <sheetData>
    <row r="1" spans="1:17" ht="18" x14ac:dyDescent="0.25">
      <c r="A1" s="577" t="s">
        <v>134</v>
      </c>
      <c r="B1" s="577"/>
      <c r="C1" s="577"/>
      <c r="D1" s="577"/>
      <c r="E1" s="577"/>
      <c r="F1" s="577"/>
      <c r="G1" s="577"/>
      <c r="H1" s="577"/>
      <c r="I1" s="577"/>
      <c r="J1" s="577"/>
      <c r="K1" s="577"/>
      <c r="L1" s="577"/>
      <c r="M1" s="51" t="s">
        <v>10</v>
      </c>
      <c r="N1" s="6"/>
      <c r="O1" s="6"/>
      <c r="P1" s="6"/>
      <c r="Q1" s="6"/>
    </row>
    <row r="2" spans="1:17" ht="15" x14ac:dyDescent="0.2">
      <c r="A2" s="578" t="s">
        <v>152</v>
      </c>
      <c r="B2" s="578"/>
      <c r="C2" s="578"/>
      <c r="D2" s="578"/>
      <c r="E2" s="578"/>
      <c r="F2" s="578"/>
      <c r="G2" s="578"/>
      <c r="H2" s="578"/>
      <c r="I2" s="578"/>
      <c r="J2" s="578"/>
      <c r="K2" s="578"/>
      <c r="L2" s="578"/>
      <c r="M2" s="51" t="s">
        <v>10</v>
      </c>
      <c r="N2" s="7"/>
      <c r="O2" s="7"/>
      <c r="P2" s="7"/>
      <c r="Q2" s="7"/>
    </row>
    <row r="3" spans="1:17" x14ac:dyDescent="0.2">
      <c r="A3" s="579" t="s">
        <v>153</v>
      </c>
      <c r="B3" s="579"/>
      <c r="C3" s="579"/>
      <c r="D3" s="579"/>
      <c r="E3" s="579"/>
      <c r="F3" s="579"/>
      <c r="G3" s="579"/>
      <c r="H3" s="579"/>
      <c r="I3" s="579"/>
      <c r="J3" s="579"/>
      <c r="K3" s="579"/>
      <c r="L3" s="579"/>
      <c r="M3" s="51" t="s">
        <v>10</v>
      </c>
      <c r="N3" s="10"/>
      <c r="O3" s="10"/>
      <c r="P3" s="10"/>
      <c r="Q3" s="10"/>
    </row>
    <row r="4" spans="1:17" x14ac:dyDescent="0.2">
      <c r="A4" s="584" t="s">
        <v>1</v>
      </c>
      <c r="B4" s="584"/>
      <c r="C4" s="584"/>
      <c r="D4" s="584"/>
      <c r="E4" s="584"/>
      <c r="F4" s="584"/>
      <c r="G4" s="584"/>
      <c r="H4" s="584"/>
      <c r="I4" s="584"/>
      <c r="J4" s="584"/>
      <c r="K4" s="584"/>
      <c r="L4" s="584"/>
      <c r="M4" s="51" t="s">
        <v>10</v>
      </c>
      <c r="N4" s="8"/>
      <c r="O4" s="8"/>
      <c r="P4" s="8"/>
      <c r="Q4" s="8"/>
    </row>
    <row r="5" spans="1:17" x14ac:dyDescent="0.2">
      <c r="A5" s="8"/>
      <c r="B5" s="8"/>
      <c r="C5" s="8"/>
      <c r="D5" s="8"/>
      <c r="E5" s="8"/>
      <c r="F5" s="8"/>
      <c r="G5" s="8"/>
      <c r="H5" s="8"/>
      <c r="I5" s="8"/>
      <c r="J5" s="8"/>
      <c r="K5" s="8"/>
      <c r="L5" s="8"/>
      <c r="M5" s="51" t="s">
        <v>10</v>
      </c>
      <c r="N5" s="8"/>
      <c r="O5" s="8"/>
      <c r="P5" s="8"/>
      <c r="Q5" s="8"/>
    </row>
    <row r="6" spans="1:17" ht="15" thickBot="1" x14ac:dyDescent="0.25">
      <c r="A6" s="50"/>
      <c r="B6" s="50"/>
      <c r="C6" s="50"/>
      <c r="D6" s="50"/>
      <c r="E6" s="50"/>
      <c r="F6" s="50"/>
      <c r="G6" s="50"/>
      <c r="H6" s="50"/>
      <c r="I6" s="50"/>
      <c r="J6" s="50"/>
      <c r="K6" s="50"/>
      <c r="L6" s="50"/>
      <c r="M6" s="51" t="s">
        <v>10</v>
      </c>
      <c r="N6" s="8"/>
      <c r="O6" s="8"/>
      <c r="P6" s="8"/>
      <c r="Q6" s="8"/>
    </row>
    <row r="7" spans="1:17" ht="47.25" customHeight="1" x14ac:dyDescent="0.2">
      <c r="A7" s="585" t="s">
        <v>101</v>
      </c>
      <c r="B7" s="588" t="s">
        <v>150</v>
      </c>
      <c r="C7" s="588"/>
      <c r="D7" s="588"/>
      <c r="E7" s="588" t="s">
        <v>27</v>
      </c>
      <c r="F7" s="588"/>
      <c r="G7" s="588"/>
      <c r="H7" s="99" t="s">
        <v>28</v>
      </c>
      <c r="I7" s="84" t="s">
        <v>104</v>
      </c>
      <c r="J7" s="588" t="s">
        <v>135</v>
      </c>
      <c r="K7" s="588"/>
      <c r="L7" s="589"/>
      <c r="M7" s="51" t="s">
        <v>10</v>
      </c>
    </row>
    <row r="8" spans="1:17" ht="28.5" x14ac:dyDescent="0.2">
      <c r="A8" s="586"/>
      <c r="B8" s="11" t="s">
        <v>2</v>
      </c>
      <c r="C8" s="19" t="s">
        <v>96</v>
      </c>
      <c r="D8" s="11" t="s">
        <v>3</v>
      </c>
      <c r="E8" s="11" t="s">
        <v>2</v>
      </c>
      <c r="F8" s="11" t="s">
        <v>96</v>
      </c>
      <c r="G8" s="11" t="s">
        <v>3</v>
      </c>
      <c r="H8" s="19" t="s">
        <v>3</v>
      </c>
      <c r="I8" s="11" t="s">
        <v>3</v>
      </c>
      <c r="J8" s="11" t="s">
        <v>2</v>
      </c>
      <c r="K8" s="11" t="s">
        <v>96</v>
      </c>
      <c r="L8" s="12" t="s">
        <v>3</v>
      </c>
      <c r="M8" s="51" t="s">
        <v>10</v>
      </c>
    </row>
    <row r="9" spans="1:17" x14ac:dyDescent="0.2">
      <c r="A9" s="173" t="s">
        <v>153</v>
      </c>
      <c r="B9" s="115">
        <v>702</v>
      </c>
      <c r="C9" s="414">
        <v>609</v>
      </c>
      <c r="D9" s="115">
        <v>187332</v>
      </c>
      <c r="E9" s="115">
        <v>0</v>
      </c>
      <c r="F9" s="115">
        <v>0</v>
      </c>
      <c r="G9" s="115">
        <v>0</v>
      </c>
      <c r="H9" s="115">
        <v>3959</v>
      </c>
      <c r="I9" s="115">
        <v>105</v>
      </c>
      <c r="J9" s="115">
        <f t="shared" ref="J9" si="0">B9+E9</f>
        <v>702</v>
      </c>
      <c r="K9" s="115">
        <v>609</v>
      </c>
      <c r="L9" s="116">
        <f t="shared" ref="L9:L11" si="1">D9+G9+H9+I9</f>
        <v>191396</v>
      </c>
      <c r="M9" s="51" t="s">
        <v>10</v>
      </c>
    </row>
    <row r="10" spans="1:17" ht="15" x14ac:dyDescent="0.25">
      <c r="A10" s="13" t="s">
        <v>98</v>
      </c>
      <c r="B10" s="118">
        <f t="shared" ref="B10:K10" si="2">SUM(B9:B9)</f>
        <v>702</v>
      </c>
      <c r="C10" s="118">
        <f t="shared" si="2"/>
        <v>609</v>
      </c>
      <c r="D10" s="118">
        <f t="shared" si="2"/>
        <v>187332</v>
      </c>
      <c r="E10" s="118">
        <f t="shared" si="2"/>
        <v>0</v>
      </c>
      <c r="F10" s="118">
        <f t="shared" si="2"/>
        <v>0</v>
      </c>
      <c r="G10" s="118">
        <f t="shared" si="2"/>
        <v>0</v>
      </c>
      <c r="H10" s="118">
        <f t="shared" si="2"/>
        <v>3959</v>
      </c>
      <c r="I10" s="118">
        <f t="shared" si="2"/>
        <v>105</v>
      </c>
      <c r="J10" s="118">
        <f t="shared" si="2"/>
        <v>702</v>
      </c>
      <c r="K10" s="118">
        <f t="shared" si="2"/>
        <v>609</v>
      </c>
      <c r="L10" s="119">
        <f t="shared" si="1"/>
        <v>191396</v>
      </c>
      <c r="M10" s="51" t="s">
        <v>10</v>
      </c>
    </row>
    <row r="11" spans="1:17" x14ac:dyDescent="0.2">
      <c r="A11" s="101" t="s">
        <v>97</v>
      </c>
      <c r="B11" s="115"/>
      <c r="C11" s="115"/>
      <c r="D11" s="115">
        <v>0</v>
      </c>
      <c r="E11" s="115"/>
      <c r="F11" s="115"/>
      <c r="G11" s="115"/>
      <c r="H11" s="115"/>
      <c r="I11" s="115"/>
      <c r="J11" s="115"/>
      <c r="K11" s="115"/>
      <c r="L11" s="116">
        <f t="shared" si="1"/>
        <v>0</v>
      </c>
      <c r="M11" s="51" t="s">
        <v>10</v>
      </c>
    </row>
    <row r="12" spans="1:17" x14ac:dyDescent="0.2">
      <c r="A12" s="102" t="s">
        <v>111</v>
      </c>
      <c r="B12" s="131"/>
      <c r="C12" s="131"/>
      <c r="D12" s="131">
        <f>SUM(D10:D11)</f>
        <v>187332</v>
      </c>
      <c r="E12" s="131"/>
      <c r="F12" s="131"/>
      <c r="G12" s="131"/>
      <c r="H12" s="131"/>
      <c r="I12" s="131"/>
      <c r="J12" s="131"/>
      <c r="K12" s="131"/>
      <c r="L12" s="132">
        <f>L9+L11</f>
        <v>191396</v>
      </c>
      <c r="M12" s="51" t="s">
        <v>10</v>
      </c>
    </row>
    <row r="13" spans="1:17" x14ac:dyDescent="0.2">
      <c r="A13" s="85" t="s">
        <v>13</v>
      </c>
      <c r="B13" s="125"/>
      <c r="C13" s="125">
        <v>0</v>
      </c>
      <c r="D13" s="125"/>
      <c r="E13" s="125"/>
      <c r="F13" s="125">
        <v>0</v>
      </c>
      <c r="G13" s="125"/>
      <c r="H13" s="125">
        <v>0</v>
      </c>
      <c r="I13" s="125"/>
      <c r="J13" s="125"/>
      <c r="K13" s="125">
        <f>C13+F13</f>
        <v>0</v>
      </c>
      <c r="L13" s="126">
        <v>0</v>
      </c>
      <c r="M13" s="51" t="s">
        <v>10</v>
      </c>
    </row>
    <row r="14" spans="1:17" x14ac:dyDescent="0.2">
      <c r="A14" s="96" t="s">
        <v>99</v>
      </c>
      <c r="B14" s="24"/>
      <c r="C14" s="24">
        <f>C10+C13</f>
        <v>609</v>
      </c>
      <c r="D14" s="24"/>
      <c r="E14" s="24"/>
      <c r="F14" s="24">
        <f>F10+F13</f>
        <v>0</v>
      </c>
      <c r="G14" s="24"/>
      <c r="H14" s="24">
        <f>H10+H13</f>
        <v>3959</v>
      </c>
      <c r="I14" s="24"/>
      <c r="J14" s="24"/>
      <c r="K14" s="24">
        <f>K10+K13</f>
        <v>609</v>
      </c>
      <c r="L14" s="117">
        <f>L12</f>
        <v>191396</v>
      </c>
      <c r="M14" s="51" t="s">
        <v>10</v>
      </c>
    </row>
    <row r="15" spans="1:17" x14ac:dyDescent="0.2">
      <c r="A15" s="15"/>
      <c r="B15" s="24"/>
      <c r="C15" s="24"/>
      <c r="D15" s="24"/>
      <c r="E15" s="24"/>
      <c r="F15" s="24"/>
      <c r="G15" s="24"/>
      <c r="H15" s="24"/>
      <c r="I15" s="24"/>
      <c r="J15" s="24"/>
      <c r="K15" s="24"/>
      <c r="L15" s="117"/>
      <c r="M15" s="51" t="s">
        <v>10</v>
      </c>
    </row>
    <row r="16" spans="1:17" x14ac:dyDescent="0.2">
      <c r="A16" s="15" t="s">
        <v>14</v>
      </c>
      <c r="B16" s="24"/>
      <c r="C16" s="24"/>
      <c r="D16" s="24"/>
      <c r="E16" s="24"/>
      <c r="F16" s="24"/>
      <c r="G16" s="24"/>
      <c r="H16" s="24"/>
      <c r="I16" s="24"/>
      <c r="J16" s="24"/>
      <c r="K16" s="24"/>
      <c r="L16" s="117"/>
      <c r="M16" s="51" t="s">
        <v>10</v>
      </c>
    </row>
    <row r="17" spans="1:13" x14ac:dyDescent="0.2">
      <c r="A17" s="16" t="s">
        <v>15</v>
      </c>
      <c r="B17" s="24"/>
      <c r="C17" s="24">
        <v>0</v>
      </c>
      <c r="D17" s="24"/>
      <c r="E17" s="24"/>
      <c r="F17" s="24">
        <v>0</v>
      </c>
      <c r="G17" s="24"/>
      <c r="H17" s="24">
        <v>0</v>
      </c>
      <c r="I17" s="24"/>
      <c r="J17" s="24"/>
      <c r="K17" s="24">
        <f>C17+F17</f>
        <v>0</v>
      </c>
      <c r="L17" s="117"/>
      <c r="M17" s="51" t="s">
        <v>10</v>
      </c>
    </row>
    <row r="18" spans="1:13" x14ac:dyDescent="0.2">
      <c r="A18" s="17" t="s">
        <v>16</v>
      </c>
      <c r="B18" s="127"/>
      <c r="C18" s="127">
        <v>0</v>
      </c>
      <c r="D18" s="127"/>
      <c r="E18" s="127"/>
      <c r="F18" s="127">
        <v>0</v>
      </c>
      <c r="G18" s="127"/>
      <c r="H18" s="127">
        <v>0</v>
      </c>
      <c r="I18" s="127"/>
      <c r="J18" s="127"/>
      <c r="K18" s="127">
        <f>C18+F18</f>
        <v>0</v>
      </c>
      <c r="L18" s="128"/>
      <c r="M18" s="51" t="s">
        <v>10</v>
      </c>
    </row>
    <row r="19" spans="1:13" ht="15" thickBot="1" x14ac:dyDescent="0.25">
      <c r="A19" s="97" t="s">
        <v>100</v>
      </c>
      <c r="B19" s="129"/>
      <c r="C19" s="129">
        <f>C14+C17+C18</f>
        <v>609</v>
      </c>
      <c r="D19" s="129"/>
      <c r="E19" s="129"/>
      <c r="F19" s="129">
        <f>F14+F17+F18</f>
        <v>0</v>
      </c>
      <c r="G19" s="129"/>
      <c r="H19" s="129">
        <f>H14+H17+H18</f>
        <v>3959</v>
      </c>
      <c r="I19" s="129"/>
      <c r="J19" s="129"/>
      <c r="K19" s="129">
        <f>SUM(K14,K17:K18)</f>
        <v>609</v>
      </c>
      <c r="L19" s="130">
        <f>L14</f>
        <v>191396</v>
      </c>
      <c r="M19" s="51" t="s">
        <v>10</v>
      </c>
    </row>
    <row r="20" spans="1:13" x14ac:dyDescent="0.2">
      <c r="M20" s="51" t="s">
        <v>10</v>
      </c>
    </row>
    <row r="21" spans="1:13" x14ac:dyDescent="0.2">
      <c r="M21" s="51" t="s">
        <v>10</v>
      </c>
    </row>
    <row r="22" spans="1:13" ht="15" x14ac:dyDescent="0.25">
      <c r="A22" s="5" t="s">
        <v>27</v>
      </c>
      <c r="M22" s="51" t="s">
        <v>10</v>
      </c>
    </row>
    <row r="23" spans="1:13" x14ac:dyDescent="0.2">
      <c r="A23" s="176"/>
      <c r="B23" s="168"/>
      <c r="C23" s="168"/>
      <c r="D23" s="168"/>
      <c r="E23" s="168"/>
      <c r="F23" s="168"/>
      <c r="G23" s="168"/>
      <c r="H23" s="168"/>
      <c r="I23" s="168"/>
      <c r="J23" s="168"/>
      <c r="K23" s="168"/>
      <c r="L23" s="168"/>
      <c r="M23" s="51" t="s">
        <v>10</v>
      </c>
    </row>
    <row r="24" spans="1:13" x14ac:dyDescent="0.2">
      <c r="A24" s="168"/>
      <c r="B24" s="168"/>
      <c r="C24" s="168"/>
      <c r="D24" s="168"/>
      <c r="E24" s="168"/>
      <c r="F24" s="168"/>
      <c r="G24" s="168"/>
      <c r="H24" s="168"/>
      <c r="I24" s="168"/>
      <c r="J24" s="168"/>
      <c r="K24" s="168"/>
      <c r="L24" s="168"/>
      <c r="M24" s="51" t="s">
        <v>10</v>
      </c>
    </row>
    <row r="25" spans="1:13" ht="15" x14ac:dyDescent="0.25">
      <c r="A25" s="5" t="s">
        <v>113</v>
      </c>
      <c r="M25" s="51" t="s">
        <v>10</v>
      </c>
    </row>
    <row r="26" spans="1:13" x14ac:dyDescent="0.2">
      <c r="A26" s="616" t="s">
        <v>502</v>
      </c>
      <c r="B26" s="616"/>
      <c r="C26" s="616"/>
      <c r="D26" s="616"/>
      <c r="E26" s="616"/>
      <c r="F26" s="616"/>
      <c r="G26" s="616"/>
      <c r="H26" s="616"/>
      <c r="I26" s="616"/>
      <c r="J26" s="616"/>
      <c r="K26" s="616"/>
      <c r="L26" s="616"/>
      <c r="M26" s="51" t="s">
        <v>10</v>
      </c>
    </row>
    <row r="27" spans="1:13" x14ac:dyDescent="0.2">
      <c r="A27" s="167"/>
      <c r="B27" s="167"/>
      <c r="C27" s="167"/>
      <c r="D27" s="167"/>
      <c r="E27" s="167"/>
      <c r="F27" s="167"/>
      <c r="G27" s="167"/>
      <c r="H27" s="167"/>
      <c r="I27" s="167"/>
      <c r="J27" s="167"/>
      <c r="K27" s="167"/>
      <c r="L27" s="167"/>
      <c r="M27" s="51" t="s">
        <v>10</v>
      </c>
    </row>
    <row r="28" spans="1:13" ht="15" x14ac:dyDescent="0.25">
      <c r="A28" s="5" t="s">
        <v>114</v>
      </c>
      <c r="M28" s="51" t="s">
        <v>10</v>
      </c>
    </row>
    <row r="29" spans="1:13" x14ac:dyDescent="0.2">
      <c r="A29" s="616" t="s">
        <v>476</v>
      </c>
      <c r="B29" s="616"/>
      <c r="C29" s="616"/>
      <c r="D29" s="616"/>
      <c r="E29" s="616"/>
      <c r="F29" s="616"/>
      <c r="G29" s="616"/>
      <c r="H29" s="616"/>
      <c r="I29" s="616"/>
      <c r="J29" s="616"/>
      <c r="K29" s="616"/>
      <c r="L29" s="616"/>
      <c r="M29" s="51" t="s">
        <v>10</v>
      </c>
    </row>
    <row r="30" spans="1:13" x14ac:dyDescent="0.2">
      <c r="M30" s="4" t="s">
        <v>11</v>
      </c>
    </row>
    <row r="31" spans="1:13" x14ac:dyDescent="0.2">
      <c r="M31" s="4"/>
    </row>
    <row r="32" spans="1:13" x14ac:dyDescent="0.2">
      <c r="A32" s="422"/>
    </row>
  </sheetData>
  <customSheetViews>
    <customSheetView guid="{EE916FE7-61FB-4021-ADDD-E082241FC03C}" scale="80" showPageBreaks="1" printArea="1" view="pageBreakPreview">
      <selection activeCell="H15" sqref="H15"/>
      <pageMargins left="0.7" right="0.7" top="0.66" bottom="0.66" header="0.3" footer="0.3"/>
      <printOptions horizontalCentered="1"/>
      <pageSetup scale="67" orientation="landscape" r:id="rId1"/>
      <headerFooter>
        <oddHeader>&amp;L&amp;"Arial,Bold"&amp;12G. Crosswalk of 2014 Availability</oddHeader>
        <oddFooter>&amp;C&amp;"Arial,Regular"Exhibit G - Crosswalk of 2014 Availability&amp;R&amp;"Arial,Regular"Management and Administration</oddFooter>
      </headerFooter>
    </customSheetView>
    <customSheetView guid="{0BB5DC4B-BC2A-4489-BE17-5E267FA1EF63}" scale="80" showPageBreaks="1" printArea="1" view="pageBreakPreview">
      <selection activeCell="H15" sqref="H15"/>
      <pageMargins left="0.7" right="0.7" top="0.66" bottom="0.66" header="0.3" footer="0.3"/>
      <printOptions horizontalCentered="1"/>
      <pageSetup scale="67" orientation="landscape" r:id="rId2"/>
      <headerFooter>
        <oddHeader>&amp;L&amp;"Arial,Bold"&amp;12G. Crosswalk of 2014 Availability</oddHeader>
        <oddFooter>&amp;C&amp;"Arial,Regular"Exhibit G - Crosswalk of 2014 Availability&amp;R&amp;"Arial,Regular"Management and Administration</oddFooter>
      </headerFooter>
    </customSheetView>
    <customSheetView guid="{6C58FFE1-D756-42C4-A1BC-AA7F1DC1E56F}" scale="80" showPageBreaks="1" printArea="1" view="pageBreakPreview">
      <selection activeCell="D35" sqref="D35"/>
      <pageMargins left="0.7" right="0.7" top="0.66" bottom="0.66" header="0.3" footer="0.3"/>
      <printOptions horizontalCentered="1"/>
      <pageSetup scale="67" orientation="landscape" r:id="rId3"/>
      <headerFooter>
        <oddHeader>&amp;L&amp;"Arial,Bold"&amp;12G. Crosswalk of 2014 Availability</oddHeader>
        <oddFooter>&amp;C&amp;"Arial,Regular"Exhibit G - Crosswalk of 2014 Availability&amp;R&amp;"Arial,Regular"Management and Administration</oddFooter>
      </headerFooter>
    </customSheetView>
    <customSheetView guid="{CFA5D1C9-F4C9-4B8D-923D-4C71CB6E7D3B}" scale="80" showPageBreaks="1" printArea="1" view="pageBreakPreview">
      <selection activeCell="H15" sqref="H15"/>
      <pageMargins left="0.7" right="0.7" top="0.66" bottom="0.66" header="0.3" footer="0.3"/>
      <printOptions horizontalCentered="1"/>
      <pageSetup scale="67" orientation="landscape" r:id="rId4"/>
      <headerFooter>
        <oddHeader>&amp;L&amp;"Arial,Bold"&amp;12G. Crosswalk of 2014 Availability</oddHeader>
        <oddFooter>&amp;C&amp;"Arial,Regular"Exhibit G - Crosswalk of 2014 Availability&amp;R&amp;"Arial,Regular"Management and Administration</oddFooter>
      </headerFooter>
    </customSheetView>
    <customSheetView guid="{A788DF77-74F1-49E4-8B34-BFBDB7664F30}" scale="80" showPageBreaks="1" printArea="1" view="pageBreakPreview">
      <selection activeCell="D35" sqref="D35"/>
      <pageMargins left="0.7" right="0.7" top="0.66" bottom="0.66" header="0.3" footer="0.3"/>
      <printOptions horizontalCentered="1"/>
      <pageSetup scale="67" orientation="landscape" r:id="rId5"/>
      <headerFooter>
        <oddHeader>&amp;L&amp;"Arial,Bold"&amp;12G. Crosswalk of 2014 Availability</oddHeader>
        <oddFooter>&amp;C&amp;"Arial,Regular"Exhibit G - Crosswalk of 2014 Availability&amp;R&amp;"Arial,Regular"Management and Administration</oddFooter>
      </headerFooter>
    </customSheetView>
  </customSheetViews>
  <mergeCells count="10">
    <mergeCell ref="A26:L26"/>
    <mergeCell ref="A29:L29"/>
    <mergeCell ref="A1:L1"/>
    <mergeCell ref="A2:L2"/>
    <mergeCell ref="A3:L3"/>
    <mergeCell ref="A4:L4"/>
    <mergeCell ref="A7:A8"/>
    <mergeCell ref="B7:D7"/>
    <mergeCell ref="E7:G7"/>
    <mergeCell ref="J7:L7"/>
  </mergeCells>
  <printOptions horizontalCentered="1"/>
  <pageMargins left="0.7" right="0.7" top="0.66" bottom="0.66" header="0.3" footer="0.3"/>
  <pageSetup scale="75" orientation="landscape" r:id="rId6"/>
  <headerFooter>
    <oddHeader>&amp;L&amp;"Arial,Bold"&amp;12G. Crosswalk of 2014 Availability</oddHeader>
    <oddFooter>&amp;C&amp;"Arial,Regular"Exhibit G - Crosswalk of 2014 Availability&amp;R&amp;"Arial,Regular"Management and Administration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view="pageBreakPreview" zoomScale="80" zoomScaleNormal="100" zoomScaleSheetLayoutView="80" workbookViewId="0">
      <selection activeCell="J30" sqref="J30"/>
    </sheetView>
  </sheetViews>
  <sheetFormatPr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8" x14ac:dyDescent="0.25">
      <c r="A1" s="577" t="s">
        <v>30</v>
      </c>
      <c r="B1" s="577"/>
      <c r="C1" s="577"/>
      <c r="D1" s="577"/>
      <c r="E1" s="577"/>
      <c r="F1" s="577"/>
      <c r="G1" s="577"/>
      <c r="H1" s="577"/>
      <c r="I1" s="577"/>
      <c r="J1" s="577"/>
      <c r="K1" s="577"/>
      <c r="L1" s="577"/>
      <c r="M1" s="577"/>
      <c r="N1" s="51" t="s">
        <v>10</v>
      </c>
      <c r="O1" s="6"/>
      <c r="P1" s="6"/>
      <c r="Q1" s="6"/>
      <c r="R1" s="6"/>
      <c r="S1" s="6"/>
      <c r="T1" s="6"/>
      <c r="U1" s="6"/>
    </row>
    <row r="2" spans="1:21" ht="15" x14ac:dyDescent="0.2">
      <c r="A2" s="578" t="s">
        <v>152</v>
      </c>
      <c r="B2" s="578"/>
      <c r="C2" s="578"/>
      <c r="D2" s="578"/>
      <c r="E2" s="578"/>
      <c r="F2" s="578"/>
      <c r="G2" s="578"/>
      <c r="H2" s="578"/>
      <c r="I2" s="578"/>
      <c r="J2" s="578"/>
      <c r="K2" s="578"/>
      <c r="L2" s="578"/>
      <c r="M2" s="578"/>
      <c r="N2" s="51" t="s">
        <v>10</v>
      </c>
      <c r="O2" s="7"/>
      <c r="P2" s="7"/>
      <c r="Q2" s="7"/>
      <c r="R2" s="7"/>
      <c r="S2" s="7"/>
      <c r="T2" s="7"/>
      <c r="U2" s="7"/>
    </row>
    <row r="3" spans="1:21" x14ac:dyDescent="0.2">
      <c r="A3" s="579" t="s">
        <v>153</v>
      </c>
      <c r="B3" s="587"/>
      <c r="C3" s="587"/>
      <c r="D3" s="587"/>
      <c r="E3" s="587"/>
      <c r="F3" s="587"/>
      <c r="G3" s="587"/>
      <c r="H3" s="587"/>
      <c r="I3" s="587"/>
      <c r="J3" s="587"/>
      <c r="K3" s="587"/>
      <c r="L3" s="587"/>
      <c r="M3" s="587"/>
      <c r="N3" s="51" t="s">
        <v>10</v>
      </c>
      <c r="O3" s="10"/>
      <c r="P3" s="10"/>
      <c r="Q3" s="10"/>
      <c r="R3" s="10"/>
      <c r="S3" s="10"/>
      <c r="T3" s="10"/>
      <c r="U3" s="10"/>
    </row>
    <row r="4" spans="1:21" x14ac:dyDescent="0.2">
      <c r="A4" s="584" t="s">
        <v>1</v>
      </c>
      <c r="B4" s="584"/>
      <c r="C4" s="584"/>
      <c r="D4" s="584"/>
      <c r="E4" s="584"/>
      <c r="F4" s="584"/>
      <c r="G4" s="584"/>
      <c r="H4" s="584"/>
      <c r="I4" s="584"/>
      <c r="J4" s="584"/>
      <c r="K4" s="584"/>
      <c r="L4" s="584"/>
      <c r="M4" s="584"/>
      <c r="N4" s="51" t="s">
        <v>10</v>
      </c>
      <c r="O4" s="8"/>
      <c r="P4" s="8"/>
      <c r="Q4" s="8"/>
      <c r="R4" s="8"/>
      <c r="S4" s="8"/>
      <c r="T4" s="8"/>
      <c r="U4" s="8"/>
    </row>
    <row r="5" spans="1:21" x14ac:dyDescent="0.2">
      <c r="A5" s="584"/>
      <c r="B5" s="584"/>
      <c r="C5" s="584"/>
      <c r="D5" s="584"/>
      <c r="E5" s="584"/>
      <c r="F5" s="584"/>
      <c r="G5" s="584"/>
      <c r="H5" s="584"/>
      <c r="I5" s="584"/>
      <c r="J5" s="584"/>
      <c r="K5" s="584"/>
      <c r="L5" s="584"/>
      <c r="M5" s="584"/>
      <c r="N5" s="51" t="s">
        <v>10</v>
      </c>
      <c r="O5" s="8"/>
      <c r="P5" s="8"/>
      <c r="Q5" s="8"/>
      <c r="R5" s="8"/>
      <c r="S5" s="8"/>
      <c r="T5" s="8"/>
      <c r="U5" s="8"/>
    </row>
    <row r="6" spans="1:21" ht="15" thickBot="1" x14ac:dyDescent="0.25">
      <c r="A6" s="584"/>
      <c r="B6" s="584"/>
      <c r="C6" s="584"/>
      <c r="D6" s="584"/>
      <c r="E6" s="584"/>
      <c r="F6" s="584"/>
      <c r="G6" s="584"/>
      <c r="H6" s="584"/>
      <c r="I6" s="584"/>
      <c r="J6" s="584"/>
      <c r="K6" s="584"/>
      <c r="L6" s="584"/>
      <c r="M6" s="584"/>
      <c r="N6" s="51" t="s">
        <v>10</v>
      </c>
      <c r="O6" s="8"/>
      <c r="P6" s="8"/>
      <c r="Q6" s="8"/>
      <c r="R6" s="8"/>
      <c r="S6" s="8"/>
      <c r="T6" s="8"/>
      <c r="U6" s="8"/>
    </row>
    <row r="7" spans="1:21" ht="15" x14ac:dyDescent="0.2">
      <c r="A7" s="585" t="s">
        <v>116</v>
      </c>
      <c r="B7" s="588" t="s">
        <v>133</v>
      </c>
      <c r="C7" s="588"/>
      <c r="D7" s="588"/>
      <c r="E7" s="588" t="s">
        <v>136</v>
      </c>
      <c r="F7" s="588"/>
      <c r="G7" s="588"/>
      <c r="H7" s="588" t="s">
        <v>130</v>
      </c>
      <c r="I7" s="588"/>
      <c r="J7" s="588"/>
      <c r="K7" s="588" t="s">
        <v>31</v>
      </c>
      <c r="L7" s="588"/>
      <c r="M7" s="589"/>
      <c r="N7" s="51" t="s">
        <v>10</v>
      </c>
    </row>
    <row r="8" spans="1:21" ht="28.5" x14ac:dyDescent="0.2">
      <c r="A8" s="586"/>
      <c r="B8" s="11" t="s">
        <v>32</v>
      </c>
      <c r="C8" s="19" t="s">
        <v>33</v>
      </c>
      <c r="D8" s="11" t="s">
        <v>3</v>
      </c>
      <c r="E8" s="11" t="s">
        <v>32</v>
      </c>
      <c r="F8" s="11" t="s">
        <v>33</v>
      </c>
      <c r="G8" s="11" t="s">
        <v>3</v>
      </c>
      <c r="H8" s="11" t="s">
        <v>32</v>
      </c>
      <c r="I8" s="11" t="s">
        <v>33</v>
      </c>
      <c r="J8" s="11" t="s">
        <v>3</v>
      </c>
      <c r="K8" s="11" t="s">
        <v>32</v>
      </c>
      <c r="L8" s="11" t="s">
        <v>33</v>
      </c>
      <c r="M8" s="12" t="s">
        <v>3</v>
      </c>
      <c r="N8" s="51" t="s">
        <v>10</v>
      </c>
    </row>
    <row r="9" spans="1:21" x14ac:dyDescent="0.2">
      <c r="A9" s="413" t="s">
        <v>153</v>
      </c>
      <c r="B9" s="115">
        <v>0</v>
      </c>
      <c r="C9" s="115">
        <v>0</v>
      </c>
      <c r="D9" s="115">
        <v>5000</v>
      </c>
      <c r="E9" s="115">
        <v>0</v>
      </c>
      <c r="F9" s="115">
        <v>0</v>
      </c>
      <c r="G9" s="115">
        <v>5000</v>
      </c>
      <c r="H9" s="115">
        <v>0</v>
      </c>
      <c r="I9" s="115">
        <v>0</v>
      </c>
      <c r="J9" s="115">
        <v>5000</v>
      </c>
      <c r="K9" s="115">
        <f>H9-E9</f>
        <v>0</v>
      </c>
      <c r="L9" s="115">
        <f t="shared" ref="L9:M9" si="0">I9-F9</f>
        <v>0</v>
      </c>
      <c r="M9" s="116">
        <f t="shared" si="0"/>
        <v>0</v>
      </c>
      <c r="N9" s="51" t="s">
        <v>10</v>
      </c>
    </row>
    <row r="10" spans="1:21" ht="15.75" thickBot="1" x14ac:dyDescent="0.3">
      <c r="A10" s="21" t="s">
        <v>109</v>
      </c>
      <c r="B10" s="27">
        <f t="shared" ref="B10:M10" si="1">SUM(B9:B9)</f>
        <v>0</v>
      </c>
      <c r="C10" s="27">
        <f t="shared" si="1"/>
        <v>0</v>
      </c>
      <c r="D10" s="27">
        <f t="shared" si="1"/>
        <v>5000</v>
      </c>
      <c r="E10" s="27">
        <f t="shared" si="1"/>
        <v>0</v>
      </c>
      <c r="F10" s="27">
        <f t="shared" si="1"/>
        <v>0</v>
      </c>
      <c r="G10" s="27">
        <f t="shared" si="1"/>
        <v>5000</v>
      </c>
      <c r="H10" s="27">
        <f t="shared" si="1"/>
        <v>0</v>
      </c>
      <c r="I10" s="27">
        <f t="shared" si="1"/>
        <v>0</v>
      </c>
      <c r="J10" s="27">
        <f t="shared" si="1"/>
        <v>5000</v>
      </c>
      <c r="K10" s="27">
        <f t="shared" si="1"/>
        <v>0</v>
      </c>
      <c r="L10" s="27">
        <f t="shared" si="1"/>
        <v>0</v>
      </c>
      <c r="M10" s="251">
        <f t="shared" si="1"/>
        <v>0</v>
      </c>
      <c r="N10" s="51" t="s">
        <v>10</v>
      </c>
    </row>
    <row r="11" spans="1:21" ht="15" thickBot="1" x14ac:dyDescent="0.25">
      <c r="N11" s="51" t="s">
        <v>10</v>
      </c>
    </row>
    <row r="12" spans="1:21" ht="18" customHeight="1" x14ac:dyDescent="0.2">
      <c r="A12" s="585" t="s">
        <v>105</v>
      </c>
      <c r="B12" s="588" t="s">
        <v>133</v>
      </c>
      <c r="C12" s="588"/>
      <c r="D12" s="588"/>
      <c r="E12" s="588" t="s">
        <v>136</v>
      </c>
      <c r="F12" s="588"/>
      <c r="G12" s="588"/>
      <c r="H12" s="588" t="s">
        <v>130</v>
      </c>
      <c r="I12" s="588"/>
      <c r="J12" s="588"/>
      <c r="K12" s="588" t="s">
        <v>31</v>
      </c>
      <c r="L12" s="588"/>
      <c r="M12" s="589"/>
      <c r="N12" s="51" t="s">
        <v>10</v>
      </c>
    </row>
    <row r="13" spans="1:21" ht="28.5" x14ac:dyDescent="0.2">
      <c r="A13" s="586"/>
      <c r="B13" s="11" t="s">
        <v>32</v>
      </c>
      <c r="C13" s="19" t="s">
        <v>33</v>
      </c>
      <c r="D13" s="11" t="s">
        <v>3</v>
      </c>
      <c r="E13" s="11" t="s">
        <v>32</v>
      </c>
      <c r="F13" s="11" t="s">
        <v>33</v>
      </c>
      <c r="G13" s="11" t="s">
        <v>3</v>
      </c>
      <c r="H13" s="11" t="s">
        <v>32</v>
      </c>
      <c r="I13" s="11" t="s">
        <v>33</v>
      </c>
      <c r="J13" s="11" t="s">
        <v>3</v>
      </c>
      <c r="K13" s="11" t="s">
        <v>32</v>
      </c>
      <c r="L13" s="11" t="s">
        <v>33</v>
      </c>
      <c r="M13" s="12" t="s">
        <v>3</v>
      </c>
      <c r="N13" s="51" t="s">
        <v>10</v>
      </c>
    </row>
    <row r="14" spans="1:21" x14ac:dyDescent="0.2">
      <c r="A14" s="413" t="s">
        <v>153</v>
      </c>
      <c r="B14" s="115">
        <v>0</v>
      </c>
      <c r="C14" s="115">
        <v>0</v>
      </c>
      <c r="D14" s="115">
        <v>5000</v>
      </c>
      <c r="E14" s="115">
        <v>0</v>
      </c>
      <c r="F14" s="115">
        <v>0</v>
      </c>
      <c r="G14" s="115">
        <v>5000</v>
      </c>
      <c r="H14" s="115">
        <v>0</v>
      </c>
      <c r="I14" s="115">
        <v>0</v>
      </c>
      <c r="J14" s="115">
        <v>5000</v>
      </c>
      <c r="K14" s="115">
        <f>H14-E14</f>
        <v>0</v>
      </c>
      <c r="L14" s="115">
        <f t="shared" ref="L14" si="2">I14-F14</f>
        <v>0</v>
      </c>
      <c r="M14" s="116">
        <f t="shared" ref="M14" si="3">J14-G14</f>
        <v>0</v>
      </c>
      <c r="N14" s="51" t="s">
        <v>10</v>
      </c>
    </row>
    <row r="15" spans="1:21" ht="15.75" thickBot="1" x14ac:dyDescent="0.3">
      <c r="A15" s="21" t="s">
        <v>109</v>
      </c>
      <c r="B15" s="27">
        <f t="shared" ref="B15:M15" si="4">SUM(B14:B14)</f>
        <v>0</v>
      </c>
      <c r="C15" s="27">
        <f t="shared" si="4"/>
        <v>0</v>
      </c>
      <c r="D15" s="27">
        <f t="shared" si="4"/>
        <v>5000</v>
      </c>
      <c r="E15" s="27">
        <f t="shared" si="4"/>
        <v>0</v>
      </c>
      <c r="F15" s="27">
        <f t="shared" si="4"/>
        <v>0</v>
      </c>
      <c r="G15" s="27">
        <f t="shared" si="4"/>
        <v>5000</v>
      </c>
      <c r="H15" s="27">
        <f t="shared" si="4"/>
        <v>0</v>
      </c>
      <c r="I15" s="27">
        <f t="shared" si="4"/>
        <v>0</v>
      </c>
      <c r="J15" s="27">
        <f t="shared" si="4"/>
        <v>5000</v>
      </c>
      <c r="K15" s="27">
        <f t="shared" si="4"/>
        <v>0</v>
      </c>
      <c r="L15" s="27">
        <f t="shared" si="4"/>
        <v>0</v>
      </c>
      <c r="M15" s="251">
        <f t="shared" si="4"/>
        <v>0</v>
      </c>
      <c r="N15" s="51" t="s">
        <v>10</v>
      </c>
    </row>
    <row r="16" spans="1:21" x14ac:dyDescent="0.2">
      <c r="N16" s="51" t="s">
        <v>10</v>
      </c>
    </row>
    <row r="17" spans="14:14" x14ac:dyDescent="0.2">
      <c r="N17" s="51" t="s">
        <v>11</v>
      </c>
    </row>
  </sheetData>
  <customSheetViews>
    <customSheetView guid="{EE916FE7-61FB-4021-ADDD-E082241FC03C}" scale="80" showPageBreaks="1" printArea="1" view="pageBreakPreview">
      <selection activeCell="B8" sqref="B8"/>
      <pageMargins left="0.7" right="0.7" top="0.75" bottom="0.75" header="0.3" footer="0.3"/>
      <printOptions horizontalCentered="1"/>
      <pageSetup scale="79" orientation="landscape" r:id="rId1"/>
      <headerFooter>
        <oddHeader>&amp;L&amp;"Arial,Bold"&amp;12H. Summary of Reimbursable Resources</oddHeader>
        <oddFooter>&amp;C&amp;"Arial,Regular"Exhibit H - Summary of Reimbursable Resources&amp;R&amp;"Arial,Regular"Management and Administration</oddFooter>
      </headerFooter>
    </customSheetView>
    <customSheetView guid="{0BB5DC4B-BC2A-4489-BE17-5E267FA1EF63}" scale="80" showPageBreaks="1" printArea="1" view="pageBreakPreview">
      <selection activeCell="B8" sqref="B8"/>
      <pageMargins left="0.7" right="0.7" top="0.75" bottom="0.75" header="0.3" footer="0.3"/>
      <printOptions horizontalCentered="1"/>
      <pageSetup scale="79" orientation="landscape" r:id="rId2"/>
      <headerFooter>
        <oddHeader>&amp;L&amp;"Arial,Bold"&amp;12H. Summary of Reimbursable Resources</oddHeader>
        <oddFooter>&amp;C&amp;"Arial,Regular"Exhibit H - Summary of Reimbursable Resources&amp;R&amp;"Arial,Regular"Management and Administration</oddFooter>
      </headerFooter>
    </customSheetView>
    <customSheetView guid="{6C58FFE1-D756-42C4-A1BC-AA7F1DC1E56F}" scale="80" showPageBreaks="1" printArea="1" view="pageBreakPreview">
      <selection activeCell="B8" sqref="B8"/>
      <pageMargins left="0.7" right="0.7" top="0.75" bottom="0.75" header="0.3" footer="0.3"/>
      <printOptions horizontalCentered="1"/>
      <pageSetup scale="79" orientation="landscape" r:id="rId3"/>
      <headerFooter>
        <oddHeader>&amp;L&amp;"Arial,Bold"&amp;12H. Summary of Reimbursable Resources</oddHeader>
        <oddFooter>&amp;C&amp;"Arial,Regular"Exhibit H - Summary of Reimbursable Resources&amp;R&amp;"Arial,Regular"Management and Administration</oddFooter>
      </headerFooter>
    </customSheetView>
    <customSheetView guid="{CFA5D1C9-F4C9-4B8D-923D-4C71CB6E7D3B}" scale="80" showPageBreaks="1" printArea="1" view="pageBreakPreview">
      <selection activeCell="B8" sqref="B8"/>
      <pageMargins left="0.7" right="0.7" top="0.75" bottom="0.75" header="0.3" footer="0.3"/>
      <printOptions horizontalCentered="1"/>
      <pageSetup scale="79" orientation="landscape" r:id="rId4"/>
      <headerFooter>
        <oddHeader>&amp;L&amp;"Arial,Bold"&amp;12H. Summary of Reimbursable Resources</oddHeader>
        <oddFooter>&amp;C&amp;"Arial,Regular"Exhibit H - Summary of Reimbursable Resources&amp;R&amp;"Arial,Regular"Management and Administration</oddFooter>
      </headerFooter>
    </customSheetView>
    <customSheetView guid="{A788DF77-74F1-49E4-8B34-BFBDB7664F30}" scale="80" showPageBreaks="1" printArea="1" view="pageBreakPreview">
      <selection activeCell="B8" sqref="B8"/>
      <pageMargins left="0.7" right="0.7" top="0.75" bottom="0.75" header="0.3" footer="0.3"/>
      <printOptions horizontalCentered="1"/>
      <pageSetup scale="79" orientation="landscape" r:id="rId5"/>
      <headerFooter>
        <oddHeader>&amp;L&amp;"Arial,Bold"&amp;12H. Summary of Reimbursable Resources</oddHeader>
        <oddFooter>&amp;C&amp;"Arial,Regular"Exhibit H - Summary of Reimbursable Resources&amp;R&amp;"Arial,Regular"Management and Administration</oddFooter>
      </headerFooter>
    </customSheetView>
  </customSheetViews>
  <mergeCells count="16">
    <mergeCell ref="A6:M6"/>
    <mergeCell ref="A1:M1"/>
    <mergeCell ref="A2:M2"/>
    <mergeCell ref="A3:M3"/>
    <mergeCell ref="A4:M4"/>
    <mergeCell ref="A5:M5"/>
    <mergeCell ref="A7:A8"/>
    <mergeCell ref="B7:D7"/>
    <mergeCell ref="E7:G7"/>
    <mergeCell ref="H7:J7"/>
    <mergeCell ref="K7:M7"/>
    <mergeCell ref="A12:A13"/>
    <mergeCell ref="B12:D12"/>
    <mergeCell ref="E12:G12"/>
    <mergeCell ref="H12:J12"/>
    <mergeCell ref="K12:M12"/>
  </mergeCells>
  <printOptions horizontalCentered="1"/>
  <pageMargins left="0.7" right="0.7" top="0.75" bottom="0.75" header="0.3" footer="0.3"/>
  <pageSetup scale="79" orientation="landscape" r:id="rId6"/>
  <headerFooter>
    <oddHeader>&amp;L&amp;"Arial,Bold"&amp;12H. Summary of Reimbursable Resources</oddHeader>
    <oddFooter>&amp;C&amp;"Arial,Regular"Exhibit H - Summary of Reimbursable Resources&amp;R&amp;"Arial,Regular"Management and Administration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view="pageBreakPreview" zoomScale="80" zoomScaleNormal="100" zoomScaleSheetLayoutView="80" workbookViewId="0">
      <selection activeCell="A35" sqref="A35"/>
    </sheetView>
  </sheetViews>
  <sheetFormatPr defaultRowHeight="14.25" x14ac:dyDescent="0.2"/>
  <cols>
    <col min="1" max="1" width="45.85546875" style="9" customWidth="1"/>
    <col min="2" max="9" width="13.7109375" style="9" customWidth="1"/>
    <col min="10" max="10" width="15" style="9" customWidth="1"/>
    <col min="11" max="11" width="14" style="4" bestFit="1" customWidth="1"/>
    <col min="12" max="12" width="4.5703125" style="9"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577" t="s">
        <v>34</v>
      </c>
      <c r="B1" s="577"/>
      <c r="C1" s="577"/>
      <c r="D1" s="577"/>
      <c r="E1" s="577"/>
      <c r="F1" s="577"/>
      <c r="G1" s="577"/>
      <c r="H1" s="577"/>
      <c r="I1" s="577"/>
      <c r="J1" s="577"/>
      <c r="K1" s="51" t="s">
        <v>10</v>
      </c>
      <c r="L1" s="6"/>
      <c r="M1" s="6"/>
      <c r="N1" s="6"/>
      <c r="O1" s="6"/>
      <c r="P1" s="6"/>
      <c r="Q1" s="6"/>
      <c r="R1" s="6"/>
    </row>
    <row r="2" spans="1:18" ht="15" x14ac:dyDescent="0.2">
      <c r="A2" s="578" t="s">
        <v>152</v>
      </c>
      <c r="B2" s="578"/>
      <c r="C2" s="578"/>
      <c r="D2" s="578"/>
      <c r="E2" s="578"/>
      <c r="F2" s="578"/>
      <c r="G2" s="578"/>
      <c r="H2" s="578"/>
      <c r="I2" s="578"/>
      <c r="J2" s="578"/>
      <c r="K2" s="51" t="s">
        <v>10</v>
      </c>
      <c r="L2" s="7"/>
      <c r="M2" s="7"/>
      <c r="N2" s="7"/>
      <c r="O2" s="7"/>
      <c r="P2" s="7"/>
      <c r="Q2" s="7"/>
      <c r="R2" s="7"/>
    </row>
    <row r="3" spans="1:18" x14ac:dyDescent="0.2">
      <c r="A3" s="579" t="s">
        <v>153</v>
      </c>
      <c r="B3" s="592"/>
      <c r="C3" s="592"/>
      <c r="D3" s="592"/>
      <c r="E3" s="592"/>
      <c r="F3" s="592"/>
      <c r="G3" s="592"/>
      <c r="H3" s="592"/>
      <c r="I3" s="592"/>
      <c r="J3" s="592"/>
      <c r="K3" s="51" t="s">
        <v>10</v>
      </c>
      <c r="L3" s="10"/>
      <c r="M3" s="10"/>
      <c r="N3" s="10"/>
      <c r="O3" s="10"/>
      <c r="P3" s="10"/>
      <c r="Q3" s="10"/>
      <c r="R3" s="10"/>
    </row>
    <row r="4" spans="1:18" x14ac:dyDescent="0.2">
      <c r="A4" s="584" t="s">
        <v>1</v>
      </c>
      <c r="B4" s="584"/>
      <c r="C4" s="584"/>
      <c r="D4" s="584"/>
      <c r="E4" s="584"/>
      <c r="F4" s="584"/>
      <c r="G4" s="584"/>
      <c r="H4" s="584"/>
      <c r="I4" s="584"/>
      <c r="J4" s="584"/>
      <c r="K4" s="51" t="s">
        <v>10</v>
      </c>
      <c r="L4" s="8"/>
      <c r="M4" s="8"/>
      <c r="N4" s="8"/>
      <c r="O4" s="8"/>
      <c r="P4" s="8"/>
      <c r="Q4" s="8"/>
      <c r="R4" s="8"/>
    </row>
    <row r="5" spans="1:18" x14ac:dyDescent="0.2">
      <c r="A5" s="584"/>
      <c r="B5" s="584"/>
      <c r="C5" s="584"/>
      <c r="D5" s="584"/>
      <c r="E5" s="584"/>
      <c r="F5" s="584"/>
      <c r="G5" s="584"/>
      <c r="H5" s="584"/>
      <c r="I5" s="584"/>
      <c r="J5" s="584"/>
      <c r="K5" s="51" t="s">
        <v>10</v>
      </c>
      <c r="L5" s="8"/>
      <c r="M5" s="8"/>
      <c r="N5" s="8"/>
      <c r="O5" s="8"/>
      <c r="P5" s="8"/>
      <c r="Q5" s="8"/>
      <c r="R5" s="8"/>
    </row>
    <row r="6" spans="1:18" ht="15" thickBot="1" x14ac:dyDescent="0.25">
      <c r="A6" s="584"/>
      <c r="B6" s="584"/>
      <c r="C6" s="584"/>
      <c r="D6" s="584"/>
      <c r="E6" s="584"/>
      <c r="F6" s="584"/>
      <c r="G6" s="584"/>
      <c r="H6" s="584"/>
      <c r="I6" s="584"/>
      <c r="J6" s="584"/>
      <c r="K6" s="51" t="s">
        <v>10</v>
      </c>
      <c r="L6" s="8"/>
      <c r="M6" s="8"/>
      <c r="N6" s="8"/>
      <c r="O6" s="8"/>
      <c r="P6" s="8"/>
      <c r="Q6" s="8"/>
      <c r="R6" s="8"/>
    </row>
    <row r="7" spans="1:18" s="20" customFormat="1" ht="48" customHeight="1" x14ac:dyDescent="0.2">
      <c r="A7" s="623" t="s">
        <v>36</v>
      </c>
      <c r="B7" s="620" t="s">
        <v>147</v>
      </c>
      <c r="C7" s="590"/>
      <c r="D7" s="620" t="s">
        <v>148</v>
      </c>
      <c r="E7" s="590"/>
      <c r="F7" s="621" t="s">
        <v>130</v>
      </c>
      <c r="G7" s="618"/>
      <c r="H7" s="618"/>
      <c r="I7" s="618"/>
      <c r="J7" s="622"/>
      <c r="K7" s="51" t="s">
        <v>10</v>
      </c>
    </row>
    <row r="8" spans="1:18" s="20" customFormat="1" ht="28.5" x14ac:dyDescent="0.2">
      <c r="A8" s="624"/>
      <c r="B8" s="52" t="s">
        <v>2</v>
      </c>
      <c r="C8" s="52" t="s">
        <v>32</v>
      </c>
      <c r="D8" s="52" t="s">
        <v>2</v>
      </c>
      <c r="E8" s="52" t="s">
        <v>32</v>
      </c>
      <c r="F8" s="52" t="s">
        <v>35</v>
      </c>
      <c r="G8" s="52" t="s">
        <v>18</v>
      </c>
      <c r="H8" s="114" t="s">
        <v>20</v>
      </c>
      <c r="I8" s="52" t="s">
        <v>54</v>
      </c>
      <c r="J8" s="53" t="s">
        <v>55</v>
      </c>
      <c r="K8" s="51" t="s">
        <v>10</v>
      </c>
    </row>
    <row r="9" spans="1:18" x14ac:dyDescent="0.2">
      <c r="A9" s="54" t="s">
        <v>53</v>
      </c>
      <c r="B9" s="115">
        <v>0</v>
      </c>
      <c r="C9" s="115">
        <v>0</v>
      </c>
      <c r="D9" s="115">
        <v>0</v>
      </c>
      <c r="E9" s="115">
        <v>0</v>
      </c>
      <c r="F9" s="115">
        <v>0</v>
      </c>
      <c r="G9" s="115">
        <v>0</v>
      </c>
      <c r="H9" s="115">
        <v>0</v>
      </c>
      <c r="I9" s="115">
        <f>D9+F9+G9+H9</f>
        <v>0</v>
      </c>
      <c r="J9" s="116">
        <v>0</v>
      </c>
      <c r="K9" s="51" t="s">
        <v>10</v>
      </c>
    </row>
    <row r="10" spans="1:18" x14ac:dyDescent="0.2">
      <c r="A10" s="55" t="s">
        <v>52</v>
      </c>
      <c r="B10" s="125">
        <v>3</v>
      </c>
      <c r="C10" s="125">
        <v>0</v>
      </c>
      <c r="D10" s="125">
        <v>3</v>
      </c>
      <c r="E10" s="125">
        <v>0</v>
      </c>
      <c r="F10" s="125">
        <v>0</v>
      </c>
      <c r="G10" s="125">
        <v>0</v>
      </c>
      <c r="H10" s="125">
        <v>0</v>
      </c>
      <c r="I10" s="125">
        <f t="shared" ref="I10:I33" si="0">D10+F10+G10+H10</f>
        <v>3</v>
      </c>
      <c r="J10" s="126">
        <v>0</v>
      </c>
      <c r="K10" s="51" t="s">
        <v>10</v>
      </c>
    </row>
    <row r="11" spans="1:18" x14ac:dyDescent="0.2">
      <c r="A11" s="55" t="s">
        <v>37</v>
      </c>
      <c r="B11" s="125">
        <v>1</v>
      </c>
      <c r="C11" s="125">
        <v>0</v>
      </c>
      <c r="D11" s="125">
        <v>1</v>
      </c>
      <c r="E11" s="125">
        <v>0</v>
      </c>
      <c r="F11" s="125">
        <v>0</v>
      </c>
      <c r="G11" s="125">
        <v>0</v>
      </c>
      <c r="H11" s="125">
        <v>0</v>
      </c>
      <c r="I11" s="125">
        <f t="shared" si="0"/>
        <v>1</v>
      </c>
      <c r="J11" s="126">
        <v>0</v>
      </c>
      <c r="K11" s="51" t="s">
        <v>10</v>
      </c>
    </row>
    <row r="12" spans="1:18" x14ac:dyDescent="0.2">
      <c r="A12" s="177" t="s">
        <v>159</v>
      </c>
      <c r="B12" s="24">
        <v>26</v>
      </c>
      <c r="C12" s="24">
        <v>0</v>
      </c>
      <c r="D12" s="24">
        <v>26</v>
      </c>
      <c r="E12" s="24">
        <v>0</v>
      </c>
      <c r="F12" s="24">
        <v>0</v>
      </c>
      <c r="G12" s="24">
        <v>0</v>
      </c>
      <c r="H12" s="24">
        <v>0</v>
      </c>
      <c r="I12" s="24">
        <f t="shared" ref="I12" si="1">D12+F12+G12+H12</f>
        <v>26</v>
      </c>
      <c r="J12" s="117">
        <v>0</v>
      </c>
      <c r="K12" s="51" t="s">
        <v>10</v>
      </c>
    </row>
    <row r="13" spans="1:18" x14ac:dyDescent="0.2">
      <c r="A13" s="56" t="s">
        <v>38</v>
      </c>
      <c r="B13" s="24">
        <v>23</v>
      </c>
      <c r="C13" s="24">
        <v>0</v>
      </c>
      <c r="D13" s="24">
        <v>23</v>
      </c>
      <c r="E13" s="24">
        <v>0</v>
      </c>
      <c r="F13" s="24">
        <v>0</v>
      </c>
      <c r="G13" s="24">
        <v>0</v>
      </c>
      <c r="H13" s="24">
        <v>0</v>
      </c>
      <c r="I13" s="24">
        <f t="shared" si="0"/>
        <v>23</v>
      </c>
      <c r="J13" s="117">
        <v>0</v>
      </c>
      <c r="K13" s="51" t="s">
        <v>10</v>
      </c>
    </row>
    <row r="14" spans="1:18" x14ac:dyDescent="0.2">
      <c r="A14" s="56" t="s">
        <v>39</v>
      </c>
      <c r="B14" s="24">
        <v>268</v>
      </c>
      <c r="C14" s="24">
        <v>0</v>
      </c>
      <c r="D14" s="24">
        <v>268</v>
      </c>
      <c r="E14" s="24">
        <v>0</v>
      </c>
      <c r="F14" s="24">
        <v>0</v>
      </c>
      <c r="G14" s="24">
        <v>2</v>
      </c>
      <c r="H14" s="24">
        <v>0</v>
      </c>
      <c r="I14" s="24">
        <f t="shared" si="0"/>
        <v>270</v>
      </c>
      <c r="J14" s="117">
        <v>0</v>
      </c>
      <c r="K14" s="51" t="s">
        <v>10</v>
      </c>
    </row>
    <row r="15" spans="1:18" x14ac:dyDescent="0.2">
      <c r="A15" s="56" t="s">
        <v>40</v>
      </c>
      <c r="B15" s="24">
        <v>112</v>
      </c>
      <c r="C15" s="24">
        <v>0</v>
      </c>
      <c r="D15" s="24">
        <v>112</v>
      </c>
      <c r="E15" s="24">
        <v>0</v>
      </c>
      <c r="F15" s="24">
        <v>0</v>
      </c>
      <c r="G15" s="24">
        <v>10</v>
      </c>
      <c r="H15" s="24">
        <v>0</v>
      </c>
      <c r="I15" s="24">
        <f t="shared" si="0"/>
        <v>122</v>
      </c>
      <c r="J15" s="117">
        <v>0</v>
      </c>
      <c r="K15" s="51" t="s">
        <v>10</v>
      </c>
    </row>
    <row r="16" spans="1:18" x14ac:dyDescent="0.2">
      <c r="A16" s="177" t="s">
        <v>160</v>
      </c>
      <c r="B16" s="24">
        <v>2</v>
      </c>
      <c r="C16" s="24">
        <v>0</v>
      </c>
      <c r="D16" s="24">
        <v>2</v>
      </c>
      <c r="E16" s="24">
        <v>0</v>
      </c>
      <c r="F16" s="24">
        <v>0</v>
      </c>
      <c r="G16" s="24">
        <v>0</v>
      </c>
      <c r="H16" s="24">
        <v>0</v>
      </c>
      <c r="I16" s="24">
        <f t="shared" ref="I16" si="2">D16+F16+G16+H16</f>
        <v>2</v>
      </c>
      <c r="J16" s="117">
        <v>0</v>
      </c>
      <c r="K16" s="51" t="s">
        <v>10</v>
      </c>
    </row>
    <row r="17" spans="1:11" x14ac:dyDescent="0.2">
      <c r="A17" s="56" t="s">
        <v>41</v>
      </c>
      <c r="B17" s="24">
        <v>31</v>
      </c>
      <c r="C17" s="24">
        <v>0</v>
      </c>
      <c r="D17" s="24">
        <v>31</v>
      </c>
      <c r="E17" s="24">
        <v>0</v>
      </c>
      <c r="F17" s="24">
        <v>0</v>
      </c>
      <c r="G17" s="24">
        <v>0</v>
      </c>
      <c r="H17" s="24">
        <v>0</v>
      </c>
      <c r="I17" s="24">
        <f t="shared" si="0"/>
        <v>31</v>
      </c>
      <c r="J17" s="117">
        <v>0</v>
      </c>
      <c r="K17" s="51" t="s">
        <v>10</v>
      </c>
    </row>
    <row r="18" spans="1:11" x14ac:dyDescent="0.2">
      <c r="A18" s="56" t="s">
        <v>42</v>
      </c>
      <c r="B18" s="24">
        <v>3</v>
      </c>
      <c r="C18" s="24">
        <v>0</v>
      </c>
      <c r="D18" s="24">
        <v>3</v>
      </c>
      <c r="E18" s="24">
        <v>0</v>
      </c>
      <c r="F18" s="24">
        <v>0</v>
      </c>
      <c r="G18" s="24">
        <v>0</v>
      </c>
      <c r="H18" s="24">
        <v>0</v>
      </c>
      <c r="I18" s="24">
        <f t="shared" si="0"/>
        <v>3</v>
      </c>
      <c r="J18" s="117">
        <v>0</v>
      </c>
      <c r="K18" s="51" t="s">
        <v>10</v>
      </c>
    </row>
    <row r="19" spans="1:11" x14ac:dyDescent="0.2">
      <c r="A19" s="56" t="s">
        <v>43</v>
      </c>
      <c r="B19" s="24">
        <v>24</v>
      </c>
      <c r="C19" s="24">
        <v>0</v>
      </c>
      <c r="D19" s="24">
        <v>24</v>
      </c>
      <c r="E19" s="24">
        <v>0</v>
      </c>
      <c r="F19" s="24">
        <v>0</v>
      </c>
      <c r="G19" s="24">
        <v>0</v>
      </c>
      <c r="H19" s="24">
        <v>0</v>
      </c>
      <c r="I19" s="24">
        <f t="shared" si="0"/>
        <v>24</v>
      </c>
      <c r="J19" s="117">
        <v>0</v>
      </c>
      <c r="K19" s="51" t="s">
        <v>10</v>
      </c>
    </row>
    <row r="20" spans="1:11" x14ac:dyDescent="0.2">
      <c r="A20" s="56" t="s">
        <v>44</v>
      </c>
      <c r="B20" s="24">
        <v>112</v>
      </c>
      <c r="C20" s="24">
        <v>0</v>
      </c>
      <c r="D20" s="24">
        <v>112</v>
      </c>
      <c r="E20" s="24">
        <v>0</v>
      </c>
      <c r="F20" s="24">
        <v>0</v>
      </c>
      <c r="G20" s="24">
        <v>0</v>
      </c>
      <c r="H20" s="24">
        <v>0</v>
      </c>
      <c r="I20" s="24">
        <f t="shared" si="0"/>
        <v>112</v>
      </c>
      <c r="J20" s="117">
        <v>0</v>
      </c>
      <c r="K20" s="51" t="s">
        <v>10</v>
      </c>
    </row>
    <row r="21" spans="1:11" x14ac:dyDescent="0.2">
      <c r="A21" s="177" t="s">
        <v>161</v>
      </c>
      <c r="B21" s="24">
        <v>17</v>
      </c>
      <c r="C21" s="24">
        <v>0</v>
      </c>
      <c r="D21" s="24">
        <v>17</v>
      </c>
      <c r="E21" s="24">
        <v>0</v>
      </c>
      <c r="F21" s="24">
        <v>0</v>
      </c>
      <c r="G21" s="24">
        <v>0</v>
      </c>
      <c r="H21" s="24">
        <v>0</v>
      </c>
      <c r="I21" s="24">
        <f t="shared" ref="I21" si="3">D21+F21+G21+H21</f>
        <v>17</v>
      </c>
      <c r="J21" s="117">
        <v>0</v>
      </c>
      <c r="K21" s="51" t="s">
        <v>10</v>
      </c>
    </row>
    <row r="22" spans="1:11" x14ac:dyDescent="0.2">
      <c r="A22" s="56" t="s">
        <v>45</v>
      </c>
      <c r="B22" s="24">
        <v>1</v>
      </c>
      <c r="C22" s="24">
        <v>0</v>
      </c>
      <c r="D22" s="24">
        <v>1</v>
      </c>
      <c r="E22" s="24">
        <v>0</v>
      </c>
      <c r="F22" s="24">
        <v>0</v>
      </c>
      <c r="G22" s="24">
        <v>0</v>
      </c>
      <c r="H22" s="24">
        <v>0</v>
      </c>
      <c r="I22" s="24">
        <f t="shared" si="0"/>
        <v>1</v>
      </c>
      <c r="J22" s="117">
        <v>0</v>
      </c>
      <c r="K22" s="51" t="s">
        <v>10</v>
      </c>
    </row>
    <row r="23" spans="1:11" x14ac:dyDescent="0.2">
      <c r="A23" s="177" t="s">
        <v>602</v>
      </c>
      <c r="B23" s="24">
        <v>39</v>
      </c>
      <c r="C23" s="24">
        <v>0</v>
      </c>
      <c r="D23" s="24">
        <v>39</v>
      </c>
      <c r="E23" s="24">
        <v>0</v>
      </c>
      <c r="F23" s="24">
        <v>0</v>
      </c>
      <c r="G23" s="24">
        <v>3</v>
      </c>
      <c r="H23" s="24">
        <v>0</v>
      </c>
      <c r="I23" s="24">
        <f t="shared" ref="I23" si="4">D23+F23+G23+H23</f>
        <v>42</v>
      </c>
      <c r="J23" s="117">
        <v>0</v>
      </c>
      <c r="K23" s="51" t="s">
        <v>10</v>
      </c>
    </row>
    <row r="24" spans="1:11" x14ac:dyDescent="0.2">
      <c r="A24" s="56" t="s">
        <v>46</v>
      </c>
      <c r="B24" s="24">
        <v>1</v>
      </c>
      <c r="C24" s="24">
        <v>0</v>
      </c>
      <c r="D24" s="24">
        <v>1</v>
      </c>
      <c r="E24" s="24">
        <v>0</v>
      </c>
      <c r="F24" s="24">
        <v>0</v>
      </c>
      <c r="G24" s="24">
        <v>0</v>
      </c>
      <c r="H24" s="24">
        <v>0</v>
      </c>
      <c r="I24" s="24">
        <f t="shared" si="0"/>
        <v>1</v>
      </c>
      <c r="J24" s="117">
        <v>0</v>
      </c>
      <c r="K24" s="51" t="s">
        <v>10</v>
      </c>
    </row>
    <row r="25" spans="1:11" x14ac:dyDescent="0.2">
      <c r="A25" s="56" t="s">
        <v>47</v>
      </c>
      <c r="B25" s="24">
        <v>0</v>
      </c>
      <c r="C25" s="24">
        <v>0</v>
      </c>
      <c r="D25" s="24">
        <v>0</v>
      </c>
      <c r="E25" s="24">
        <v>0</v>
      </c>
      <c r="F25" s="24">
        <v>0</v>
      </c>
      <c r="G25" s="24">
        <v>0</v>
      </c>
      <c r="H25" s="24">
        <v>0</v>
      </c>
      <c r="I25" s="24">
        <f t="shared" si="0"/>
        <v>0</v>
      </c>
      <c r="J25" s="117">
        <v>0</v>
      </c>
      <c r="K25" s="51" t="s">
        <v>10</v>
      </c>
    </row>
    <row r="26" spans="1:11" x14ac:dyDescent="0.2">
      <c r="A26" s="56" t="s">
        <v>48</v>
      </c>
      <c r="B26" s="24">
        <v>0</v>
      </c>
      <c r="C26" s="24">
        <v>0</v>
      </c>
      <c r="D26" s="24">
        <v>0</v>
      </c>
      <c r="E26" s="24">
        <v>0</v>
      </c>
      <c r="F26" s="24">
        <v>0</v>
      </c>
      <c r="G26" s="24">
        <v>0</v>
      </c>
      <c r="H26" s="24">
        <v>0</v>
      </c>
      <c r="I26" s="24">
        <f t="shared" si="0"/>
        <v>0</v>
      </c>
      <c r="J26" s="117">
        <v>0</v>
      </c>
      <c r="K26" s="51" t="s">
        <v>10</v>
      </c>
    </row>
    <row r="27" spans="1:11" x14ac:dyDescent="0.2">
      <c r="A27" s="56" t="s">
        <v>49</v>
      </c>
      <c r="B27" s="24">
        <v>4</v>
      </c>
      <c r="C27" s="24">
        <v>0</v>
      </c>
      <c r="D27" s="24">
        <v>4</v>
      </c>
      <c r="E27" s="24">
        <v>0</v>
      </c>
      <c r="F27" s="24">
        <v>0</v>
      </c>
      <c r="G27" s="24">
        <v>0</v>
      </c>
      <c r="H27" s="24">
        <v>0</v>
      </c>
      <c r="I27" s="24">
        <f t="shared" si="0"/>
        <v>4</v>
      </c>
      <c r="J27" s="117">
        <v>0</v>
      </c>
      <c r="K27" s="51" t="s">
        <v>10</v>
      </c>
    </row>
    <row r="28" spans="1:11" x14ac:dyDescent="0.2">
      <c r="A28" s="56" t="s">
        <v>51</v>
      </c>
      <c r="B28" s="24">
        <v>35</v>
      </c>
      <c r="C28" s="24">
        <v>0</v>
      </c>
      <c r="D28" s="24">
        <v>35</v>
      </c>
      <c r="E28" s="24">
        <v>0</v>
      </c>
      <c r="F28" s="24">
        <v>0</v>
      </c>
      <c r="G28" s="24">
        <v>0</v>
      </c>
      <c r="H28" s="24">
        <v>0</v>
      </c>
      <c r="I28" s="24">
        <f t="shared" si="0"/>
        <v>35</v>
      </c>
      <c r="J28" s="117">
        <v>0</v>
      </c>
      <c r="K28" s="51" t="s">
        <v>10</v>
      </c>
    </row>
    <row r="29" spans="1:11" x14ac:dyDescent="0.2">
      <c r="A29" s="56" t="s">
        <v>50</v>
      </c>
      <c r="B29" s="24">
        <v>0</v>
      </c>
      <c r="C29" s="24">
        <v>0</v>
      </c>
      <c r="D29" s="24">
        <v>0</v>
      </c>
      <c r="E29" s="24">
        <v>0</v>
      </c>
      <c r="F29" s="24">
        <v>0</v>
      </c>
      <c r="G29" s="24">
        <v>0</v>
      </c>
      <c r="H29" s="24">
        <v>0</v>
      </c>
      <c r="I29" s="24">
        <f t="shared" si="0"/>
        <v>0</v>
      </c>
      <c r="J29" s="117">
        <v>0</v>
      </c>
      <c r="K29" s="51" t="s">
        <v>10</v>
      </c>
    </row>
    <row r="30" spans="1:11" ht="15" x14ac:dyDescent="0.25">
      <c r="A30" s="59" t="s">
        <v>12</v>
      </c>
      <c r="B30" s="118">
        <f t="shared" ref="B30:J30" si="5">SUM(B9:B29)</f>
        <v>702</v>
      </c>
      <c r="C30" s="118">
        <f t="shared" si="5"/>
        <v>0</v>
      </c>
      <c r="D30" s="118">
        <f t="shared" si="5"/>
        <v>702</v>
      </c>
      <c r="E30" s="118">
        <f t="shared" si="5"/>
        <v>0</v>
      </c>
      <c r="F30" s="118">
        <f t="shared" si="5"/>
        <v>0</v>
      </c>
      <c r="G30" s="118">
        <f t="shared" si="5"/>
        <v>15</v>
      </c>
      <c r="H30" s="118">
        <f t="shared" si="5"/>
        <v>0</v>
      </c>
      <c r="I30" s="118">
        <f t="shared" si="5"/>
        <v>717</v>
      </c>
      <c r="J30" s="119">
        <f t="shared" si="5"/>
        <v>0</v>
      </c>
      <c r="K30" s="51" t="s">
        <v>10</v>
      </c>
    </row>
    <row r="31" spans="1:11" x14ac:dyDescent="0.2">
      <c r="A31" s="57" t="s">
        <v>56</v>
      </c>
      <c r="B31" s="125">
        <v>0</v>
      </c>
      <c r="C31" s="125">
        <v>0</v>
      </c>
      <c r="D31" s="125">
        <v>0</v>
      </c>
      <c r="E31" s="125">
        <v>0</v>
      </c>
      <c r="F31" s="125">
        <v>0</v>
      </c>
      <c r="G31" s="125">
        <v>0</v>
      </c>
      <c r="H31" s="125">
        <f>SUM(H11:H30)</f>
        <v>0</v>
      </c>
      <c r="I31" s="125">
        <f t="shared" si="0"/>
        <v>0</v>
      </c>
      <c r="J31" s="126">
        <v>0</v>
      </c>
      <c r="K31" s="51" t="s">
        <v>10</v>
      </c>
    </row>
    <row r="32" spans="1:11" x14ac:dyDescent="0.2">
      <c r="A32" s="58" t="s">
        <v>57</v>
      </c>
      <c r="B32" s="24">
        <v>0</v>
      </c>
      <c r="C32" s="24">
        <v>0</v>
      </c>
      <c r="D32" s="24">
        <v>0</v>
      </c>
      <c r="E32" s="24">
        <v>0</v>
      </c>
      <c r="F32" s="24">
        <v>0</v>
      </c>
      <c r="G32" s="24">
        <v>0</v>
      </c>
      <c r="H32" s="24">
        <f>SUM(H13:H31)</f>
        <v>0</v>
      </c>
      <c r="I32" s="24">
        <f t="shared" si="0"/>
        <v>0</v>
      </c>
      <c r="J32" s="117">
        <v>0</v>
      </c>
      <c r="K32" s="51" t="s">
        <v>10</v>
      </c>
    </row>
    <row r="33" spans="1:11" x14ac:dyDescent="0.2">
      <c r="A33" s="58" t="s">
        <v>58</v>
      </c>
      <c r="B33" s="24">
        <v>0</v>
      </c>
      <c r="C33" s="24">
        <v>0</v>
      </c>
      <c r="D33" s="24">
        <v>0</v>
      </c>
      <c r="E33" s="24">
        <v>0</v>
      </c>
      <c r="F33" s="24">
        <v>0</v>
      </c>
      <c r="G33" s="24">
        <v>0</v>
      </c>
      <c r="H33" s="24">
        <f>SUM(H14:H32)</f>
        <v>0</v>
      </c>
      <c r="I33" s="24">
        <f t="shared" si="0"/>
        <v>0</v>
      </c>
      <c r="J33" s="117">
        <v>0</v>
      </c>
      <c r="K33" s="51" t="s">
        <v>10</v>
      </c>
    </row>
    <row r="34" spans="1:11" ht="15" x14ac:dyDescent="0.25">
      <c r="A34" s="59" t="s">
        <v>12</v>
      </c>
      <c r="B34" s="118">
        <f>SUM(B31:B33)</f>
        <v>0</v>
      </c>
      <c r="C34" s="118">
        <f t="shared" ref="C34:J34" si="6">SUM(C31:C33)</f>
        <v>0</v>
      </c>
      <c r="D34" s="118">
        <f t="shared" si="6"/>
        <v>0</v>
      </c>
      <c r="E34" s="118">
        <f t="shared" si="6"/>
        <v>0</v>
      </c>
      <c r="F34" s="118">
        <f t="shared" si="6"/>
        <v>0</v>
      </c>
      <c r="G34" s="118">
        <f t="shared" si="6"/>
        <v>0</v>
      </c>
      <c r="H34" s="118">
        <f t="shared" si="6"/>
        <v>0</v>
      </c>
      <c r="I34" s="118">
        <f t="shared" si="6"/>
        <v>0</v>
      </c>
      <c r="J34" s="119">
        <f t="shared" si="6"/>
        <v>0</v>
      </c>
      <c r="K34" s="51" t="s">
        <v>10</v>
      </c>
    </row>
    <row r="35" spans="1:11" x14ac:dyDescent="0.2">
      <c r="A35" s="143"/>
      <c r="K35" s="51" t="s">
        <v>10</v>
      </c>
    </row>
    <row r="36" spans="1:11" x14ac:dyDescent="0.2">
      <c r="A36" s="143"/>
      <c r="K36" s="51" t="s">
        <v>11</v>
      </c>
    </row>
  </sheetData>
  <customSheetViews>
    <customSheetView guid="{EE916FE7-61FB-4021-ADDD-E082241FC03C}" scale="80" showPageBreaks="1" printArea="1" view="pageBreakPreview">
      <selection activeCell="A13" sqref="A13"/>
      <pageMargins left="0.7" right="0.7" top="0.75" bottom="0.75" header="0.3" footer="0.3"/>
      <printOptions horizontalCentered="1"/>
      <pageSetup scale="71" orientation="landscape" r:id="rId1"/>
      <headerFooter>
        <oddHeader>&amp;L&amp;"Arial,Bold"&amp;12I. Detail of Permanent Positions by Category</oddHeader>
        <oddFooter>&amp;C&amp;"Arial,Regular"Exhibit I - Details of Permanent Positions by Category&amp;R&amp;"Arial,Regular"Management and Administration</oddFooter>
      </headerFooter>
    </customSheetView>
    <customSheetView guid="{0BB5DC4B-BC2A-4489-BE17-5E267FA1EF63}" scale="80" showPageBreaks="1" printArea="1" view="pageBreakPreview">
      <selection activeCell="A13" sqref="A13"/>
      <pageMargins left="0.7" right="0.7" top="0.75" bottom="0.75" header="0.3" footer="0.3"/>
      <printOptions horizontalCentered="1"/>
      <pageSetup scale="71" orientation="landscape" r:id="rId2"/>
      <headerFooter>
        <oddHeader>&amp;L&amp;"Arial,Bold"&amp;12I. Detail of Permanent Positions by Category</oddHeader>
        <oddFooter>&amp;C&amp;"Arial,Regular"Exhibit I - Details of Permanent Positions by Category&amp;R&amp;"Arial,Regular"Management and Administration</oddFooter>
      </headerFooter>
    </customSheetView>
    <customSheetView guid="{6C58FFE1-D756-42C4-A1BC-AA7F1DC1E56F}" scale="80" showPageBreaks="1" printArea="1" view="pageBreakPreview">
      <selection activeCell="K50" sqref="K50"/>
      <pageMargins left="0.7" right="0.7" top="0.75" bottom="0.75" header="0.3" footer="0.3"/>
      <printOptions horizontalCentered="1"/>
      <pageSetup scale="71" orientation="landscape" r:id="rId3"/>
      <headerFooter>
        <oddHeader>&amp;L&amp;"Arial,Bold"&amp;12I. Detail of Permanent Positions by Category</oddHeader>
        <oddFooter>&amp;C&amp;"Arial,Regular"Exhibit I - Details of Permanent Positions by Category&amp;R&amp;"Arial,Regular"Management and Administration</oddFooter>
      </headerFooter>
    </customSheetView>
    <customSheetView guid="{CFA5D1C9-F4C9-4B8D-923D-4C71CB6E7D3B}" scale="80" showPageBreaks="1" printArea="1" view="pageBreakPreview">
      <selection activeCell="A13" sqref="A13"/>
      <pageMargins left="0.7" right="0.7" top="0.75" bottom="0.75" header="0.3" footer="0.3"/>
      <printOptions horizontalCentered="1"/>
      <pageSetup scale="71" orientation="landscape" r:id="rId4"/>
      <headerFooter>
        <oddHeader>&amp;L&amp;"Arial,Bold"&amp;12I. Detail of Permanent Positions by Category</oddHeader>
        <oddFooter>&amp;C&amp;"Arial,Regular"Exhibit I - Details of Permanent Positions by Category&amp;R&amp;"Arial,Regular"Management and Administration</oddFooter>
      </headerFooter>
    </customSheetView>
    <customSheetView guid="{A788DF77-74F1-49E4-8B34-BFBDB7664F30}" scale="80" showPageBreaks="1" printArea="1" view="pageBreakPreview">
      <selection activeCell="K50" sqref="K50"/>
      <pageMargins left="0.7" right="0.7" top="0.75" bottom="0.75" header="0.3" footer="0.3"/>
      <printOptions horizontalCentered="1"/>
      <pageSetup scale="71" orientation="landscape" r:id="rId5"/>
      <headerFooter>
        <oddHeader>&amp;L&amp;"Arial,Bold"&amp;12I. Detail of Permanent Positions by Category</oddHeader>
        <oddFooter>&amp;C&amp;"Arial,Regular"Exhibit I - Details of Permanent Positions by Category&amp;R&amp;"Arial,Regular"Management and Administration</oddFooter>
      </headerFooter>
    </customSheetView>
  </customSheetViews>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1" orientation="landscape" r:id="rId6"/>
  <headerFooter>
    <oddHeader>&amp;L&amp;"Arial,Bold"&amp;12I. Detail of Permanent Positions by Category</oddHeader>
    <oddFooter>&amp;C&amp;"Arial,Regular"Exhibit I - Details of Permanent Positions by Category&amp;R&amp;"Arial,Regular"Management and Administration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view="pageBreakPreview" zoomScale="80" zoomScaleNormal="100" zoomScaleSheetLayoutView="80" workbookViewId="0">
      <pane xSplit="1" ySplit="7" topLeftCell="B8" activePane="bottomRight" state="frozen"/>
      <selection pane="topRight" activeCell="B1" sqref="B1"/>
      <selection pane="bottomLeft" activeCell="A8" sqref="A8"/>
      <selection pane="bottomRight" activeCell="B6" sqref="B6:C48"/>
    </sheetView>
  </sheetViews>
  <sheetFormatPr defaultRowHeight="14.25" x14ac:dyDescent="0.2"/>
  <cols>
    <col min="1" max="1" width="86.5703125" style="9" customWidth="1"/>
    <col min="2" max="2" width="8.28515625" style="9" customWidth="1"/>
    <col min="3" max="3" width="12.7109375" style="9" customWidth="1"/>
    <col min="4" max="4" width="8.28515625" style="9" customWidth="1"/>
    <col min="5" max="5" width="12.7109375" style="9" customWidth="1"/>
    <col min="6" max="6" width="8.28515625" style="9" customWidth="1"/>
    <col min="7" max="7" width="12.7109375" style="9" customWidth="1"/>
    <col min="8" max="8" width="8.28515625" style="9" customWidth="1"/>
    <col min="9" max="9" width="12.7109375" style="9" customWidth="1"/>
    <col min="10" max="10" width="14" style="4" bestFit="1" customWidth="1"/>
    <col min="11" max="11" width="4.5703125" style="9" customWidth="1"/>
    <col min="12" max="13" width="8.28515625" style="9" customWidth="1"/>
    <col min="14" max="14" width="12.7109375" style="9" customWidth="1"/>
    <col min="15" max="16" width="8.28515625" style="9" customWidth="1"/>
    <col min="17" max="17" width="12.7109375" style="9" customWidth="1"/>
    <col min="18" max="16384" width="9.140625" style="9"/>
  </cols>
  <sheetData>
    <row r="1" spans="1:17" ht="18" x14ac:dyDescent="0.25">
      <c r="A1" s="577" t="s">
        <v>59</v>
      </c>
      <c r="B1" s="577"/>
      <c r="C1" s="577"/>
      <c r="D1" s="577"/>
      <c r="E1" s="577"/>
      <c r="F1" s="577"/>
      <c r="G1" s="577"/>
      <c r="H1" s="577"/>
      <c r="I1" s="577"/>
      <c r="J1" s="51" t="s">
        <v>10</v>
      </c>
      <c r="K1" s="6"/>
      <c r="L1" s="6"/>
      <c r="M1" s="6"/>
      <c r="N1" s="6"/>
      <c r="O1" s="6"/>
      <c r="P1" s="6"/>
      <c r="Q1" s="6"/>
    </row>
    <row r="2" spans="1:17" ht="15" x14ac:dyDescent="0.2">
      <c r="A2" s="578" t="s">
        <v>152</v>
      </c>
      <c r="B2" s="578"/>
      <c r="C2" s="578"/>
      <c r="D2" s="578"/>
      <c r="E2" s="578"/>
      <c r="F2" s="578"/>
      <c r="G2" s="578"/>
      <c r="H2" s="578"/>
      <c r="I2" s="578"/>
      <c r="J2" s="51" t="s">
        <v>10</v>
      </c>
      <c r="K2" s="7"/>
      <c r="L2" s="7"/>
      <c r="M2" s="7"/>
      <c r="N2" s="7"/>
      <c r="O2" s="7"/>
      <c r="P2" s="7"/>
      <c r="Q2" s="7"/>
    </row>
    <row r="3" spans="1:17" x14ac:dyDescent="0.2">
      <c r="A3" s="579" t="s">
        <v>153</v>
      </c>
      <c r="B3" s="587"/>
      <c r="C3" s="587"/>
      <c r="D3" s="587"/>
      <c r="E3" s="587"/>
      <c r="F3" s="587"/>
      <c r="G3" s="587"/>
      <c r="H3" s="587"/>
      <c r="I3" s="587"/>
      <c r="J3" s="51" t="s">
        <v>10</v>
      </c>
      <c r="K3" s="10"/>
      <c r="L3" s="10"/>
      <c r="M3" s="10"/>
      <c r="N3" s="10"/>
      <c r="O3" s="10"/>
      <c r="P3" s="10"/>
      <c r="Q3" s="10"/>
    </row>
    <row r="4" spans="1:17" x14ac:dyDescent="0.2">
      <c r="A4" s="584" t="s">
        <v>1</v>
      </c>
      <c r="B4" s="584"/>
      <c r="C4" s="584"/>
      <c r="D4" s="584"/>
      <c r="E4" s="584"/>
      <c r="F4" s="584"/>
      <c r="G4" s="584"/>
      <c r="H4" s="584"/>
      <c r="I4" s="584"/>
      <c r="J4" s="51" t="s">
        <v>10</v>
      </c>
      <c r="K4" s="8"/>
      <c r="L4" s="8"/>
      <c r="M4" s="8"/>
      <c r="N4" s="8"/>
      <c r="O4" s="8"/>
      <c r="P4" s="8"/>
      <c r="Q4" s="8"/>
    </row>
    <row r="5" spans="1:17" ht="15" thickBot="1" x14ac:dyDescent="0.25">
      <c r="A5" s="584"/>
      <c r="B5" s="584"/>
      <c r="C5" s="584"/>
      <c r="D5" s="584"/>
      <c r="E5" s="584"/>
      <c r="F5" s="584"/>
      <c r="G5" s="584"/>
      <c r="H5" s="584"/>
      <c r="I5" s="584"/>
      <c r="J5" s="51" t="s">
        <v>10</v>
      </c>
      <c r="K5" s="8"/>
      <c r="L5" s="8"/>
      <c r="M5" s="8"/>
      <c r="N5" s="8"/>
      <c r="O5" s="8"/>
      <c r="P5" s="8"/>
      <c r="Q5" s="8"/>
    </row>
    <row r="6" spans="1:17" ht="15" x14ac:dyDescent="0.2">
      <c r="A6" s="585" t="s">
        <v>60</v>
      </c>
      <c r="B6" s="588" t="s">
        <v>133</v>
      </c>
      <c r="C6" s="588"/>
      <c r="D6" s="588" t="s">
        <v>135</v>
      </c>
      <c r="E6" s="588"/>
      <c r="F6" s="588" t="s">
        <v>130</v>
      </c>
      <c r="G6" s="588"/>
      <c r="H6" s="588" t="s">
        <v>31</v>
      </c>
      <c r="I6" s="589"/>
      <c r="J6" s="51" t="s">
        <v>10</v>
      </c>
    </row>
    <row r="7" spans="1:17" ht="28.5" x14ac:dyDescent="0.2">
      <c r="A7" s="586"/>
      <c r="B7" s="52" t="s">
        <v>17</v>
      </c>
      <c r="C7" s="11" t="s">
        <v>3</v>
      </c>
      <c r="D7" s="11" t="s">
        <v>17</v>
      </c>
      <c r="E7" s="11" t="s">
        <v>3</v>
      </c>
      <c r="F7" s="11" t="s">
        <v>17</v>
      </c>
      <c r="G7" s="11" t="s">
        <v>3</v>
      </c>
      <c r="H7" s="11" t="s">
        <v>17</v>
      </c>
      <c r="I7" s="12" t="s">
        <v>3</v>
      </c>
      <c r="J7" s="51" t="s">
        <v>10</v>
      </c>
    </row>
    <row r="8" spans="1:17" x14ac:dyDescent="0.2">
      <c r="A8" s="60" t="s">
        <v>61</v>
      </c>
      <c r="B8" s="115">
        <v>596</v>
      </c>
      <c r="C8" s="115">
        <v>62328</v>
      </c>
      <c r="D8" s="115">
        <v>609</v>
      </c>
      <c r="E8" s="115">
        <v>68579</v>
      </c>
      <c r="F8" s="115">
        <v>668</v>
      </c>
      <c r="G8" s="115">
        <v>70655</v>
      </c>
      <c r="H8" s="115">
        <f>F8-D8</f>
        <v>59</v>
      </c>
      <c r="I8" s="116">
        <f>G8-E8</f>
        <v>2076</v>
      </c>
      <c r="J8" s="51" t="s">
        <v>10</v>
      </c>
    </row>
    <row r="9" spans="1:17" x14ac:dyDescent="0.2">
      <c r="A9" s="61" t="s">
        <v>62</v>
      </c>
      <c r="B9" s="24">
        <v>0</v>
      </c>
      <c r="C9" s="24">
        <v>1706</v>
      </c>
      <c r="D9" s="24">
        <v>0</v>
      </c>
      <c r="E9" s="24">
        <v>1877</v>
      </c>
      <c r="F9" s="24">
        <v>0</v>
      </c>
      <c r="G9" s="24">
        <v>1871</v>
      </c>
      <c r="H9" s="24">
        <f t="shared" ref="H9:H13" si="0">F9-D9</f>
        <v>0</v>
      </c>
      <c r="I9" s="117">
        <f t="shared" ref="I9:I13" si="1">G9-E9</f>
        <v>-6</v>
      </c>
      <c r="J9" s="51" t="s">
        <v>10</v>
      </c>
    </row>
    <row r="10" spans="1:17" x14ac:dyDescent="0.2">
      <c r="A10" s="98" t="s">
        <v>106</v>
      </c>
      <c r="B10" s="24">
        <f>SUM(B11:B12)</f>
        <v>0</v>
      </c>
      <c r="C10" s="24">
        <v>924</v>
      </c>
      <c r="D10" s="24">
        <f t="shared" ref="D10:F10" si="2">SUM(D11:D12)</f>
        <v>0</v>
      </c>
      <c r="E10" s="24">
        <v>1017</v>
      </c>
      <c r="F10" s="24">
        <f t="shared" si="2"/>
        <v>0</v>
      </c>
      <c r="G10" s="24">
        <v>1014</v>
      </c>
      <c r="H10" s="24">
        <f t="shared" si="0"/>
        <v>0</v>
      </c>
      <c r="I10" s="117">
        <f t="shared" si="1"/>
        <v>-3</v>
      </c>
      <c r="J10" s="51" t="s">
        <v>10</v>
      </c>
    </row>
    <row r="11" spans="1:17" x14ac:dyDescent="0.2">
      <c r="A11" s="62" t="s">
        <v>16</v>
      </c>
      <c r="B11" s="134">
        <v>0</v>
      </c>
      <c r="C11" s="134">
        <v>0</v>
      </c>
      <c r="D11" s="134">
        <v>0</v>
      </c>
      <c r="E11" s="134">
        <v>0</v>
      </c>
      <c r="F11" s="134">
        <v>0</v>
      </c>
      <c r="G11" s="134">
        <v>0</v>
      </c>
      <c r="H11" s="134">
        <f t="shared" si="0"/>
        <v>0</v>
      </c>
      <c r="I11" s="135">
        <f t="shared" si="1"/>
        <v>0</v>
      </c>
      <c r="J11" s="51" t="s">
        <v>10</v>
      </c>
    </row>
    <row r="12" spans="1:17" x14ac:dyDescent="0.2">
      <c r="A12" s="62" t="s">
        <v>63</v>
      </c>
      <c r="B12" s="134">
        <v>0</v>
      </c>
      <c r="C12" s="134">
        <v>0</v>
      </c>
      <c r="D12" s="134">
        <v>0</v>
      </c>
      <c r="E12" s="134">
        <v>0</v>
      </c>
      <c r="F12" s="134">
        <v>0</v>
      </c>
      <c r="G12" s="134">
        <v>0</v>
      </c>
      <c r="H12" s="134">
        <f t="shared" si="0"/>
        <v>0</v>
      </c>
      <c r="I12" s="135">
        <f t="shared" si="1"/>
        <v>0</v>
      </c>
      <c r="J12" s="51" t="s">
        <v>10</v>
      </c>
    </row>
    <row r="13" spans="1:17" x14ac:dyDescent="0.2">
      <c r="A13" s="61" t="s">
        <v>64</v>
      </c>
      <c r="B13" s="131">
        <v>0</v>
      </c>
      <c r="C13" s="131">
        <v>18</v>
      </c>
      <c r="D13" s="131">
        <v>0</v>
      </c>
      <c r="E13" s="131">
        <v>19</v>
      </c>
      <c r="F13" s="131">
        <v>0</v>
      </c>
      <c r="G13" s="131">
        <v>19</v>
      </c>
      <c r="H13" s="131">
        <f t="shared" si="0"/>
        <v>0</v>
      </c>
      <c r="I13" s="132">
        <f t="shared" si="1"/>
        <v>0</v>
      </c>
      <c r="J13" s="51" t="s">
        <v>10</v>
      </c>
    </row>
    <row r="14" spans="1:17" ht="15" x14ac:dyDescent="0.25">
      <c r="A14" s="64" t="s">
        <v>12</v>
      </c>
      <c r="B14" s="105">
        <f>SUM(B8:B10,B13)</f>
        <v>596</v>
      </c>
      <c r="C14" s="105">
        <f t="shared" ref="C14:I14" si="3">SUM(C8:C10,C13)</f>
        <v>64976</v>
      </c>
      <c r="D14" s="105">
        <f t="shared" si="3"/>
        <v>609</v>
      </c>
      <c r="E14" s="105">
        <f t="shared" si="3"/>
        <v>71492</v>
      </c>
      <c r="F14" s="105">
        <f t="shared" si="3"/>
        <v>668</v>
      </c>
      <c r="G14" s="105">
        <f t="shared" si="3"/>
        <v>73559</v>
      </c>
      <c r="H14" s="105">
        <f t="shared" si="3"/>
        <v>59</v>
      </c>
      <c r="I14" s="109">
        <f t="shared" si="3"/>
        <v>2067</v>
      </c>
      <c r="J14" s="51" t="s">
        <v>10</v>
      </c>
    </row>
    <row r="15" spans="1:17" ht="15" x14ac:dyDescent="0.25">
      <c r="A15" s="63" t="s">
        <v>65</v>
      </c>
      <c r="B15" s="24"/>
      <c r="C15" s="24"/>
      <c r="D15" s="24"/>
      <c r="E15" s="24"/>
      <c r="F15" s="24"/>
      <c r="G15" s="24"/>
      <c r="H15" s="24"/>
      <c r="I15" s="117"/>
      <c r="J15" s="51" t="s">
        <v>10</v>
      </c>
    </row>
    <row r="16" spans="1:17" x14ac:dyDescent="0.2">
      <c r="A16" s="61" t="s">
        <v>66</v>
      </c>
      <c r="B16" s="24"/>
      <c r="C16" s="24">
        <v>19741</v>
      </c>
      <c r="D16" s="24"/>
      <c r="E16" s="24">
        <v>21721</v>
      </c>
      <c r="F16" s="24"/>
      <c r="G16" s="24">
        <v>21850</v>
      </c>
      <c r="H16" s="24"/>
      <c r="I16" s="117">
        <f t="shared" ref="I16:I36" si="4">G16-E16</f>
        <v>129</v>
      </c>
      <c r="J16" s="51" t="s">
        <v>10</v>
      </c>
    </row>
    <row r="17" spans="1:10" x14ac:dyDescent="0.2">
      <c r="A17" s="61" t="s">
        <v>67</v>
      </c>
      <c r="B17" s="24"/>
      <c r="C17" s="24">
        <v>109</v>
      </c>
      <c r="D17" s="24"/>
      <c r="E17" s="24">
        <v>120</v>
      </c>
      <c r="F17" s="24"/>
      <c r="G17" s="24">
        <v>120</v>
      </c>
      <c r="H17" s="24"/>
      <c r="I17" s="117">
        <f t="shared" si="4"/>
        <v>0</v>
      </c>
      <c r="J17" s="51" t="s">
        <v>10</v>
      </c>
    </row>
    <row r="18" spans="1:10" x14ac:dyDescent="0.2">
      <c r="A18" s="61" t="s">
        <v>68</v>
      </c>
      <c r="B18" s="24"/>
      <c r="C18" s="24">
        <v>674</v>
      </c>
      <c r="D18" s="24"/>
      <c r="E18" s="24">
        <v>742</v>
      </c>
      <c r="F18" s="24"/>
      <c r="G18" s="24">
        <v>740</v>
      </c>
      <c r="H18" s="24"/>
      <c r="I18" s="444">
        <f t="shared" si="4"/>
        <v>-2</v>
      </c>
      <c r="J18" s="51" t="s">
        <v>10</v>
      </c>
    </row>
    <row r="19" spans="1:10" x14ac:dyDescent="0.2">
      <c r="A19" s="98" t="s">
        <v>107</v>
      </c>
      <c r="B19" s="24"/>
      <c r="C19" s="24">
        <v>706</v>
      </c>
      <c r="D19" s="24"/>
      <c r="E19" s="24">
        <v>777</v>
      </c>
      <c r="F19" s="24"/>
      <c r="G19" s="24">
        <v>775</v>
      </c>
      <c r="H19" s="24"/>
      <c r="I19" s="444">
        <f t="shared" si="4"/>
        <v>-2</v>
      </c>
      <c r="J19" s="51" t="s">
        <v>10</v>
      </c>
    </row>
    <row r="20" spans="1:10" x14ac:dyDescent="0.2">
      <c r="A20" s="61" t="s">
        <v>69</v>
      </c>
      <c r="B20" s="24"/>
      <c r="C20" s="24">
        <v>24152</v>
      </c>
      <c r="D20" s="24"/>
      <c r="E20" s="24">
        <v>26574</v>
      </c>
      <c r="F20" s="24"/>
      <c r="G20" s="24">
        <v>28594</v>
      </c>
      <c r="H20" s="24"/>
      <c r="I20" s="117">
        <f t="shared" si="4"/>
        <v>2020</v>
      </c>
      <c r="J20" s="51" t="s">
        <v>10</v>
      </c>
    </row>
    <row r="21" spans="1:10" x14ac:dyDescent="0.2">
      <c r="A21" s="61" t="s">
        <v>70</v>
      </c>
      <c r="B21" s="24"/>
      <c r="C21" s="24">
        <v>0</v>
      </c>
      <c r="D21" s="24"/>
      <c r="E21" s="24">
        <v>0</v>
      </c>
      <c r="F21" s="24"/>
      <c r="G21" s="24">
        <v>0</v>
      </c>
      <c r="H21" s="24"/>
      <c r="I21" s="117">
        <f t="shared" si="4"/>
        <v>0</v>
      </c>
      <c r="J21" s="51" t="s">
        <v>10</v>
      </c>
    </row>
    <row r="22" spans="1:10" x14ac:dyDescent="0.2">
      <c r="A22" s="61" t="s">
        <v>71</v>
      </c>
      <c r="B22" s="24"/>
      <c r="C22" s="24">
        <v>1925</v>
      </c>
      <c r="D22" s="24"/>
      <c r="E22" s="24">
        <v>2118</v>
      </c>
      <c r="F22" s="24"/>
      <c r="G22" s="24">
        <v>2112</v>
      </c>
      <c r="H22" s="24"/>
      <c r="I22" s="444">
        <f t="shared" si="4"/>
        <v>-6</v>
      </c>
      <c r="J22" s="51" t="s">
        <v>10</v>
      </c>
    </row>
    <row r="23" spans="1:10" x14ac:dyDescent="0.2">
      <c r="A23" s="61" t="s">
        <v>72</v>
      </c>
      <c r="B23" s="24"/>
      <c r="C23" s="24">
        <v>97</v>
      </c>
      <c r="D23" s="24"/>
      <c r="E23" s="24">
        <v>106</v>
      </c>
      <c r="F23" s="24"/>
      <c r="G23" s="24">
        <v>106</v>
      </c>
      <c r="H23" s="24"/>
      <c r="I23" s="444">
        <f t="shared" si="4"/>
        <v>0</v>
      </c>
      <c r="J23" s="51" t="s">
        <v>10</v>
      </c>
    </row>
    <row r="24" spans="1:10" x14ac:dyDescent="0.2">
      <c r="A24" s="61" t="s">
        <v>73</v>
      </c>
      <c r="B24" s="24"/>
      <c r="C24" s="24">
        <v>10455</v>
      </c>
      <c r="D24" s="24"/>
      <c r="E24" s="24">
        <v>11504</v>
      </c>
      <c r="F24" s="24"/>
      <c r="G24" s="24">
        <v>11469</v>
      </c>
      <c r="H24" s="24"/>
      <c r="I24" s="444">
        <f t="shared" si="4"/>
        <v>-35</v>
      </c>
      <c r="J24" s="51" t="s">
        <v>10</v>
      </c>
    </row>
    <row r="25" spans="1:10" x14ac:dyDescent="0.2">
      <c r="A25" s="61" t="s">
        <v>74</v>
      </c>
      <c r="B25" s="24"/>
      <c r="C25" s="24">
        <v>39377</v>
      </c>
      <c r="D25" s="24"/>
      <c r="E25" s="24">
        <v>45240</v>
      </c>
      <c r="F25" s="24"/>
      <c r="G25" s="24">
        <v>41613</v>
      </c>
      <c r="H25" s="24"/>
      <c r="I25" s="444">
        <f t="shared" si="4"/>
        <v>-3627</v>
      </c>
      <c r="J25" s="51" t="s">
        <v>10</v>
      </c>
    </row>
    <row r="26" spans="1:10" x14ac:dyDescent="0.2">
      <c r="A26" s="61" t="s">
        <v>75</v>
      </c>
      <c r="B26" s="24"/>
      <c r="C26" s="24">
        <v>7614</v>
      </c>
      <c r="D26" s="24"/>
      <c r="E26" s="24">
        <v>8378</v>
      </c>
      <c r="F26" s="24"/>
      <c r="G26" s="24">
        <v>8352</v>
      </c>
      <c r="H26" s="24"/>
      <c r="I26" s="444">
        <f t="shared" si="4"/>
        <v>-26</v>
      </c>
      <c r="J26" s="51" t="s">
        <v>10</v>
      </c>
    </row>
    <row r="27" spans="1:10" x14ac:dyDescent="0.2">
      <c r="A27" s="61" t="s">
        <v>76</v>
      </c>
      <c r="B27" s="24"/>
      <c r="C27" s="24">
        <v>139</v>
      </c>
      <c r="D27" s="24"/>
      <c r="E27" s="24">
        <v>153</v>
      </c>
      <c r="F27" s="24"/>
      <c r="G27" s="24">
        <v>153</v>
      </c>
      <c r="H27" s="24"/>
      <c r="I27" s="444">
        <f t="shared" si="4"/>
        <v>0</v>
      </c>
      <c r="J27" s="51" t="s">
        <v>10</v>
      </c>
    </row>
    <row r="28" spans="1:10" x14ac:dyDescent="0.2">
      <c r="A28" s="61" t="s">
        <v>77</v>
      </c>
      <c r="B28" s="24"/>
      <c r="C28" s="24">
        <v>0</v>
      </c>
      <c r="D28" s="24"/>
      <c r="E28" s="24">
        <v>0</v>
      </c>
      <c r="F28" s="24"/>
      <c r="G28" s="24">
        <v>0</v>
      </c>
      <c r="H28" s="24"/>
      <c r="I28" s="444">
        <f t="shared" si="4"/>
        <v>0</v>
      </c>
      <c r="J28" s="51" t="s">
        <v>10</v>
      </c>
    </row>
    <row r="29" spans="1:10" x14ac:dyDescent="0.2">
      <c r="A29" s="61" t="s">
        <v>23</v>
      </c>
      <c r="B29" s="24"/>
      <c r="C29" s="24">
        <v>145</v>
      </c>
      <c r="D29" s="24"/>
      <c r="E29" s="24">
        <v>160</v>
      </c>
      <c r="F29" s="24"/>
      <c r="G29" s="24">
        <v>159</v>
      </c>
      <c r="H29" s="24"/>
      <c r="I29" s="444">
        <f t="shared" si="4"/>
        <v>-1</v>
      </c>
      <c r="J29" s="51" t="s">
        <v>10</v>
      </c>
    </row>
    <row r="30" spans="1:10" x14ac:dyDescent="0.2">
      <c r="A30" s="61" t="s">
        <v>78</v>
      </c>
      <c r="B30" s="24"/>
      <c r="C30" s="24">
        <v>137</v>
      </c>
      <c r="D30" s="24"/>
      <c r="E30" s="24">
        <v>151</v>
      </c>
      <c r="F30" s="24"/>
      <c r="G30" s="24">
        <v>151</v>
      </c>
      <c r="H30" s="24"/>
      <c r="I30" s="444">
        <f t="shared" si="4"/>
        <v>0</v>
      </c>
      <c r="J30" s="51" t="s">
        <v>10</v>
      </c>
    </row>
    <row r="31" spans="1:10" x14ac:dyDescent="0.2">
      <c r="A31" s="61" t="s">
        <v>79</v>
      </c>
      <c r="B31" s="24"/>
      <c r="C31" s="24">
        <v>0</v>
      </c>
      <c r="D31" s="24"/>
      <c r="E31" s="24">
        <v>0</v>
      </c>
      <c r="F31" s="24"/>
      <c r="G31" s="24">
        <v>0</v>
      </c>
      <c r="H31" s="24"/>
      <c r="I31" s="444">
        <f t="shared" si="4"/>
        <v>0</v>
      </c>
      <c r="J31" s="51" t="s">
        <v>10</v>
      </c>
    </row>
    <row r="32" spans="1:10" x14ac:dyDescent="0.2">
      <c r="A32" s="61" t="s">
        <v>80</v>
      </c>
      <c r="B32" s="24"/>
      <c r="C32" s="24">
        <v>456</v>
      </c>
      <c r="D32" s="24"/>
      <c r="E32" s="24">
        <v>501</v>
      </c>
      <c r="F32" s="24"/>
      <c r="G32" s="24">
        <v>500</v>
      </c>
      <c r="H32" s="24"/>
      <c r="I32" s="444">
        <f t="shared" si="4"/>
        <v>-1</v>
      </c>
      <c r="J32" s="51" t="s">
        <v>10</v>
      </c>
    </row>
    <row r="33" spans="1:10" x14ac:dyDescent="0.2">
      <c r="A33" s="61" t="s">
        <v>81</v>
      </c>
      <c r="B33" s="24"/>
      <c r="C33" s="24">
        <v>1488</v>
      </c>
      <c r="D33" s="24"/>
      <c r="E33" s="24">
        <v>1637</v>
      </c>
      <c r="F33" s="24"/>
      <c r="G33" s="24">
        <v>1632</v>
      </c>
      <c r="H33" s="24"/>
      <c r="I33" s="444">
        <f t="shared" si="4"/>
        <v>-5</v>
      </c>
      <c r="J33" s="51" t="s">
        <v>10</v>
      </c>
    </row>
    <row r="34" spans="1:10" x14ac:dyDescent="0.2">
      <c r="A34" s="61" t="s">
        <v>82</v>
      </c>
      <c r="B34" s="24"/>
      <c r="C34" s="24">
        <v>0</v>
      </c>
      <c r="D34" s="24"/>
      <c r="E34" s="24">
        <v>0</v>
      </c>
      <c r="F34" s="24"/>
      <c r="G34" s="24">
        <v>0</v>
      </c>
      <c r="H34" s="24"/>
      <c r="I34" s="444">
        <f t="shared" si="4"/>
        <v>0</v>
      </c>
      <c r="J34" s="51" t="s">
        <v>10</v>
      </c>
    </row>
    <row r="35" spans="1:10" x14ac:dyDescent="0.2">
      <c r="A35" s="61" t="s">
        <v>83</v>
      </c>
      <c r="B35" s="24"/>
      <c r="C35" s="24">
        <v>21</v>
      </c>
      <c r="D35" s="24"/>
      <c r="E35" s="24">
        <v>22</v>
      </c>
      <c r="F35" s="24"/>
      <c r="G35" s="24">
        <v>0</v>
      </c>
      <c r="H35" s="24"/>
      <c r="I35" s="444">
        <f t="shared" si="4"/>
        <v>-22</v>
      </c>
      <c r="J35" s="51" t="s">
        <v>10</v>
      </c>
    </row>
    <row r="36" spans="1:10" x14ac:dyDescent="0.2">
      <c r="A36" s="61" t="s">
        <v>84</v>
      </c>
      <c r="B36" s="24"/>
      <c r="C36" s="24">
        <v>0</v>
      </c>
      <c r="D36" s="24"/>
      <c r="E36" s="24">
        <v>0</v>
      </c>
      <c r="F36" s="24"/>
      <c r="G36" s="24">
        <v>22</v>
      </c>
      <c r="H36" s="24"/>
      <c r="I36" s="117">
        <f t="shared" si="4"/>
        <v>22</v>
      </c>
      <c r="J36" s="51" t="s">
        <v>10</v>
      </c>
    </row>
    <row r="37" spans="1:10" ht="15" x14ac:dyDescent="0.25">
      <c r="A37" s="64" t="s">
        <v>85</v>
      </c>
      <c r="B37" s="70">
        <f>SUM(B14:B36)</f>
        <v>596</v>
      </c>
      <c r="C37" s="70">
        <f>SUM(C14:C36)</f>
        <v>172212</v>
      </c>
      <c r="D37" s="70"/>
      <c r="E37" s="70">
        <f t="shared" ref="E37:I37" si="5">SUM(E14:E36)</f>
        <v>191396</v>
      </c>
      <c r="F37" s="70">
        <f>SUM(F14:F36)</f>
        <v>668</v>
      </c>
      <c r="G37" s="70">
        <f t="shared" si="5"/>
        <v>191907</v>
      </c>
      <c r="H37" s="70">
        <f>SUM(H14:H36)</f>
        <v>59</v>
      </c>
      <c r="I37" s="72">
        <f t="shared" si="5"/>
        <v>511</v>
      </c>
      <c r="J37" s="51" t="s">
        <v>10</v>
      </c>
    </row>
    <row r="38" spans="1:10" x14ac:dyDescent="0.2">
      <c r="A38" s="98" t="s">
        <v>108</v>
      </c>
      <c r="B38" s="24"/>
      <c r="C38" s="434">
        <v>-1300</v>
      </c>
      <c r="D38" s="434"/>
      <c r="E38" s="434">
        <v>-3959</v>
      </c>
      <c r="F38" s="24"/>
      <c r="G38" s="24">
        <v>0</v>
      </c>
      <c r="H38" s="24"/>
      <c r="I38" s="117">
        <f>G38-E38</f>
        <v>3959</v>
      </c>
      <c r="J38" s="51" t="s">
        <v>10</v>
      </c>
    </row>
    <row r="39" spans="1:10" x14ac:dyDescent="0.2">
      <c r="A39" s="142" t="s">
        <v>117</v>
      </c>
      <c r="B39" s="24"/>
      <c r="C39" s="434">
        <v>0</v>
      </c>
      <c r="D39" s="434"/>
      <c r="E39" s="434">
        <v>0</v>
      </c>
      <c r="F39" s="24"/>
      <c r="G39" s="24">
        <v>0</v>
      </c>
      <c r="H39" s="24"/>
      <c r="I39" s="117">
        <f t="shared" ref="I39:I42" si="6">G39-E39</f>
        <v>0</v>
      </c>
      <c r="J39" s="51" t="s">
        <v>10</v>
      </c>
    </row>
    <row r="40" spans="1:10" x14ac:dyDescent="0.2">
      <c r="A40" s="142" t="s">
        <v>118</v>
      </c>
      <c r="B40" s="24"/>
      <c r="C40" s="434">
        <v>-4756</v>
      </c>
      <c r="D40" s="434"/>
      <c r="E40" s="434">
        <v>-105</v>
      </c>
      <c r="F40" s="24"/>
      <c r="G40" s="24">
        <v>0</v>
      </c>
      <c r="H40" s="24"/>
      <c r="I40" s="117">
        <f t="shared" si="6"/>
        <v>105</v>
      </c>
      <c r="J40" s="51" t="s">
        <v>10</v>
      </c>
    </row>
    <row r="41" spans="1:10" x14ac:dyDescent="0.2">
      <c r="A41" s="61" t="s">
        <v>86</v>
      </c>
      <c r="B41" s="24"/>
      <c r="C41" s="24">
        <v>3959</v>
      </c>
      <c r="D41" s="24"/>
      <c r="E41" s="24">
        <v>0</v>
      </c>
      <c r="F41" s="24"/>
      <c r="G41" s="24">
        <v>0</v>
      </c>
      <c r="H41" s="24"/>
      <c r="I41" s="117">
        <f t="shared" si="6"/>
        <v>0</v>
      </c>
      <c r="J41" s="51" t="s">
        <v>10</v>
      </c>
    </row>
    <row r="42" spans="1:10" x14ac:dyDescent="0.2">
      <c r="A42" s="103" t="s">
        <v>112</v>
      </c>
      <c r="B42" s="24"/>
      <c r="C42" s="24">
        <v>0</v>
      </c>
      <c r="D42" s="24"/>
      <c r="E42" s="24">
        <v>0</v>
      </c>
      <c r="F42" s="24"/>
      <c r="G42" s="24">
        <v>0</v>
      </c>
      <c r="H42" s="24"/>
      <c r="I42" s="117">
        <f t="shared" si="6"/>
        <v>0</v>
      </c>
      <c r="J42" s="51" t="s">
        <v>10</v>
      </c>
    </row>
    <row r="43" spans="1:10" ht="15.75" thickBot="1" x14ac:dyDescent="0.3">
      <c r="A43" s="65" t="s">
        <v>87</v>
      </c>
      <c r="B43" s="136">
        <f>SUM(B37:B42)</f>
        <v>596</v>
      </c>
      <c r="C43" s="136">
        <f>SUM(C37:C42)</f>
        <v>170115</v>
      </c>
      <c r="D43" s="136">
        <f t="shared" ref="D43:I43" si="7">SUM(D37:D42)</f>
        <v>0</v>
      </c>
      <c r="E43" s="136">
        <f t="shared" si="7"/>
        <v>187332</v>
      </c>
      <c r="F43" s="136">
        <f>SUM(F37:F42)</f>
        <v>668</v>
      </c>
      <c r="G43" s="136">
        <f t="shared" si="7"/>
        <v>191907</v>
      </c>
      <c r="H43" s="136">
        <f t="shared" si="7"/>
        <v>59</v>
      </c>
      <c r="I43" s="137">
        <f t="shared" si="7"/>
        <v>4575</v>
      </c>
      <c r="J43" s="51" t="s">
        <v>10</v>
      </c>
    </row>
    <row r="44" spans="1:10" x14ac:dyDescent="0.2">
      <c r="A44" s="67" t="s">
        <v>13</v>
      </c>
      <c r="B44" s="138"/>
      <c r="C44" s="138"/>
      <c r="D44" s="138"/>
      <c r="E44" s="138"/>
      <c r="F44" s="138"/>
      <c r="G44" s="138"/>
      <c r="H44" s="138"/>
      <c r="I44" s="139"/>
      <c r="J44" s="51" t="s">
        <v>10</v>
      </c>
    </row>
    <row r="45" spans="1:10" x14ac:dyDescent="0.2">
      <c r="A45" s="61" t="s">
        <v>88</v>
      </c>
      <c r="B45" s="24">
        <v>0</v>
      </c>
      <c r="C45" s="24"/>
      <c r="D45" s="24">
        <v>0</v>
      </c>
      <c r="E45" s="24"/>
      <c r="F45" s="24">
        <v>0</v>
      </c>
      <c r="G45" s="24"/>
      <c r="H45" s="24">
        <f>F45-D45</f>
        <v>0</v>
      </c>
      <c r="I45" s="117"/>
      <c r="J45" s="51" t="s">
        <v>10</v>
      </c>
    </row>
    <row r="46" spans="1:10" x14ac:dyDescent="0.2">
      <c r="A46" s="61"/>
      <c r="B46" s="24"/>
      <c r="C46" s="24"/>
      <c r="D46" s="24"/>
      <c r="E46" s="24"/>
      <c r="F46" s="24"/>
      <c r="G46" s="24"/>
      <c r="H46" s="24"/>
      <c r="I46" s="117"/>
      <c r="J46" s="51" t="s">
        <v>10</v>
      </c>
    </row>
    <row r="47" spans="1:10" x14ac:dyDescent="0.2">
      <c r="A47" s="61" t="s">
        <v>89</v>
      </c>
      <c r="B47" s="24"/>
      <c r="C47" s="24">
        <v>0</v>
      </c>
      <c r="D47" s="24"/>
      <c r="E47" s="24">
        <v>0</v>
      </c>
      <c r="F47" s="24"/>
      <c r="G47" s="24">
        <v>0</v>
      </c>
      <c r="H47" s="24"/>
      <c r="I47" s="117">
        <f t="shared" ref="I47:I48" si="8">G47-E47</f>
        <v>0</v>
      </c>
      <c r="J47" s="51" t="s">
        <v>10</v>
      </c>
    </row>
    <row r="48" spans="1:10" ht="15" thickBot="1" x14ac:dyDescent="0.25">
      <c r="A48" s="66" t="s">
        <v>90</v>
      </c>
      <c r="B48" s="140"/>
      <c r="C48" s="140">
        <v>0</v>
      </c>
      <c r="D48" s="140"/>
      <c r="E48" s="140">
        <v>0</v>
      </c>
      <c r="F48" s="140"/>
      <c r="G48" s="140">
        <v>0</v>
      </c>
      <c r="H48" s="140"/>
      <c r="I48" s="141">
        <f t="shared" si="8"/>
        <v>0</v>
      </c>
      <c r="J48" s="51" t="s">
        <v>10</v>
      </c>
    </row>
    <row r="49" spans="1:10" x14ac:dyDescent="0.2">
      <c r="J49" s="4" t="s">
        <v>11</v>
      </c>
    </row>
    <row r="50" spans="1:10" x14ac:dyDescent="0.2">
      <c r="A50" s="161"/>
    </row>
  </sheetData>
  <customSheetViews>
    <customSheetView guid="{EE916FE7-61FB-4021-ADDD-E082241FC03C}" scale="90" showPageBreaks="1" printArea="1" view="pageBreakPreview">
      <pane xSplit="1" ySplit="7" topLeftCell="B11" activePane="bottomRight" state="frozen"/>
      <selection pane="bottomRight" activeCell="H37" activeCellId="1" sqref="F37 H37"/>
      <pageMargins left="0.6" right="0.6" top="0.56999999999999995" bottom="0.55000000000000004" header="0.3" footer="0.3"/>
      <printOptions horizontalCentered="1"/>
      <pageSetup scale="72" orientation="landscape" r:id="rId1"/>
      <headerFooter>
        <oddHeader>&amp;L&amp;"Arial,Bold"&amp;12K. Summary of Requirements by Object Class</oddHeader>
        <oddFooter>&amp;C&amp;"Arial,Regular"Exhibit K - Summary of Requirements by Object Class&amp;R&amp;"Arial,Regular"Management and Administration</oddFooter>
      </headerFooter>
    </customSheetView>
    <customSheetView guid="{0BB5DC4B-BC2A-4489-BE17-5E267FA1EF63}" scale="90" showPageBreaks="1" printArea="1" view="pageBreakPreview">
      <pane xSplit="1" ySplit="7" topLeftCell="B11" activePane="bottomRight" state="frozen"/>
      <selection pane="bottomRight" activeCell="H37" activeCellId="1" sqref="F37 H37"/>
      <pageMargins left="0.6" right="0.6" top="0.56999999999999995" bottom="0.55000000000000004" header="0.3" footer="0.3"/>
      <printOptions horizontalCentered="1"/>
      <pageSetup scale="72" orientation="landscape" r:id="rId2"/>
      <headerFooter>
        <oddHeader>&amp;L&amp;"Arial,Bold"&amp;12K. Summary of Requirements by Object Class</oddHeader>
        <oddFooter>&amp;C&amp;"Arial,Regular"Exhibit K - Summary of Requirements by Object Class&amp;R&amp;"Arial,Regular"Management and Administration</oddFooter>
      </headerFooter>
    </customSheetView>
    <customSheetView guid="{6C58FFE1-D756-42C4-A1BC-AA7F1DC1E56F}" scale="90" showPageBreaks="1" printArea="1" view="pageBreakPreview">
      <pane xSplit="1" ySplit="7" topLeftCell="B11" activePane="bottomRight" state="frozen"/>
      <selection pane="bottomRight" activeCell="H37" activeCellId="1" sqref="F37 H37"/>
      <pageMargins left="0.6" right="0.6" top="0.56999999999999995" bottom="0.55000000000000004" header="0.3" footer="0.3"/>
      <printOptions horizontalCentered="1"/>
      <pageSetup scale="72" orientation="landscape" r:id="rId3"/>
      <headerFooter>
        <oddHeader>&amp;L&amp;"Arial,Bold"&amp;12K. Summary of Requirements by Object Class</oddHeader>
        <oddFooter>&amp;C&amp;"Arial,Regular"Exhibit K - Summary of Requirements by Object Class&amp;R&amp;"Arial,Regular"Management and Administration</oddFooter>
      </headerFooter>
    </customSheetView>
    <customSheetView guid="{CFA5D1C9-F4C9-4B8D-923D-4C71CB6E7D3B}" scale="90" showPageBreaks="1" printArea="1" view="pageBreakPreview">
      <pane xSplit="1" ySplit="7" topLeftCell="B11" activePane="bottomRight" state="frozen"/>
      <selection pane="bottomRight" activeCell="H37" activeCellId="1" sqref="F37 H37"/>
      <pageMargins left="0.6" right="0.6" top="0.56999999999999995" bottom="0.55000000000000004" header="0.3" footer="0.3"/>
      <printOptions horizontalCentered="1"/>
      <pageSetup scale="72" orientation="landscape" r:id="rId4"/>
      <headerFooter>
        <oddHeader>&amp;L&amp;"Arial,Bold"&amp;12K. Summary of Requirements by Object Class</oddHeader>
        <oddFooter>&amp;C&amp;"Arial,Regular"Exhibit K - Summary of Requirements by Object Class&amp;R&amp;"Arial,Regular"Management and Administration</oddFooter>
      </headerFooter>
    </customSheetView>
    <customSheetView guid="{A788DF77-74F1-49E4-8B34-BFBDB7664F30}" scale="90" showPageBreaks="1" printArea="1" view="pageBreakPreview">
      <pane xSplit="1" ySplit="7" topLeftCell="B11" activePane="bottomRight" state="frozen"/>
      <selection pane="bottomRight" activeCell="H37" activeCellId="1" sqref="F37 H37"/>
      <pageMargins left="0.6" right="0.6" top="0.56999999999999995" bottom="0.55000000000000004" header="0.3" footer="0.3"/>
      <printOptions horizontalCentered="1"/>
      <pageSetup scale="72" orientation="landscape" r:id="rId5"/>
      <headerFooter>
        <oddHeader>&amp;L&amp;"Arial,Bold"&amp;12K. Summary of Requirements by Object Class</oddHeader>
        <oddFooter>&amp;C&amp;"Arial,Regular"Exhibit K - Summary of Requirements by Object Class&amp;R&amp;"Arial,Regular"Management and Administration</oddFooter>
      </headerFooter>
    </customSheetView>
  </customSheetViews>
  <mergeCells count="10">
    <mergeCell ref="A6:A7"/>
    <mergeCell ref="B6:C6"/>
    <mergeCell ref="D6:E6"/>
    <mergeCell ref="F6:G6"/>
    <mergeCell ref="H6:I6"/>
    <mergeCell ref="A1:I1"/>
    <mergeCell ref="A2:I2"/>
    <mergeCell ref="A3:I3"/>
    <mergeCell ref="A4:I4"/>
    <mergeCell ref="A5:I5"/>
  </mergeCells>
  <printOptions horizontalCentered="1"/>
  <pageMargins left="0.6" right="0.6" top="0.56999999999999995" bottom="0.55000000000000004" header="0.3" footer="0.3"/>
  <pageSetup scale="72" orientation="landscape" r:id="rId6"/>
  <headerFooter>
    <oddHeader>&amp;L&amp;"Arial,Bold"&amp;12K. Summary of Requirements by Object Class</oddHeader>
    <oddFooter>&amp;C&amp;"Arial,Regular"Exhibit K - Summary of Requirements by Object Class&amp;R&amp;"Arial,Regular"Management and Administration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53</vt:i4>
      </vt:variant>
      <vt:variant>
        <vt:lpstr>Named Ranges</vt:lpstr>
      </vt:variant>
      <vt:variant>
        <vt:i4>71</vt:i4>
      </vt:variant>
    </vt:vector>
  </HeadingPairs>
  <TitlesOfParts>
    <vt:vector size="124" baseType="lpstr">
      <vt:lpstr>B. Summ of Req. - M&amp;A</vt:lpstr>
      <vt:lpstr>B. Summ of Req. by DU - M&amp;A</vt:lpstr>
      <vt:lpstr>C. Program Changes by DU - M&amp;A</vt:lpstr>
      <vt:lpstr>E. ATB Justification - M&amp;A</vt:lpstr>
      <vt:lpstr>F. 2013 Crosswalk - M&amp;A</vt:lpstr>
      <vt:lpstr>G. 2014 Crosswalk - M&amp;A</vt:lpstr>
      <vt:lpstr>H. Reimbursable Resources - M&amp;A</vt:lpstr>
      <vt:lpstr>I. Permanent Positions - M&amp;A</vt:lpstr>
      <vt:lpstr>K. Summary by OC - M&amp;A</vt:lpstr>
      <vt:lpstr>B. Summ of Req. - RES</vt:lpstr>
      <vt:lpstr>B. Summ of Req. by DU - RES</vt:lpstr>
      <vt:lpstr>C. Program Changes by DU -RES</vt:lpstr>
      <vt:lpstr>D. Strategic Goals &amp; Objs - RES</vt:lpstr>
      <vt:lpstr>F. 2013 Crosswalk -RES</vt:lpstr>
      <vt:lpstr>G. 2014 Crosswalk -RES</vt:lpstr>
      <vt:lpstr>H. Reimbursable Resources - RES</vt:lpstr>
      <vt:lpstr>J. Financial Analysis - RES</vt:lpstr>
      <vt:lpstr>K. Summary by OC - RES</vt:lpstr>
      <vt:lpstr>B. Summ of Req. - S&amp;L</vt:lpstr>
      <vt:lpstr>B. Summ of Req. by DU - S&amp;L</vt:lpstr>
      <vt:lpstr>C. Program Changes by DU - S&amp;L</vt:lpstr>
      <vt:lpstr>D. Strategic Goals &amp; Obj. - S&amp;L</vt:lpstr>
      <vt:lpstr>F. 2013 Crosswalk - S&amp;L</vt:lpstr>
      <vt:lpstr>G. 2014 Crosswalk - S&amp;L</vt:lpstr>
      <vt:lpstr>H. Reimbursable Resources - S&amp;L</vt:lpstr>
      <vt:lpstr>J. Financial Analysis - S&amp;L</vt:lpstr>
      <vt:lpstr>K. Summary by OC - S&amp;L</vt:lpstr>
      <vt:lpstr>B. Summ of Req. - JJ</vt:lpstr>
      <vt:lpstr>B. Summ of Req. by DU - JJ</vt:lpstr>
      <vt:lpstr>C. Program Changes by DU - JJ</vt:lpstr>
      <vt:lpstr>D. Strategic Goals &amp; Objs - JJ</vt:lpstr>
      <vt:lpstr>F. 2013 Crosswalk - JJ</vt:lpstr>
      <vt:lpstr>G. 2014 Crosswalk - JJ</vt:lpstr>
      <vt:lpstr>H. Reimbursable Resources - JJ</vt:lpstr>
      <vt:lpstr>J. Financial Analysis -JJ</vt:lpstr>
      <vt:lpstr>K. Summary by OC - JJ</vt:lpstr>
      <vt:lpstr>B. Summ of Req. - PSOB</vt:lpstr>
      <vt:lpstr>B. Summ of Req. by DU - PSOB</vt:lpstr>
      <vt:lpstr>D. Strategic Goals &amp; Obs - PSOB</vt:lpstr>
      <vt:lpstr>E. ATB Justification- PSOB</vt:lpstr>
      <vt:lpstr>F. 2013 Crosswalk - PSOB</vt:lpstr>
      <vt:lpstr>G. 2014 Crosswalk - PSOB</vt:lpstr>
      <vt:lpstr>K. Summary by OC - PSOB</vt:lpstr>
      <vt:lpstr>B. Summ of Req. - CVF</vt:lpstr>
      <vt:lpstr>B. Summ of Req. by DU - CVF</vt:lpstr>
      <vt:lpstr>C. Program Changes by DU - CVF</vt:lpstr>
      <vt:lpstr>D. Strategic Goals &amp; Obj- CVF</vt:lpstr>
      <vt:lpstr>F. 2013 Crosswalk - CVF</vt:lpstr>
      <vt:lpstr>G. 2014 Crosswalk - CVF</vt:lpstr>
      <vt:lpstr>J. Financial Analysis - CVF</vt:lpstr>
      <vt:lpstr>K. Summary by OC - CVF</vt:lpstr>
      <vt:lpstr>L. Studies</vt:lpstr>
      <vt:lpstr>N. Summary of Program Changes</vt:lpstr>
      <vt:lpstr>'B. Summ of Req. - CVF'!Print_Area</vt:lpstr>
      <vt:lpstr>'B. Summ of Req. - JJ'!Print_Area</vt:lpstr>
      <vt:lpstr>'B. Summ of Req. - M&amp;A'!Print_Area</vt:lpstr>
      <vt:lpstr>'B. Summ of Req. - PSOB'!Print_Area</vt:lpstr>
      <vt:lpstr>'B. Summ of Req. - RES'!Print_Area</vt:lpstr>
      <vt:lpstr>'B. Summ of Req. - S&amp;L'!Print_Area</vt:lpstr>
      <vt:lpstr>'B. Summ of Req. by DU - CVF'!Print_Area</vt:lpstr>
      <vt:lpstr>'B. Summ of Req. by DU - JJ'!Print_Area</vt:lpstr>
      <vt:lpstr>'B. Summ of Req. by DU - M&amp;A'!Print_Area</vt:lpstr>
      <vt:lpstr>'B. Summ of Req. by DU - PSOB'!Print_Area</vt:lpstr>
      <vt:lpstr>'B. Summ of Req. by DU - RES'!Print_Area</vt:lpstr>
      <vt:lpstr>'B. Summ of Req. by DU - S&amp;L'!Print_Area</vt:lpstr>
      <vt:lpstr>'C. Program Changes by DU - CVF'!Print_Area</vt:lpstr>
      <vt:lpstr>'C. Program Changes by DU - JJ'!Print_Area</vt:lpstr>
      <vt:lpstr>'C. Program Changes by DU - M&amp;A'!Print_Area</vt:lpstr>
      <vt:lpstr>'C. Program Changes by DU - S&amp;L'!Print_Area</vt:lpstr>
      <vt:lpstr>'C. Program Changes by DU -RES'!Print_Area</vt:lpstr>
      <vt:lpstr>'D. Strategic Goals &amp; Obj- CVF'!Print_Area</vt:lpstr>
      <vt:lpstr>'D. Strategic Goals &amp; Obj. - S&amp;L'!Print_Area</vt:lpstr>
      <vt:lpstr>'D. Strategic Goals &amp; Objs - JJ'!Print_Area</vt:lpstr>
      <vt:lpstr>'D. Strategic Goals &amp; Objs - RES'!Print_Area</vt:lpstr>
      <vt:lpstr>'D. Strategic Goals &amp; Obs - PSOB'!Print_Area</vt:lpstr>
      <vt:lpstr>'E. ATB Justification - M&amp;A'!Print_Area</vt:lpstr>
      <vt:lpstr>'E. ATB Justification- PSOB'!Print_Area</vt:lpstr>
      <vt:lpstr>'F. 2013 Crosswalk - CVF'!Print_Area</vt:lpstr>
      <vt:lpstr>'F. 2013 Crosswalk - JJ'!Print_Area</vt:lpstr>
      <vt:lpstr>'F. 2013 Crosswalk - M&amp;A'!Print_Area</vt:lpstr>
      <vt:lpstr>'F. 2013 Crosswalk - PSOB'!Print_Area</vt:lpstr>
      <vt:lpstr>'F. 2013 Crosswalk - S&amp;L'!Print_Area</vt:lpstr>
      <vt:lpstr>'F. 2013 Crosswalk -RES'!Print_Area</vt:lpstr>
      <vt:lpstr>'G. 2014 Crosswalk - CVF'!Print_Area</vt:lpstr>
      <vt:lpstr>'G. 2014 Crosswalk - JJ'!Print_Area</vt:lpstr>
      <vt:lpstr>'G. 2014 Crosswalk - M&amp;A'!Print_Area</vt:lpstr>
      <vt:lpstr>'G. 2014 Crosswalk - PSOB'!Print_Area</vt:lpstr>
      <vt:lpstr>'G. 2014 Crosswalk - S&amp;L'!Print_Area</vt:lpstr>
      <vt:lpstr>'G. 2014 Crosswalk -RES'!Print_Area</vt:lpstr>
      <vt:lpstr>'H. Reimbursable Resources - JJ'!Print_Area</vt:lpstr>
      <vt:lpstr>'H. Reimbursable Resources - M&amp;A'!Print_Area</vt:lpstr>
      <vt:lpstr>'H. Reimbursable Resources - RES'!Print_Area</vt:lpstr>
      <vt:lpstr>'H. Reimbursable Resources - S&amp;L'!Print_Area</vt:lpstr>
      <vt:lpstr>'I. Permanent Positions - M&amp;A'!Print_Area</vt:lpstr>
      <vt:lpstr>'J. Financial Analysis - CVF'!Print_Area</vt:lpstr>
      <vt:lpstr>'J. Financial Analysis - RES'!Print_Area</vt:lpstr>
      <vt:lpstr>'J. Financial Analysis - S&amp;L'!Print_Area</vt:lpstr>
      <vt:lpstr>'J. Financial Analysis -JJ'!Print_Area</vt:lpstr>
      <vt:lpstr>'K. Summary by OC - CVF'!Print_Area</vt:lpstr>
      <vt:lpstr>'K. Summary by OC - JJ'!Print_Area</vt:lpstr>
      <vt:lpstr>'K. Summary by OC - M&amp;A'!Print_Area</vt:lpstr>
      <vt:lpstr>'K. Summary by OC - PSOB'!Print_Area</vt:lpstr>
      <vt:lpstr>'K. Summary by OC - RES'!Print_Area</vt:lpstr>
      <vt:lpstr>'K. Summary by OC - S&amp;L'!Print_Area</vt:lpstr>
      <vt:lpstr>'L. Studies'!Print_Area</vt:lpstr>
      <vt:lpstr>'N. Summary of Program Changes'!Print_Area</vt:lpstr>
      <vt:lpstr>'B. Summ of Req. - S&amp;L'!Print_Titles</vt:lpstr>
      <vt:lpstr>'B. Summ of Req. by DU - JJ'!Print_Titles</vt:lpstr>
      <vt:lpstr>'B. Summ of Req. by DU - S&amp;L'!Print_Titles</vt:lpstr>
      <vt:lpstr>'D. Strategic Goals &amp; Obj- CVF'!Print_Titles</vt:lpstr>
      <vt:lpstr>'D. Strategic Goals &amp; Obj. - S&amp;L'!Print_Titles</vt:lpstr>
      <vt:lpstr>'D. Strategic Goals &amp; Objs - JJ'!Print_Titles</vt:lpstr>
      <vt:lpstr>'D. Strategic Goals &amp; Objs - RES'!Print_Titles</vt:lpstr>
      <vt:lpstr>'D. Strategic Goals &amp; Obs - PSOB'!Print_Titles</vt:lpstr>
      <vt:lpstr>'E. ATB Justification - M&amp;A'!Print_Titles</vt:lpstr>
      <vt:lpstr>'E. ATB Justification- PSOB'!Print_Titles</vt:lpstr>
      <vt:lpstr>'F. 2013 Crosswalk - S&amp;L'!Print_Titles</vt:lpstr>
      <vt:lpstr>'G. 2014 Crosswalk - S&amp;L'!Print_Titles</vt:lpstr>
      <vt:lpstr>'J. Financial Analysis - CVF'!Print_Titles</vt:lpstr>
      <vt:lpstr>'J. Financial Analysis - RES'!Print_Titles</vt:lpstr>
      <vt:lpstr>'J. Financial Analysis - S&amp;L'!Print_Titles</vt:lpstr>
      <vt:lpstr>'J. Financial Analysis -JJ'!Print_Titles</vt:lpstr>
      <vt:lpstr>'L. Studies'!Print_Titles</vt:lpstr>
      <vt:lpstr>'N. Summary of Program Changes'!Print_Titles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2014-03-07T16:56:04Z</cp:lastPrinted>
  <dcterms:created xsi:type="dcterms:W3CDTF">2012-12-06T16:08:32Z</dcterms:created>
  <dcterms:modified xsi:type="dcterms:W3CDTF">2014-03-11T16:14:26Z</dcterms:modified>
</cp:coreProperties>
</file>