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25" yWindow="60" windowWidth="12630" windowHeight="11805" tabRatio="806" firstSheet="1" activeTab="6"/>
  </bookViews>
  <sheets>
    <sheet name="A. Org Chart " sheetId="34" r:id="rId1"/>
    <sheet name="B. Summ of Req." sheetId="20" r:id="rId2"/>
    <sheet name="B. Summ of Req. by DU " sheetId="27" r:id="rId3"/>
    <sheet name="C. Program Changes by DU " sheetId="28" r:id="rId4"/>
    <sheet name="D. Strategic Goals &amp; Object (2" sheetId="29" r:id="rId5"/>
    <sheet name="F. 2013 Crosswalk" sheetId="10" r:id="rId6"/>
    <sheet name="G. 2014 Crosswalk" sheetId="35" r:id="rId7"/>
    <sheet name="J. Financial Analysis" sheetId="30" r:id="rId8"/>
    <sheet name="K. Summary by OC (3)" sheetId="33" r:id="rId9"/>
  </sheets>
  <externalReferences>
    <externalReference r:id="rId10"/>
    <externalReference r:id="rId11"/>
    <externalReference r:id="rId12"/>
    <externalReference r:id="rId13"/>
  </externalReferences>
  <definedNames>
    <definedName name="____1ATTORNEY_SUPP" localSheetId="3">#REF!</definedName>
    <definedName name="____1ATTORNEY_SUPP" localSheetId="4">#REF!</definedName>
    <definedName name="____1ATTORNEY_SUPP" localSheetId="7">#REF!</definedName>
    <definedName name="____1ATTORNEY_SUPP" localSheetId="8">#REF!</definedName>
    <definedName name="____1ATTORNEY_SUPP">#REF!</definedName>
    <definedName name="____2GA_ROLLUP" localSheetId="3">#REF!</definedName>
    <definedName name="____2GA_ROLLUP" localSheetId="4">#REF!</definedName>
    <definedName name="____2GA_ROLLUP" localSheetId="7">#REF!</definedName>
    <definedName name="____2GA_ROLLUP" localSheetId="8">#REF!</definedName>
    <definedName name="____2GA_ROLLUP">#REF!</definedName>
    <definedName name="____3POS_BY_CAT">#REF!</definedName>
    <definedName name="___1ATTORNEY_SUPP">#REF!</definedName>
    <definedName name="___2GA_ROLLUP">#REF!</definedName>
    <definedName name="___3POS_BY_CAT">#REF!</definedName>
    <definedName name="__1ATTORNEY_SUPP">#REF!</definedName>
    <definedName name="__2GA_ROLLUP">#REF!</definedName>
    <definedName name="__3POS_BY_CAT">#REF!</definedName>
    <definedName name="_11POS_BY_CAT" localSheetId="2">#REF!</definedName>
    <definedName name="_11POS_BY_CAT" localSheetId="3">#REF!</definedName>
    <definedName name="_11POS_BY_CAT" localSheetId="7">#REF!</definedName>
    <definedName name="_11POS_BY_CAT" localSheetId="8">#REF!</definedName>
    <definedName name="_11POS_BY_CAT">#REF!</definedName>
    <definedName name="_1ATTORNEY_SUPP" localSheetId="7">#REF!</definedName>
    <definedName name="_1ATTORNEY_SUPP">#REF!</definedName>
    <definedName name="_2ATTORNEY_SUPP">#REF!</definedName>
    <definedName name="_2GA_ROLLUP">#REF!</definedName>
    <definedName name="_3GA_ROLLUP">#REF!</definedName>
    <definedName name="_3POS_BY_CAT">#REF!</definedName>
    <definedName name="_4POS_BY_CAT">#REF!</definedName>
    <definedName name="_5GA_ROLLUP">#REF!</definedName>
    <definedName name="_6GA_ROLLUP">#REF!</definedName>
    <definedName name="_7GA_ROLLUP">#REF!</definedName>
    <definedName name="_8POS_BY_CAT">#REF!</definedName>
    <definedName name="_9POS_BY_CAT">#REF!</definedName>
    <definedName name="_xlnm._FilterDatabase" hidden="1">#REF!</definedName>
    <definedName name="DL" localSheetId="8">#REF!</definedName>
    <definedName name="DL">#REF!</definedName>
    <definedName name="DR11D00002">[1]Deob_Reob!#REF!</definedName>
    <definedName name="EXECSUPP" localSheetId="6">#REF!</definedName>
    <definedName name="EXECSUPP" localSheetId="8">#REF!</definedName>
    <definedName name="EXECSUPP">#REF!</definedName>
    <definedName name="FY0711.1">#REF!</definedName>
    <definedName name="FY0711.5">#REF!</definedName>
    <definedName name="FY0712.1">#REF!</definedName>
    <definedName name="FY0721.0">#REF!</definedName>
    <definedName name="FY0722.0">#REF!</definedName>
    <definedName name="FY0723.1">#REF!</definedName>
    <definedName name="FY0723.2">#REF!</definedName>
    <definedName name="FY0723.3">#REF!</definedName>
    <definedName name="FY0724.0">#REF!</definedName>
    <definedName name="FY0725.2">#REF!</definedName>
    <definedName name="FY0725.3">#REF!</definedName>
    <definedName name="FY0725.6">#REF!</definedName>
    <definedName name="FY0726.0">#REF!</definedName>
    <definedName name="FY0731.0">#REF!</definedName>
    <definedName name="FY0732.0">#REF!</definedName>
    <definedName name="FY07Ling">#REF!</definedName>
    <definedName name="FY07Mult">#REF!</definedName>
    <definedName name="FY07PEPI">#REF!</definedName>
    <definedName name="FY07Tot">#REF!</definedName>
    <definedName name="FY07Train">#REF!</definedName>
    <definedName name="FY0811.1">#REF!</definedName>
    <definedName name="FY0811.5">#REF!</definedName>
    <definedName name="FY0812.1">#REF!</definedName>
    <definedName name="FY0821.0">#REF!</definedName>
    <definedName name="FY0822.0">#REF!</definedName>
    <definedName name="FY0823.1">#REF!</definedName>
    <definedName name="FY0823.2">#REF!</definedName>
    <definedName name="FY0823.3">#REF!</definedName>
    <definedName name="FY0824.0">#REF!</definedName>
    <definedName name="FY0825.2">#REF!</definedName>
    <definedName name="FY0825.3">#REF!</definedName>
    <definedName name="FY0825.6">#REF!</definedName>
    <definedName name="FY0826.0">#REF!</definedName>
    <definedName name="FY0831.0">#REF!</definedName>
    <definedName name="FY0832.0">#REF!</definedName>
    <definedName name="FY08Ling">#REF!</definedName>
    <definedName name="FY08Mult">#REF!</definedName>
    <definedName name="FY08PEPI">#REF!</definedName>
    <definedName name="FY08Tot">#REF!</definedName>
    <definedName name="FY08Train">#REF!</definedName>
    <definedName name="FY0911.1">#REF!</definedName>
    <definedName name="FY0911.5">#REF!</definedName>
    <definedName name="FY0912.1">#REF!</definedName>
    <definedName name="FY0921.0">#REF!</definedName>
    <definedName name="FY0922.0">#REF!</definedName>
    <definedName name="FY0923.1">#REF!</definedName>
    <definedName name="FY0923.2">#REF!</definedName>
    <definedName name="FY0923.3">#REF!</definedName>
    <definedName name="FY0924.0">#REF!</definedName>
    <definedName name="FY0925.2">#REF!</definedName>
    <definedName name="FY0925.3">#REF!</definedName>
    <definedName name="FY0925.6">#REF!</definedName>
    <definedName name="FY0926.0">#REF!</definedName>
    <definedName name="FY0931.0">#REF!</definedName>
    <definedName name="FY0932.0">#REF!</definedName>
    <definedName name="FY09Ling">#REF!</definedName>
    <definedName name="FY09Mult">#REF!</definedName>
    <definedName name="FY09PEPI">#REF!</definedName>
    <definedName name="FY09Tot">#REF!</definedName>
    <definedName name="FY09Train">#REF!</definedName>
    <definedName name="INTEL">#REF!</definedName>
    <definedName name="JMD">#REF!</definedName>
    <definedName name="PART">#REF!</definedName>
    <definedName name="_xlnm.Print_Area" localSheetId="1">'B. Summ of Req.'!$A$1:$D$61</definedName>
    <definedName name="_xlnm.Print_Area" localSheetId="2">'B. Summ of Req. by DU '!$A$1:$M$84</definedName>
    <definedName name="_xlnm.Print_Area" localSheetId="3">'C. Program Changes by DU '!$A$1:$N$48</definedName>
    <definedName name="_xlnm.Print_Area" localSheetId="4">'D. Strategic Goals &amp; Object (2'!$A$1:$N$32</definedName>
    <definedName name="_xlnm.Print_Area" localSheetId="5">'F. 2013 Crosswalk'!$A$1:$R$53</definedName>
    <definedName name="_xlnm.Print_Area" localSheetId="6">'G. 2014 Crosswalk'!$A$1:$L$54</definedName>
    <definedName name="_xlnm.Print_Area" localSheetId="7">'J. Financial Analysis'!$A$1:$U$74</definedName>
    <definedName name="_xlnm.Print_Area" localSheetId="8">'K. Summary by OC (3)'!$A$1:$I$53</definedName>
    <definedName name="_xlnm.Print_Area">#REF!</definedName>
    <definedName name="_xlnm.Print_Titles" localSheetId="2">'B. Summ of Req. by DU '!$1:$5</definedName>
    <definedName name="_xlnm.Print_Titles" localSheetId="7">'J. Financial Analysis'!$1:$5</definedName>
    <definedName name="REIMPRO" localSheetId="2">#REF!</definedName>
    <definedName name="REIMPRO" localSheetId="3">#REF!</definedName>
    <definedName name="REIMPRO" localSheetId="6">#REF!</definedName>
    <definedName name="REIMPRO" localSheetId="7">#REF!</definedName>
    <definedName name="REIMPRO" localSheetId="8">#REF!</definedName>
    <definedName name="REIMPRO">#REF!</definedName>
    <definedName name="REIMSOR">#REF!</definedName>
    <definedName name="Surplus">[2]Security!#REF!</definedName>
    <definedName name="Test" localSheetId="6">#REF!</definedName>
    <definedName name="Test" localSheetId="8">#REF!</definedName>
    <definedName name="Test">#REF!</definedName>
  </definedNames>
  <calcPr calcId="145621"/>
</workbook>
</file>

<file path=xl/calcChain.xml><?xml version="1.0" encoding="utf-8"?>
<calcChain xmlns="http://schemas.openxmlformats.org/spreadsheetml/2006/main">
  <c r="F74" i="30" l="1"/>
  <c r="G74" i="30"/>
  <c r="H74" i="30"/>
  <c r="I74" i="30"/>
  <c r="J74" i="30"/>
  <c r="K74" i="30"/>
  <c r="U61" i="30"/>
  <c r="R31" i="10" l="1"/>
  <c r="D75" i="27" l="1"/>
  <c r="E75" i="27"/>
  <c r="F75" i="27"/>
  <c r="E26" i="33" l="1"/>
  <c r="I23" i="35" l="1"/>
  <c r="I13" i="35"/>
  <c r="I22" i="35"/>
  <c r="I19" i="35"/>
  <c r="I18" i="35"/>
  <c r="I17" i="35"/>
  <c r="I16" i="35"/>
  <c r="I15" i="35"/>
  <c r="I12" i="35"/>
  <c r="I32" i="35"/>
  <c r="I10" i="35"/>
  <c r="I33" i="35"/>
  <c r="I9" i="35"/>
  <c r="H33" i="35" l="1"/>
  <c r="L33" i="35" s="1"/>
  <c r="H13" i="35"/>
  <c r="H22" i="35"/>
  <c r="H18" i="35"/>
  <c r="H17" i="35"/>
  <c r="H16" i="35"/>
  <c r="H15" i="35"/>
  <c r="H14" i="35"/>
  <c r="H12" i="35"/>
  <c r="H9" i="35"/>
  <c r="R35" i="10" l="1"/>
  <c r="R34" i="10"/>
  <c r="O32" i="10" l="1"/>
  <c r="O13" i="10"/>
  <c r="O22" i="10"/>
  <c r="O18" i="10"/>
  <c r="O17" i="10"/>
  <c r="O15" i="10"/>
  <c r="O12" i="10"/>
  <c r="O9" i="10"/>
  <c r="M36" i="10" l="1"/>
  <c r="G22" i="10"/>
  <c r="G18" i="10"/>
  <c r="G17" i="10"/>
  <c r="G15" i="10"/>
  <c r="G12" i="10"/>
  <c r="G13" i="10"/>
  <c r="D42" i="20" l="1"/>
  <c r="D9" i="20" l="1"/>
  <c r="D20" i="20" l="1"/>
  <c r="D43" i="20" s="1"/>
  <c r="I16" i="33" l="1"/>
  <c r="L35" i="35" l="1"/>
  <c r="L32" i="35"/>
  <c r="L14" i="35"/>
  <c r="L31" i="35" l="1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6" i="35"/>
  <c r="L15" i="35"/>
  <c r="L13" i="35"/>
  <c r="L12" i="35"/>
  <c r="L11" i="35"/>
  <c r="L10" i="35"/>
  <c r="A3" i="35" l="1"/>
  <c r="A2" i="35"/>
  <c r="K44" i="35"/>
  <c r="K43" i="35"/>
  <c r="K39" i="35"/>
  <c r="L37" i="35"/>
  <c r="H36" i="35"/>
  <c r="H40" i="35" s="1"/>
  <c r="H45" i="35" s="1"/>
  <c r="G36" i="35"/>
  <c r="F36" i="35"/>
  <c r="F40" i="35" s="1"/>
  <c r="F45" i="35" s="1"/>
  <c r="E36" i="35"/>
  <c r="D36" i="35"/>
  <c r="D38" i="35" s="1"/>
  <c r="L38" i="35" s="1"/>
  <c r="C36" i="35"/>
  <c r="C40" i="35" s="1"/>
  <c r="C45" i="35" s="1"/>
  <c r="B36" i="35"/>
  <c r="L9" i="35"/>
  <c r="K9" i="35"/>
  <c r="J9" i="35"/>
  <c r="J36" i="35" l="1"/>
  <c r="K36" i="35"/>
  <c r="K40" i="35" s="1"/>
  <c r="K45" i="35" s="1"/>
  <c r="C18" i="20"/>
  <c r="C20" i="20" s="1"/>
  <c r="B18" i="20"/>
  <c r="B20" i="20" s="1"/>
  <c r="N18" i="28" l="1"/>
  <c r="R14" i="10" l="1"/>
  <c r="R16" i="10"/>
  <c r="R19" i="10"/>
  <c r="R20" i="10"/>
  <c r="R21" i="10"/>
  <c r="R23" i="10"/>
  <c r="R24" i="10"/>
  <c r="R25" i="10"/>
  <c r="R26" i="10"/>
  <c r="R27" i="10"/>
  <c r="R28" i="10"/>
  <c r="R29" i="10"/>
  <c r="R30" i="10"/>
  <c r="N16" i="29"/>
  <c r="I51" i="33"/>
  <c r="I50" i="33"/>
  <c r="H48" i="33"/>
  <c r="H44" i="33"/>
  <c r="F44" i="33"/>
  <c r="D44" i="33"/>
  <c r="B44" i="33"/>
  <c r="I43" i="33"/>
  <c r="I42" i="33"/>
  <c r="I41" i="33"/>
  <c r="I40" i="33"/>
  <c r="I39" i="33"/>
  <c r="I38" i="33"/>
  <c r="I36" i="33"/>
  <c r="I35" i="33"/>
  <c r="I34" i="33"/>
  <c r="I33" i="33"/>
  <c r="I32" i="33"/>
  <c r="I31" i="33"/>
  <c r="I30" i="33"/>
  <c r="I29" i="33"/>
  <c r="I28" i="33"/>
  <c r="I27" i="33"/>
  <c r="I26" i="33"/>
  <c r="I25" i="33"/>
  <c r="I24" i="33"/>
  <c r="I23" i="33"/>
  <c r="I22" i="33"/>
  <c r="I21" i="33"/>
  <c r="I20" i="33"/>
  <c r="I19" i="33"/>
  <c r="I18" i="33"/>
  <c r="I17" i="33"/>
  <c r="F14" i="33"/>
  <c r="C14" i="33"/>
  <c r="C37" i="33" s="1"/>
  <c r="C44" i="33" s="1"/>
  <c r="I13" i="33"/>
  <c r="H13" i="33"/>
  <c r="I12" i="33"/>
  <c r="H12" i="33"/>
  <c r="I11" i="33"/>
  <c r="H11" i="33"/>
  <c r="G10" i="33"/>
  <c r="G14" i="33" s="1"/>
  <c r="G37" i="33" s="1"/>
  <c r="G44" i="33" s="1"/>
  <c r="G46" i="33" s="1"/>
  <c r="F10" i="33"/>
  <c r="E10" i="33"/>
  <c r="E14" i="33" s="1"/>
  <c r="E37" i="33" s="1"/>
  <c r="E44" i="33" s="1"/>
  <c r="E46" i="33" s="1"/>
  <c r="D10" i="33"/>
  <c r="D14" i="33" s="1"/>
  <c r="B10" i="33"/>
  <c r="B14" i="33" s="1"/>
  <c r="I9" i="33"/>
  <c r="H9" i="33"/>
  <c r="I8" i="33"/>
  <c r="H8" i="33"/>
  <c r="A2" i="33"/>
  <c r="H10" i="33" l="1"/>
  <c r="H14" i="33" s="1"/>
  <c r="I10" i="33"/>
  <c r="I14" i="33" s="1"/>
  <c r="I37" i="33" s="1"/>
  <c r="I44" i="33" s="1"/>
  <c r="G32" i="10" l="1"/>
  <c r="G33" i="10"/>
  <c r="R33" i="10" s="1"/>
  <c r="R32" i="10" l="1"/>
  <c r="N22" i="10"/>
  <c r="R22" i="10" s="1"/>
  <c r="N18" i="10"/>
  <c r="R18" i="10" s="1"/>
  <c r="N17" i="10"/>
  <c r="R17" i="10" s="1"/>
  <c r="N15" i="10"/>
  <c r="R15" i="10" s="1"/>
  <c r="N12" i="10"/>
  <c r="N13" i="10"/>
  <c r="N9" i="10"/>
  <c r="J13" i="10"/>
  <c r="J12" i="10"/>
  <c r="J11" i="10"/>
  <c r="R11" i="10" s="1"/>
  <c r="J10" i="10"/>
  <c r="R10" i="10" s="1"/>
  <c r="J9" i="10"/>
  <c r="I36" i="10"/>
  <c r="H36" i="10"/>
  <c r="E36" i="10"/>
  <c r="F36" i="10"/>
  <c r="R13" i="10" l="1"/>
  <c r="R9" i="10"/>
  <c r="R36" i="10" s="1"/>
  <c r="R12" i="10"/>
  <c r="N36" i="10"/>
  <c r="J36" i="10"/>
  <c r="G36" i="10"/>
  <c r="C36" i="10" l="1"/>
  <c r="B36" i="10"/>
  <c r="D36" i="10"/>
  <c r="O36" i="10" l="1"/>
  <c r="U73" i="30" l="1"/>
  <c r="U72" i="30"/>
  <c r="U71" i="30"/>
  <c r="U70" i="30"/>
  <c r="U69" i="30"/>
  <c r="U68" i="30"/>
  <c r="U67" i="30"/>
  <c r="U66" i="30"/>
  <c r="U65" i="30"/>
  <c r="U64" i="30"/>
  <c r="U63" i="30"/>
  <c r="U62" i="30"/>
  <c r="S60" i="30"/>
  <c r="S74" i="30" s="1"/>
  <c r="U59" i="30"/>
  <c r="P58" i="30"/>
  <c r="E58" i="30"/>
  <c r="E60" i="30" s="1"/>
  <c r="E74" i="30" s="1"/>
  <c r="S57" i="30"/>
  <c r="R57" i="30"/>
  <c r="R58" i="30" s="1"/>
  <c r="R60" i="30" s="1"/>
  <c r="R74" i="30" s="1"/>
  <c r="Q57" i="30"/>
  <c r="P57" i="30"/>
  <c r="O57" i="30"/>
  <c r="O58" i="30" s="1"/>
  <c r="O60" i="30" s="1"/>
  <c r="O74" i="30" s="1"/>
  <c r="N57" i="30"/>
  <c r="N58" i="30" s="1"/>
  <c r="N60" i="30" s="1"/>
  <c r="N74" i="30" s="1"/>
  <c r="M57" i="30"/>
  <c r="M60" i="30" s="1"/>
  <c r="M74" i="30" s="1"/>
  <c r="L57" i="30"/>
  <c r="E57" i="30"/>
  <c r="D57" i="30"/>
  <c r="D58" i="30" s="1"/>
  <c r="D60" i="30" s="1"/>
  <c r="D74" i="30" s="1"/>
  <c r="C57" i="30"/>
  <c r="C58" i="30" s="1"/>
  <c r="B57" i="30"/>
  <c r="U56" i="30"/>
  <c r="T56" i="30"/>
  <c r="U55" i="30"/>
  <c r="T55" i="30"/>
  <c r="U54" i="30"/>
  <c r="T54" i="30"/>
  <c r="U53" i="30"/>
  <c r="T53" i="30"/>
  <c r="U52" i="30"/>
  <c r="T52" i="30"/>
  <c r="U51" i="30"/>
  <c r="T51" i="30"/>
  <c r="U50" i="30"/>
  <c r="T50" i="30"/>
  <c r="U49" i="30"/>
  <c r="T49" i="30"/>
  <c r="U48" i="30"/>
  <c r="T48" i="30"/>
  <c r="U47" i="30"/>
  <c r="T47" i="30"/>
  <c r="U46" i="30"/>
  <c r="T46" i="30"/>
  <c r="U45" i="30"/>
  <c r="T45" i="30"/>
  <c r="S21" i="30"/>
  <c r="S24" i="30" s="1"/>
  <c r="S38" i="30" s="1"/>
  <c r="R21" i="30"/>
  <c r="R22" i="30" s="1"/>
  <c r="R24" i="30" s="1"/>
  <c r="R38" i="30" s="1"/>
  <c r="Q21" i="30"/>
  <c r="P21" i="30"/>
  <c r="O21" i="30"/>
  <c r="N21" i="30"/>
  <c r="N22" i="30" s="1"/>
  <c r="N24" i="30" s="1"/>
  <c r="N38" i="30" s="1"/>
  <c r="M21" i="30"/>
  <c r="M24" i="30" s="1"/>
  <c r="M38" i="30" s="1"/>
  <c r="L21" i="30"/>
  <c r="E21" i="30"/>
  <c r="D21" i="30"/>
  <c r="D22" i="30" s="1"/>
  <c r="D24" i="30" s="1"/>
  <c r="D38" i="30" s="1"/>
  <c r="C21" i="30"/>
  <c r="C22" i="30" s="1"/>
  <c r="B21" i="30"/>
  <c r="A3" i="30"/>
  <c r="A2" i="30"/>
  <c r="L60" i="30" l="1"/>
  <c r="L74" i="30" s="1"/>
  <c r="P60" i="30"/>
  <c r="P74" i="30" s="1"/>
  <c r="B58" i="30"/>
  <c r="B60" i="30" s="1"/>
  <c r="B74" i="30" s="1"/>
  <c r="L58" i="30"/>
  <c r="T57" i="30"/>
  <c r="P22" i="30"/>
  <c r="P24" i="30" s="1"/>
  <c r="P38" i="30" s="1"/>
  <c r="Q22" i="30"/>
  <c r="Q24" i="30" s="1"/>
  <c r="Q38" i="30" s="1"/>
  <c r="C24" i="30"/>
  <c r="B22" i="30"/>
  <c r="L22" i="30"/>
  <c r="L24" i="30" s="1"/>
  <c r="L38" i="30" s="1"/>
  <c r="Q58" i="30"/>
  <c r="Q60" i="30" s="1"/>
  <c r="Q74" i="30" s="1"/>
  <c r="O22" i="30"/>
  <c r="O24" i="30" s="1"/>
  <c r="O38" i="30" s="1"/>
  <c r="C60" i="30"/>
  <c r="C74" i="30" s="1"/>
  <c r="E22" i="30"/>
  <c r="E24" i="30" s="1"/>
  <c r="E38" i="30" s="1"/>
  <c r="U57" i="30"/>
  <c r="T58" i="30" l="1"/>
  <c r="U60" i="30"/>
  <c r="U74" i="30" s="1"/>
  <c r="C38" i="30"/>
  <c r="B24" i="30"/>
  <c r="U58" i="30"/>
  <c r="A3" i="10"/>
  <c r="A2" i="10"/>
  <c r="T60" i="30" l="1"/>
  <c r="T74" i="30" s="1"/>
  <c r="B38" i="30"/>
  <c r="L27" i="29"/>
  <c r="K27" i="29"/>
  <c r="J27" i="29"/>
  <c r="I27" i="29"/>
  <c r="I29" i="29" s="1"/>
  <c r="H27" i="29"/>
  <c r="G27" i="29"/>
  <c r="F27" i="29"/>
  <c r="E27" i="29"/>
  <c r="E29" i="29" s="1"/>
  <c r="D27" i="29"/>
  <c r="C27" i="29"/>
  <c r="N26" i="29"/>
  <c r="M26" i="29"/>
  <c r="N25" i="29"/>
  <c r="M25" i="29"/>
  <c r="N24" i="29"/>
  <c r="M24" i="29"/>
  <c r="M27" i="29" s="1"/>
  <c r="N23" i="29"/>
  <c r="M23" i="29"/>
  <c r="L21" i="29"/>
  <c r="K21" i="29"/>
  <c r="J21" i="29"/>
  <c r="I21" i="29"/>
  <c r="H21" i="29"/>
  <c r="G21" i="29"/>
  <c r="F21" i="29"/>
  <c r="E21" i="29"/>
  <c r="D21" i="29"/>
  <c r="C21" i="29"/>
  <c r="N20" i="29"/>
  <c r="M20" i="29"/>
  <c r="N19" i="29"/>
  <c r="M19" i="29"/>
  <c r="N18" i="29"/>
  <c r="M18" i="29"/>
  <c r="N17" i="29"/>
  <c r="M17" i="29"/>
  <c r="M16" i="29"/>
  <c r="N15" i="29"/>
  <c r="M15" i="29"/>
  <c r="L13" i="29"/>
  <c r="K13" i="29"/>
  <c r="J13" i="29"/>
  <c r="I13" i="29"/>
  <c r="H13" i="29"/>
  <c r="G13" i="29"/>
  <c r="F13" i="29"/>
  <c r="E13" i="29"/>
  <c r="D13" i="29"/>
  <c r="C13" i="29"/>
  <c r="N12" i="29"/>
  <c r="M12" i="29"/>
  <c r="N11" i="29"/>
  <c r="M11" i="29"/>
  <c r="N10" i="29"/>
  <c r="M10" i="29"/>
  <c r="A3" i="29"/>
  <c r="A2" i="29"/>
  <c r="N46" i="28"/>
  <c r="N45" i="28"/>
  <c r="N44" i="28"/>
  <c r="F48" i="28"/>
  <c r="K47" i="28"/>
  <c r="K48" i="28" s="1"/>
  <c r="L47" i="28"/>
  <c r="M47" i="28"/>
  <c r="N47" i="28"/>
  <c r="N29" i="28"/>
  <c r="N28" i="28"/>
  <c r="N27" i="28"/>
  <c r="N26" i="28"/>
  <c r="N25" i="28"/>
  <c r="N24" i="28"/>
  <c r="N23" i="28"/>
  <c r="N22" i="28"/>
  <c r="N17" i="28"/>
  <c r="N21" i="28"/>
  <c r="F32" i="28"/>
  <c r="J48" i="28"/>
  <c r="I48" i="28"/>
  <c r="H48" i="28"/>
  <c r="G48" i="28"/>
  <c r="E48" i="28"/>
  <c r="D48" i="28"/>
  <c r="C48" i="28"/>
  <c r="M48" i="28"/>
  <c r="J40" i="28"/>
  <c r="I40" i="28"/>
  <c r="H40" i="28"/>
  <c r="G40" i="28"/>
  <c r="F40" i="28"/>
  <c r="E40" i="28"/>
  <c r="D40" i="28"/>
  <c r="C40" i="28"/>
  <c r="J32" i="28"/>
  <c r="I32" i="28"/>
  <c r="H32" i="28"/>
  <c r="G32" i="28"/>
  <c r="E32" i="28"/>
  <c r="D32" i="28"/>
  <c r="C32" i="28"/>
  <c r="N31" i="28"/>
  <c r="M31" i="28"/>
  <c r="L31" i="28"/>
  <c r="K31" i="28"/>
  <c r="M30" i="28"/>
  <c r="L30" i="28"/>
  <c r="K30" i="28"/>
  <c r="M29" i="28"/>
  <c r="L29" i="28"/>
  <c r="K29" i="28"/>
  <c r="M28" i="28"/>
  <c r="L28" i="28"/>
  <c r="K28" i="28"/>
  <c r="J12" i="28"/>
  <c r="I12" i="28"/>
  <c r="H12" i="28"/>
  <c r="G12" i="28"/>
  <c r="F12" i="28"/>
  <c r="E12" i="28"/>
  <c r="D12" i="28"/>
  <c r="C12" i="28"/>
  <c r="A3" i="28"/>
  <c r="A2" i="28"/>
  <c r="M13" i="29" l="1"/>
  <c r="F29" i="29"/>
  <c r="J29" i="29"/>
  <c r="N48" i="28"/>
  <c r="N32" i="28"/>
  <c r="N13" i="29"/>
  <c r="N21" i="29"/>
  <c r="C29" i="29"/>
  <c r="G29" i="29"/>
  <c r="K29" i="29"/>
  <c r="M21" i="29"/>
  <c r="N27" i="29"/>
  <c r="L29" i="29"/>
  <c r="H29" i="29"/>
  <c r="D29" i="29"/>
  <c r="M29" i="29"/>
  <c r="L32" i="28"/>
  <c r="K32" i="28"/>
  <c r="M32" i="28"/>
  <c r="N29" i="29" l="1"/>
  <c r="D50" i="20"/>
  <c r="D41" i="20" l="1"/>
  <c r="I81" i="27" l="1"/>
  <c r="I80" i="27"/>
  <c r="F79" i="27"/>
  <c r="F84" i="27" s="1"/>
  <c r="I75" i="27"/>
  <c r="H75" i="27"/>
  <c r="G75" i="27"/>
  <c r="G77" i="27" s="1"/>
  <c r="D77" i="27"/>
  <c r="C75" i="27"/>
  <c r="C79" i="27" s="1"/>
  <c r="C84" i="27" s="1"/>
  <c r="B75" i="27"/>
  <c r="J67" i="27"/>
  <c r="J55" i="27"/>
  <c r="L44" i="27"/>
  <c r="I83" i="27" s="1"/>
  <c r="L43" i="27"/>
  <c r="I82" i="27" s="1"/>
  <c r="I40" i="27"/>
  <c r="I45" i="27" s="1"/>
  <c r="L39" i="27"/>
  <c r="I78" i="27" s="1"/>
  <c r="J35" i="27"/>
  <c r="J38" i="27" s="1"/>
  <c r="I35" i="27"/>
  <c r="H35" i="27"/>
  <c r="G35" i="27"/>
  <c r="G38" i="27" s="1"/>
  <c r="F35" i="27"/>
  <c r="F40" i="27" s="1"/>
  <c r="E35" i="27"/>
  <c r="D35" i="27"/>
  <c r="D38" i="27" s="1"/>
  <c r="C35" i="27"/>
  <c r="C40" i="27" s="1"/>
  <c r="C45" i="27" s="1"/>
  <c r="B35" i="27"/>
  <c r="L34" i="27"/>
  <c r="K34" i="27"/>
  <c r="L32" i="27"/>
  <c r="K32" i="27"/>
  <c r="M31" i="27"/>
  <c r="J71" i="27" s="1"/>
  <c r="L31" i="27"/>
  <c r="K31" i="27"/>
  <c r="M30" i="27"/>
  <c r="J70" i="27" s="1"/>
  <c r="L30" i="27"/>
  <c r="K30" i="27"/>
  <c r="M29" i="27"/>
  <c r="J69" i="27" s="1"/>
  <c r="L29" i="27"/>
  <c r="K29" i="27"/>
  <c r="M28" i="27"/>
  <c r="J68" i="27" s="1"/>
  <c r="L28" i="27"/>
  <c r="K28" i="27"/>
  <c r="M27" i="27"/>
  <c r="L27" i="27"/>
  <c r="K27" i="27"/>
  <c r="M26" i="27"/>
  <c r="J66" i="27" s="1"/>
  <c r="L26" i="27"/>
  <c r="K26" i="27"/>
  <c r="M25" i="27"/>
  <c r="J65" i="27" s="1"/>
  <c r="L25" i="27"/>
  <c r="K25" i="27"/>
  <c r="M24" i="27"/>
  <c r="J64" i="27" s="1"/>
  <c r="L24" i="27"/>
  <c r="K24" i="27"/>
  <c r="M23" i="27"/>
  <c r="J63" i="27" s="1"/>
  <c r="L23" i="27"/>
  <c r="K23" i="27"/>
  <c r="M22" i="27"/>
  <c r="J62" i="27" s="1"/>
  <c r="L22" i="27"/>
  <c r="K22" i="27"/>
  <c r="M21" i="27"/>
  <c r="J61" i="27" s="1"/>
  <c r="L21" i="27"/>
  <c r="K21" i="27"/>
  <c r="M20" i="27"/>
  <c r="J60" i="27" s="1"/>
  <c r="L20" i="27"/>
  <c r="K20" i="27"/>
  <c r="M19" i="27"/>
  <c r="J59" i="27" s="1"/>
  <c r="L19" i="27"/>
  <c r="K19" i="27"/>
  <c r="M18" i="27"/>
  <c r="J58" i="27" s="1"/>
  <c r="L18" i="27"/>
  <c r="K18" i="27"/>
  <c r="M17" i="27"/>
  <c r="J57" i="27" s="1"/>
  <c r="L17" i="27"/>
  <c r="K17" i="27"/>
  <c r="M16" i="27"/>
  <c r="J56" i="27" s="1"/>
  <c r="L16" i="27"/>
  <c r="K16" i="27"/>
  <c r="L15" i="27"/>
  <c r="K15" i="27"/>
  <c r="M14" i="27"/>
  <c r="J54" i="27" s="1"/>
  <c r="L14" i="27"/>
  <c r="K14" i="27"/>
  <c r="M13" i="27"/>
  <c r="J53" i="27" s="1"/>
  <c r="L13" i="27"/>
  <c r="K13" i="27"/>
  <c r="M12" i="27"/>
  <c r="J52" i="27" s="1"/>
  <c r="L12" i="27"/>
  <c r="K12" i="27"/>
  <c r="M11" i="27"/>
  <c r="J51" i="27" s="1"/>
  <c r="L11" i="27"/>
  <c r="K11" i="27"/>
  <c r="M10" i="27"/>
  <c r="L10" i="27"/>
  <c r="K10" i="27"/>
  <c r="A3" i="27"/>
  <c r="A2" i="27"/>
  <c r="L35" i="27" l="1"/>
  <c r="K35" i="27"/>
  <c r="M35" i="27"/>
  <c r="J50" i="27"/>
  <c r="J75" i="27" s="1"/>
  <c r="F45" i="27"/>
  <c r="L45" i="27" s="1"/>
  <c r="I84" i="27" s="1"/>
  <c r="L40" i="27"/>
  <c r="I79" i="27" s="1"/>
  <c r="M38" i="27"/>
  <c r="J77" i="27" l="1"/>
  <c r="D12" i="20"/>
  <c r="I38" i="10" l="1"/>
  <c r="I43" i="10" s="1"/>
  <c r="D54" i="20" l="1"/>
  <c r="C54" i="20"/>
  <c r="B54" i="20"/>
  <c r="C50" i="20"/>
  <c r="B50" i="20"/>
  <c r="C41" i="20"/>
  <c r="B41" i="20"/>
  <c r="C12" i="20"/>
  <c r="B12" i="20"/>
  <c r="B42" i="20" l="1"/>
  <c r="B43" i="20" s="1"/>
  <c r="D55" i="20"/>
  <c r="C42" i="20"/>
  <c r="C43" i="20" s="1"/>
  <c r="B55" i="20"/>
  <c r="C55" i="20"/>
  <c r="D56" i="20" l="1"/>
  <c r="D59" i="20" s="1"/>
  <c r="C56" i="20"/>
  <c r="C59" i="20" s="1"/>
  <c r="B56" i="20"/>
  <c r="C58" i="20" l="1"/>
  <c r="B58" i="20"/>
  <c r="B59" i="20" s="1"/>
  <c r="Q42" i="10"/>
  <c r="Q41" i="10"/>
  <c r="Q37" i="10"/>
  <c r="F38" i="10"/>
  <c r="F43" i="10" s="1"/>
  <c r="Q35" i="10" l="1"/>
  <c r="P35" i="10" l="1"/>
  <c r="L36" i="10" l="1"/>
  <c r="L38" i="10" s="1"/>
  <c r="K36" i="10"/>
  <c r="C38" i="10"/>
  <c r="C43" i="10" s="1"/>
  <c r="L43" i="10" l="1"/>
  <c r="Q36" i="10"/>
  <c r="P36" i="10"/>
  <c r="Q38" i="10" l="1"/>
  <c r="Q43" i="10" s="1"/>
  <c r="D58" i="20"/>
  <c r="L17" i="35"/>
  <c r="I36" i="35"/>
  <c r="L36" i="35" s="1"/>
</calcChain>
</file>

<file path=xl/sharedStrings.xml><?xml version="1.0" encoding="utf-8"?>
<sst xmlns="http://schemas.openxmlformats.org/spreadsheetml/2006/main" count="1052" uniqueCount="254">
  <si>
    <t>Summary of Requirements</t>
  </si>
  <si>
    <t>(Dollars in Thousands)</t>
  </si>
  <si>
    <t>Direct Pos.</t>
  </si>
  <si>
    <t>Amount</t>
  </si>
  <si>
    <t>Program Changes</t>
  </si>
  <si>
    <t>Increase 1</t>
  </si>
  <si>
    <t>Increase 2</t>
  </si>
  <si>
    <t>Increase 3</t>
  </si>
  <si>
    <t>Subtotal, Increases</t>
  </si>
  <si>
    <t>Offset 1</t>
  </si>
  <si>
    <t>Offset 2</t>
  </si>
  <si>
    <t>Offset 3</t>
  </si>
  <si>
    <t>Subtotal, Offsets</t>
  </si>
  <si>
    <t>Total Program Changes</t>
  </si>
  <si>
    <t>end of line</t>
  </si>
  <si>
    <t>end of sheet</t>
  </si>
  <si>
    <t>General Instructions</t>
  </si>
  <si>
    <t>Decision Unit 1</t>
  </si>
  <si>
    <t>Decision Unit 2</t>
  </si>
  <si>
    <t>Decision Unit 4</t>
  </si>
  <si>
    <t>Total</t>
  </si>
  <si>
    <t>Reimbursable FTE</t>
  </si>
  <si>
    <t>Other FTE:</t>
  </si>
  <si>
    <t>LEAP</t>
  </si>
  <si>
    <t>Overtime</t>
  </si>
  <si>
    <t>Direct FTE</t>
  </si>
  <si>
    <t>Program Increases</t>
  </si>
  <si>
    <t>Increase 4</t>
  </si>
  <si>
    <t>Total Increases</t>
  </si>
  <si>
    <t>Total Offsets</t>
  </si>
  <si>
    <t>Program Offsets</t>
  </si>
  <si>
    <t>Offset 4</t>
  </si>
  <si>
    <t>Total Program Increases</t>
  </si>
  <si>
    <t>Total Program Offsets</t>
  </si>
  <si>
    <t>Agt./
Atty.</t>
  </si>
  <si>
    <t>Resources by Department of Justice Strategic Goal/Objective</t>
  </si>
  <si>
    <t>Strategic Goal and Strategic Objective</t>
  </si>
  <si>
    <t>Direct Amount</t>
  </si>
  <si>
    <t>Direct/
Reimb FTE</t>
  </si>
  <si>
    <t>Goal 1</t>
  </si>
  <si>
    <t>Prevent, disrupt, and defeat terrorist operations before they occur.</t>
  </si>
  <si>
    <t>Prosecute those involved in terrorist acts.</t>
  </si>
  <si>
    <t>Combat espionage against the United States.</t>
  </si>
  <si>
    <t xml:space="preserve">Prevent Terrorism and Promote the Nation's Security Consistent with the Rule of Law
</t>
  </si>
  <si>
    <t>Goal 2</t>
  </si>
  <si>
    <t>Prevent Crime, Protect the Rights of the American People, and enforce Federal Law</t>
  </si>
  <si>
    <t>Subtotal, Goal 2</t>
  </si>
  <si>
    <t>Subtotal, Goal 1</t>
  </si>
  <si>
    <t>Combat the threat, incidence, and prevalence of violent crime.</t>
  </si>
  <si>
    <t>Prevent and intervene in crimes against vulnerable of violent crime.</t>
  </si>
  <si>
    <t>Combat the threat, trafficking, and use of illegal drugs and the diversion of licit drugs.</t>
  </si>
  <si>
    <t>Combat corruption, economic crimes, and international organized crime.</t>
  </si>
  <si>
    <t>Promote and protect Americans' civil rights.</t>
  </si>
  <si>
    <t>Protect the federal fisc and defend the interests of the United States.</t>
  </si>
  <si>
    <t>Goal 3</t>
  </si>
  <si>
    <t>Ensure and Support the Fair, Impartial, Efficient, and Transparent Administration of Justice at the Federal, State, Local, Tribal and International Levels.</t>
  </si>
  <si>
    <t>Subtotal, Goal 3</t>
  </si>
  <si>
    <t>TOTAL</t>
  </si>
  <si>
    <t>Provide for the safe, secure, humane, and cost-effective confinement of detainees awaiting trial and/or sentencing, and those of the custody of the Federal Prison System.</t>
  </si>
  <si>
    <t>Adjudicate all immigration cases promptly and impartially in accordance with due process.</t>
  </si>
  <si>
    <t>25.6 Medical Care</t>
  </si>
  <si>
    <t>Reprogramming/Transfers</t>
  </si>
  <si>
    <t xml:space="preserve">Carryover </t>
  </si>
  <si>
    <t>Line 1000 for Unobligated Balances Carried Forward</t>
  </si>
  <si>
    <t>Crosswalk of 2013 Availability</t>
  </si>
  <si>
    <t>Increase/Decrease</t>
  </si>
  <si>
    <t>Summary of Requirements by Object Class</t>
  </si>
  <si>
    <t>Object Class</t>
  </si>
  <si>
    <t>11.3 Other than Full-Time Permanent</t>
  </si>
  <si>
    <t>Other Compensation</t>
  </si>
  <si>
    <t>11.8 Special Personal Services Payments</t>
  </si>
  <si>
    <t>Other Object  Classes</t>
  </si>
  <si>
    <t>12.0 Personnel Benefits</t>
  </si>
  <si>
    <t>13.0 Benefits for former personnel</t>
  </si>
  <si>
    <t>21.0 Travel and Transportation of Persons</t>
  </si>
  <si>
    <t>23.1 Rental Payments to GSA</t>
  </si>
  <si>
    <t>23.2 Rental Payments to Others</t>
  </si>
  <si>
    <t>23.3 Communications, Utilities, and Miscellaneous Charges</t>
  </si>
  <si>
    <t>24.0 Printing and Reproduction</t>
  </si>
  <si>
    <t>25.1 Advisory and Assistance Services</t>
  </si>
  <si>
    <t>25.2 Other Services from Non-Federal Sources</t>
  </si>
  <si>
    <t>25.3 Other Goods and Services from Federal Sources</t>
  </si>
  <si>
    <t>25.4 Operation and Maintenance of Facilities</t>
  </si>
  <si>
    <t>25.5 Research and Development Contracts</t>
  </si>
  <si>
    <t>25.7 Operation and Maintenance of Equipment</t>
  </si>
  <si>
    <t>25.8 Subsistence and Support of Persons</t>
  </si>
  <si>
    <t>26.0 Supplies and Materials</t>
  </si>
  <si>
    <t>31.0 Equipment</t>
  </si>
  <si>
    <t>32.0 Land and Structures</t>
  </si>
  <si>
    <t>41.0 Grants, Subsidies, and Contributions</t>
  </si>
  <si>
    <t>42.0 Insurance Claims and Indemnities</t>
  </si>
  <si>
    <t>Total Obligations</t>
  </si>
  <si>
    <t>Add - Unobligated End-of-Year, Available</t>
  </si>
  <si>
    <t>Total Direct Requirements</t>
  </si>
  <si>
    <t>Full-Time Permanent</t>
  </si>
  <si>
    <t>23.1 Rental Payments to GSA (Reimbursable)</t>
  </si>
  <si>
    <t>25.3 Other Goods and Services from Federal Sources - DHS Security (Reimbursable)</t>
  </si>
  <si>
    <t>Financial Analysis of Program Changes</t>
  </si>
  <si>
    <t>Grades</t>
  </si>
  <si>
    <t>Program Increase 1</t>
  </si>
  <si>
    <t>Program Increase 2</t>
  </si>
  <si>
    <t>SES</t>
  </si>
  <si>
    <t>GS-15</t>
  </si>
  <si>
    <t>GS-14</t>
  </si>
  <si>
    <t>GS-13</t>
  </si>
  <si>
    <t>GS-12</t>
  </si>
  <si>
    <t>GS-11</t>
  </si>
  <si>
    <t>GS-10</t>
  </si>
  <si>
    <t>GS-9</t>
  </si>
  <si>
    <t>GS-8</t>
  </si>
  <si>
    <t>GS-7</t>
  </si>
  <si>
    <t>GS-6</t>
  </si>
  <si>
    <t>GS-5</t>
  </si>
  <si>
    <t>Total Positions and Annual Amount</t>
  </si>
  <si>
    <t>Lapse (-)</t>
  </si>
  <si>
    <t>Total FTEs and Personnel Compensation</t>
  </si>
  <si>
    <t>Total Technical and Base Adjustments</t>
  </si>
  <si>
    <t>Estimate FTE</t>
  </si>
  <si>
    <t>Estim. FTE</t>
  </si>
  <si>
    <t>Balance Rescission</t>
  </si>
  <si>
    <t>Total Direct</t>
  </si>
  <si>
    <t>Total Direct and Reimb. FTE</t>
  </si>
  <si>
    <t>Grand Total, FTE</t>
  </si>
  <si>
    <t>Program Activity</t>
  </si>
  <si>
    <t>Location of Description by Program Activity</t>
  </si>
  <si>
    <t>Recoveries/Refunds</t>
  </si>
  <si>
    <t>Total Program Change Requests</t>
  </si>
  <si>
    <t>11.5 Other Personnel Compensation</t>
  </si>
  <si>
    <t>22.0 Transportation of Things</t>
  </si>
  <si>
    <t>Subtract - Unobligated Balance, Start-of-Year</t>
  </si>
  <si>
    <t>Do NOT change font, font size and other display settings.</t>
  </si>
  <si>
    <r>
      <t xml:space="preserve">Insert/delete rows as needed. </t>
    </r>
    <r>
      <rPr>
        <b/>
        <sz val="11"/>
        <color theme="0"/>
        <rFont val="Arial"/>
        <family val="2"/>
      </rPr>
      <t xml:space="preserve"> Make sure total formula includes applicable rows in calculation.</t>
    </r>
  </si>
  <si>
    <t>Promote and Strengthen relationship and strategies for the administration of justice with state, local, tribal and international law enforcement.</t>
  </si>
  <si>
    <t>Protect judges, witnesses, and other participants in federal proceedings; apprehend fugitives; and ensure the appearance of criminal defendants for judicial proceedings or confinement.</t>
  </si>
  <si>
    <t>Est. FTE</t>
  </si>
  <si>
    <t>Total Direct with Rescission</t>
  </si>
  <si>
    <t>Add - Unobligated End-of-Year, Expiring</t>
  </si>
  <si>
    <t>Carryover:</t>
  </si>
  <si>
    <t>Recoveries/Refunds:</t>
  </si>
  <si>
    <t>Subtract - Transfers/Reprogramming</t>
  </si>
  <si>
    <t>FY 2015 Request</t>
  </si>
  <si>
    <t>2015 Current Services</t>
  </si>
  <si>
    <t>2015 Total Request</t>
  </si>
  <si>
    <t>2015 Balance Rescission [if applicable]</t>
  </si>
  <si>
    <t>2014 - 2015 Total Change</t>
  </si>
  <si>
    <t>2015 Technical and Base Adjustments</t>
  </si>
  <si>
    <t>2015 Increases</t>
  </si>
  <si>
    <t>2015 Offsets</t>
  </si>
  <si>
    <t>2015 Request</t>
  </si>
  <si>
    <t>2013 Appropriation Enacted w/o Balance Rescission</t>
  </si>
  <si>
    <t>2013 Estimate</t>
  </si>
  <si>
    <t>Sequester</t>
  </si>
  <si>
    <t>Office on Violence Against Women</t>
  </si>
  <si>
    <t>Grant Programs</t>
  </si>
  <si>
    <t>Actual FTE</t>
  </si>
  <si>
    <t>Prevention and Prosecution of Violence Against Women</t>
  </si>
  <si>
    <t>STOP Program</t>
  </si>
  <si>
    <t>Transitional Housing</t>
  </si>
  <si>
    <t>NIJ Research and Development</t>
  </si>
  <si>
    <t>Arrest Program</t>
  </si>
  <si>
    <t>Sexual Assault Svcs Program</t>
  </si>
  <si>
    <t>Homicide Reduction Initiative</t>
  </si>
  <si>
    <t>[3,725]</t>
  </si>
  <si>
    <t>[4,000]</t>
  </si>
  <si>
    <t>Rural Program</t>
  </si>
  <si>
    <t>Campus Program</t>
  </si>
  <si>
    <t>Legal Assistance to Victims (LAV)</t>
  </si>
  <si>
    <t>Abuse in Later Life Program</t>
  </si>
  <si>
    <t>Consolidated Grants to Support Families in the Justice System</t>
  </si>
  <si>
    <t>Safe Havens: Supervised Visitation Program</t>
  </si>
  <si>
    <t>Court Training &amp; Improvement</t>
  </si>
  <si>
    <t>Disabilities Program</t>
  </si>
  <si>
    <t>Consolidated Grants Program</t>
  </si>
  <si>
    <t>Engaging Men &amp; Youth Program</t>
  </si>
  <si>
    <t>Supporting Teens Through Education</t>
  </si>
  <si>
    <t>Children &amp; Youth Exposed</t>
  </si>
  <si>
    <t>Youth Advocacy</t>
  </si>
  <si>
    <t xml:space="preserve">Sexual Assault Clearing House - Indian Country </t>
  </si>
  <si>
    <t>Indian Women - Analysis &amp; Research</t>
  </si>
  <si>
    <t>National Resource Center - Workplace Response</t>
  </si>
  <si>
    <t>Tribal Government Grants Program</t>
  </si>
  <si>
    <t>Tribal Coalition Grants</t>
  </si>
  <si>
    <t>OVW Set-Aside for Research and Evaluation -- 2% of discr funds</t>
  </si>
  <si>
    <t>[4,030]</t>
  </si>
  <si>
    <t>Sequester Cut</t>
  </si>
  <si>
    <r>
      <t>2013 Enacted with Rescissions and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Sequester</t>
    </r>
  </si>
  <si>
    <t xml:space="preserve">     Transitional Housing</t>
  </si>
  <si>
    <t xml:space="preserve">     Research and Evaluation of Violence Against Indian Women (NIJ)</t>
  </si>
  <si>
    <t xml:space="preserve">     Rural Domestic Violence &amp; Child Enforcement Assistance</t>
  </si>
  <si>
    <t xml:space="preserve">     Legal Assistance to Victims</t>
  </si>
  <si>
    <t xml:space="preserve">     Consolidated Grants to Support Families in the Justice System</t>
  </si>
  <si>
    <t xml:space="preserve">     Campus Violence</t>
  </si>
  <si>
    <t xml:space="preserve">        Increases</t>
  </si>
  <si>
    <t>Offsets:</t>
  </si>
  <si>
    <t>FY 2015 Program Increases/Offsets by Decision Unit</t>
  </si>
  <si>
    <t>Prevention &amp; Prosecution of Violence Against Women</t>
  </si>
  <si>
    <t xml:space="preserve">Grants </t>
  </si>
  <si>
    <t xml:space="preserve">Grant Programs/Salaries and Expenses </t>
  </si>
  <si>
    <t>11.1 Full-Time Permanent*</t>
  </si>
  <si>
    <t>Subtract - Rescissions</t>
  </si>
  <si>
    <t>* The $9 million in full-time personnel costs reflected in MAX for 2013 is an error.  It should have been $7 million for personnel and $ 2 million for civilian benefits.</t>
  </si>
  <si>
    <t>2013 Enacted with Rescissions and Sequester</t>
  </si>
  <si>
    <t>Tribal Registry Program</t>
  </si>
  <si>
    <t>[31,588}</t>
  </si>
  <si>
    <t>Base Adjustments</t>
  </si>
  <si>
    <t>-[192]</t>
  </si>
  <si>
    <t xml:space="preserve">2014 Enacted </t>
  </si>
  <si>
    <t>Total Technical Adjustments</t>
  </si>
  <si>
    <t>Note: The FTE for FY 2013 is actual and for FY 2014 and FY 2015 is estimated.</t>
  </si>
  <si>
    <t>2014 Enacted</t>
  </si>
  <si>
    <t>[35,465]</t>
  </si>
  <si>
    <t>[35,675]</t>
  </si>
  <si>
    <t>[6,216]</t>
  </si>
  <si>
    <t xml:space="preserve">Rural Program </t>
  </si>
  <si>
    <t>Crosswalk of 2014 Availability</t>
  </si>
  <si>
    <t>FY 2014 Enacted</t>
  </si>
  <si>
    <t>2014 Availability</t>
  </si>
  <si>
    <r>
      <rPr>
        <sz val="11"/>
        <color theme="1"/>
        <rFont val="Arial"/>
        <family val="2"/>
      </rPr>
      <t>Reprogramming/Transfers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should reflect </t>
    </r>
    <r>
      <rPr>
        <b/>
        <sz val="11"/>
        <color theme="1"/>
        <rFont val="Arial"/>
        <family val="2"/>
      </rPr>
      <t xml:space="preserve">approved reprogramming </t>
    </r>
    <r>
      <rPr>
        <sz val="11"/>
        <color theme="1"/>
        <rFont val="Arial"/>
        <family val="2"/>
      </rPr>
      <t xml:space="preserve">and </t>
    </r>
    <r>
      <rPr>
        <b/>
        <sz val="11"/>
        <color theme="1"/>
        <rFont val="Arial"/>
        <family val="2"/>
      </rPr>
      <t xml:space="preserve">all SF-1151 Transfers </t>
    </r>
    <r>
      <rPr>
        <sz val="11"/>
        <color theme="1"/>
        <rFont val="Arial"/>
        <family val="2"/>
      </rPr>
      <t>(DHS, HIDTA, Treasury, etc.</t>
    </r>
  </si>
  <si>
    <t>Direct Amounts only from the latest approved SF-132 for the following items:</t>
  </si>
  <si>
    <t>Tribal Registry</t>
  </si>
  <si>
    <t>Subtract - Recoveries/Refunds</t>
  </si>
  <si>
    <t>A: Organizational Chart -OVW Grant Programs</t>
  </si>
  <si>
    <t>Salaries and Expenses</t>
  </si>
  <si>
    <t xml:space="preserve">  2013 Rescissions (1.877% &amp; 0.2%)</t>
  </si>
  <si>
    <t xml:space="preserve"> </t>
  </si>
  <si>
    <t xml:space="preserve">  2013 Sequester</t>
  </si>
  <si>
    <t>2013 Balance Rescission</t>
  </si>
  <si>
    <t>Total 2013 Enacted (with Rescissions and Sequester)</t>
  </si>
  <si>
    <t>2014 Balance Rescission</t>
  </si>
  <si>
    <t>Total 2014 Enacted (with Balance Rescission)</t>
  </si>
  <si>
    <t>Technical Adjustments</t>
  </si>
  <si>
    <t>2015 Total Request (with Balance Rescission)</t>
  </si>
  <si>
    <t xml:space="preserve">2013 Enacted </t>
  </si>
  <si>
    <t xml:space="preserve">     Restoration of FY 14 Prior Year Balance Rescission</t>
  </si>
  <si>
    <t>NOTE: Excludes Balance Rescission and/or Supplemental Appropriations.</t>
  </si>
  <si>
    <t>[17,460]</t>
  </si>
  <si>
    <t>2005 Safe Start Project : OJP/OJJDP</t>
  </si>
  <si>
    <t>[3,917]</t>
  </si>
  <si>
    <t>[18,772]</t>
  </si>
  <si>
    <t>OVW had $35.006M of carry over from FY2012, of this amount, $29.876M is program dollars, and $5.129M is salaries and expenses.</t>
  </si>
  <si>
    <t xml:space="preserve">$400K was transferred to  NIJ/OJP for FY 2013.  </t>
  </si>
  <si>
    <t xml:space="preserve">$3.250M is to be transferred to OJP/NIJ for Research, Evaluation and Statistics as per the Consolidated Appropriations Act, 2014. </t>
  </si>
  <si>
    <t>OVW had $19.787M of carry over from FY2013, of this amount, $14.564M is program dollars, and $5.223M is salaries and expenses.</t>
  </si>
  <si>
    <t>2013 Actuals*</t>
  </si>
  <si>
    <t xml:space="preserve">Actual Recoveries as of September 30, 2013 were $15.717M, which includes $14.659M  in program funds and $1.058M in salaries and expenses.    </t>
  </si>
  <si>
    <t>[3,376]</t>
  </si>
  <si>
    <t>[31,588]</t>
  </si>
  <si>
    <t>Total Direct Requirements with Balance Rescission</t>
  </si>
  <si>
    <t xml:space="preserve">     Balance Rescission</t>
  </si>
  <si>
    <t xml:space="preserve">Increase </t>
  </si>
  <si>
    <t>Increase</t>
  </si>
  <si>
    <t>Legal Assistance to Victims Program</t>
  </si>
  <si>
    <t>Offset</t>
  </si>
  <si>
    <t>OVW has recovered $8.367M in no year funds as of January 31, 2014.  Estimated total recoveries for FY 2014 are $15M.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</si>
</sst>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u/>
      <sz val="11"/>
      <color theme="0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color rgb="FF1F497D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b/>
      <i/>
      <sz val="11"/>
      <color theme="1"/>
      <name val="Arial"/>
      <family val="2"/>
    </font>
    <font>
      <sz val="14"/>
      <color rgb="FFFF0000"/>
      <name val="Arial"/>
      <family val="2"/>
    </font>
    <font>
      <b/>
      <sz val="10"/>
      <name val="Times New Roman"/>
      <family val="1"/>
    </font>
    <font>
      <u/>
      <sz val="8"/>
      <color rgb="FF0000FF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theme="1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/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 style="dashed">
        <color theme="0" tint="-0.14996795556505021"/>
      </bottom>
      <diagonal/>
    </border>
    <border>
      <left/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ashed">
        <color theme="0" tint="-0.14996795556505021"/>
      </bottom>
      <diagonal/>
    </border>
    <border>
      <left/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 style="medium">
        <color auto="1"/>
      </right>
      <top style="dashed">
        <color theme="0" tint="-0.1499679555650502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82">
    <xf numFmtId="0" fontId="0" fillId="0" borderId="0"/>
    <xf numFmtId="43" fontId="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0" fontId="22" fillId="0" borderId="0"/>
    <xf numFmtId="0" fontId="21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29" fillId="0" borderId="0">
      <alignment horizontal="center" vertical="center"/>
    </xf>
    <xf numFmtId="3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9" fillId="2" borderId="85" applyNumberFormat="0" applyFont="0" applyAlignment="0" applyProtection="0"/>
    <xf numFmtId="0" fontId="9" fillId="2" borderId="85" applyNumberFormat="0" applyFont="0" applyAlignment="0" applyProtection="0"/>
  </cellStyleXfs>
  <cellXfs count="297">
    <xf numFmtId="0" fontId="0" fillId="0" borderId="0" xfId="0"/>
    <xf numFmtId="3" fontId="13" fillId="0" borderId="6" xfId="0" applyNumberFormat="1" applyFont="1" applyBorder="1" applyAlignment="1">
      <alignment horizontal="center" vertical="top" wrapText="1"/>
    </xf>
    <xf numFmtId="3" fontId="13" fillId="0" borderId="7" xfId="0" applyNumberFormat="1" applyFont="1" applyBorder="1" applyAlignment="1">
      <alignment horizontal="center" vertical="top" wrapText="1"/>
    </xf>
    <xf numFmtId="164" fontId="13" fillId="0" borderId="8" xfId="1" applyNumberFormat="1" applyFont="1" applyBorder="1" applyAlignment="1">
      <alignment horizontal="center" vertical="top" wrapText="1"/>
    </xf>
    <xf numFmtId="0" fontId="14" fillId="0" borderId="0" xfId="0" applyFont="1"/>
    <xf numFmtId="0" fontId="13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0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8" fillId="0" borderId="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right"/>
    </xf>
    <xf numFmtId="0" fontId="8" fillId="0" borderId="18" xfId="0" applyFont="1" applyBorder="1" applyAlignment="1">
      <alignment horizontal="left" indent="3"/>
    </xf>
    <xf numFmtId="0" fontId="8" fillId="0" borderId="18" xfId="0" applyFont="1" applyBorder="1" applyAlignment="1">
      <alignment horizontal="left" indent="5"/>
    </xf>
    <xf numFmtId="0" fontId="8" fillId="0" borderId="21" xfId="0" applyFont="1" applyBorder="1" applyAlignment="1">
      <alignment horizontal="left" indent="5"/>
    </xf>
    <xf numFmtId="0" fontId="15" fillId="0" borderId="0" xfId="0" applyFont="1" applyAlignment="1"/>
    <xf numFmtId="0" fontId="7" fillId="0" borderId="1" xfId="0" applyFont="1" applyBorder="1" applyAlignment="1">
      <alignment horizontal="center" vertical="top" wrapText="1"/>
    </xf>
    <xf numFmtId="0" fontId="13" fillId="0" borderId="0" xfId="0" applyFont="1" applyAlignment="1"/>
    <xf numFmtId="0" fontId="7" fillId="0" borderId="0" xfId="0" applyFont="1"/>
    <xf numFmtId="0" fontId="13" fillId="0" borderId="6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3" fontId="8" fillId="0" borderId="19" xfId="0" applyNumberFormat="1" applyFont="1" applyBorder="1"/>
    <xf numFmtId="3" fontId="13" fillId="0" borderId="37" xfId="0" applyNumberFormat="1" applyFont="1" applyBorder="1"/>
    <xf numFmtId="3" fontId="13" fillId="0" borderId="38" xfId="0" applyNumberFormat="1" applyFont="1" applyBorder="1"/>
    <xf numFmtId="0" fontId="13" fillId="0" borderId="36" xfId="0" applyFont="1" applyBorder="1" applyAlignment="1">
      <alignment horizontal="right"/>
    </xf>
    <xf numFmtId="0" fontId="13" fillId="0" borderId="40" xfId="0" applyFont="1" applyBorder="1" applyAlignment="1">
      <alignment vertical="top"/>
    </xf>
    <xf numFmtId="0" fontId="13" fillId="0" borderId="30" xfId="0" applyFont="1" applyBorder="1" applyAlignment="1">
      <alignment horizontal="center"/>
    </xf>
    <xf numFmtId="3" fontId="13" fillId="0" borderId="7" xfId="0" applyNumberFormat="1" applyFont="1" applyBorder="1"/>
    <xf numFmtId="0" fontId="13" fillId="0" borderId="28" xfId="0" applyFont="1" applyBorder="1" applyAlignment="1">
      <alignment vertical="top" wrapText="1"/>
    </xf>
    <xf numFmtId="0" fontId="13" fillId="0" borderId="36" xfId="0" applyFont="1" applyBorder="1" applyAlignment="1">
      <alignment horizontal="right" vertical="top"/>
    </xf>
    <xf numFmtId="0" fontId="10" fillId="0" borderId="33" xfId="0" applyFont="1" applyBorder="1" applyAlignment="1"/>
    <xf numFmtId="0" fontId="14" fillId="0" borderId="0" xfId="0" applyFont="1" applyAlignment="1"/>
    <xf numFmtId="0" fontId="13" fillId="0" borderId="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indent="8"/>
    </xf>
    <xf numFmtId="0" fontId="13" fillId="0" borderId="18" xfId="0" applyFont="1" applyBorder="1"/>
    <xf numFmtId="0" fontId="13" fillId="0" borderId="18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right" indent="1"/>
    </xf>
    <xf numFmtId="0" fontId="13" fillId="0" borderId="1" xfId="0" applyFont="1" applyBorder="1" applyAlignment="1">
      <alignment horizontal="right" indent="1"/>
    </xf>
    <xf numFmtId="0" fontId="13" fillId="0" borderId="63" xfId="0" applyFont="1" applyBorder="1"/>
    <xf numFmtId="3" fontId="13" fillId="0" borderId="18" xfId="0" applyNumberFormat="1" applyFont="1" applyBorder="1"/>
    <xf numFmtId="3" fontId="13" fillId="0" borderId="19" xfId="0" applyNumberFormat="1" applyFont="1" applyBorder="1"/>
    <xf numFmtId="0" fontId="13" fillId="0" borderId="64" xfId="0" applyFont="1" applyBorder="1" applyAlignment="1">
      <alignment horizontal="left" indent="1"/>
    </xf>
    <xf numFmtId="3" fontId="13" fillId="0" borderId="20" xfId="0" applyNumberFormat="1" applyFont="1" applyBorder="1"/>
    <xf numFmtId="0" fontId="13" fillId="0" borderId="64" xfId="0" applyFont="1" applyBorder="1"/>
    <xf numFmtId="0" fontId="13" fillId="0" borderId="64" xfId="0" applyFont="1" applyBorder="1" applyAlignment="1">
      <alignment horizontal="left" indent="3"/>
    </xf>
    <xf numFmtId="0" fontId="13" fillId="0" borderId="62" xfId="0" applyFont="1" applyBorder="1" applyAlignment="1">
      <alignment horizontal="left"/>
    </xf>
    <xf numFmtId="3" fontId="13" fillId="0" borderId="41" xfId="0" applyNumberFormat="1" applyFont="1" applyBorder="1"/>
    <xf numFmtId="3" fontId="13" fillId="0" borderId="65" xfId="0" applyNumberFormat="1" applyFont="1" applyBorder="1"/>
    <xf numFmtId="0" fontId="13" fillId="0" borderId="64" xfId="0" applyFont="1" applyBorder="1" applyAlignment="1">
      <alignment horizontal="left"/>
    </xf>
    <xf numFmtId="0" fontId="13" fillId="0" borderId="63" xfId="0" applyFont="1" applyBorder="1" applyAlignment="1">
      <alignment horizontal="left" indent="1"/>
    </xf>
    <xf numFmtId="3" fontId="13" fillId="0" borderId="69" xfId="0" applyNumberFormat="1" applyFont="1" applyBorder="1"/>
    <xf numFmtId="3" fontId="13" fillId="0" borderId="56" xfId="0" applyNumberFormat="1" applyFont="1" applyBorder="1"/>
    <xf numFmtId="3" fontId="13" fillId="0" borderId="70" xfId="0" applyNumberFormat="1" applyFont="1" applyBorder="1"/>
    <xf numFmtId="0" fontId="8" fillId="0" borderId="58" xfId="0" applyFont="1" applyBorder="1" applyAlignment="1">
      <alignment horizontal="left" indent="3"/>
    </xf>
    <xf numFmtId="3" fontId="13" fillId="0" borderId="31" xfId="0" applyNumberFormat="1" applyFont="1" applyBorder="1"/>
    <xf numFmtId="3" fontId="13" fillId="0" borderId="13" xfId="0" applyNumberFormat="1" applyFont="1" applyBorder="1"/>
    <xf numFmtId="3" fontId="13" fillId="0" borderId="71" xfId="0" applyNumberFormat="1" applyFont="1" applyBorder="1"/>
    <xf numFmtId="0" fontId="13" fillId="0" borderId="24" xfId="0" applyFont="1" applyBorder="1" applyAlignment="1">
      <alignment horizontal="left"/>
    </xf>
    <xf numFmtId="0" fontId="13" fillId="0" borderId="0" xfId="0" applyFont="1" applyBorder="1" applyAlignment="1">
      <alignment vertical="center" wrapText="1"/>
    </xf>
    <xf numFmtId="0" fontId="6" fillId="0" borderId="18" xfId="0" applyFont="1" applyBorder="1" applyAlignment="1">
      <alignment horizontal="left" indent="3"/>
    </xf>
    <xf numFmtId="0" fontId="6" fillId="0" borderId="6" xfId="0" applyFont="1" applyBorder="1" applyAlignment="1">
      <alignment horizontal="left" indent="3"/>
    </xf>
    <xf numFmtId="0" fontId="5" fillId="0" borderId="0" xfId="0" applyFont="1"/>
    <xf numFmtId="0" fontId="19" fillId="0" borderId="72" xfId="0" applyFont="1" applyBorder="1" applyAlignment="1">
      <alignment horizontal="center"/>
    </xf>
    <xf numFmtId="0" fontId="14" fillId="0" borderId="73" xfId="0" applyFont="1" applyBorder="1"/>
    <xf numFmtId="0" fontId="17" fillId="0" borderId="74" xfId="0" applyFont="1" applyBorder="1"/>
    <xf numFmtId="3" fontId="13" fillId="0" borderId="44" xfId="0" applyNumberFormat="1" applyFont="1" applyBorder="1"/>
    <xf numFmtId="3" fontId="13" fillId="0" borderId="45" xfId="0" applyNumberFormat="1" applyFont="1" applyBorder="1"/>
    <xf numFmtId="3" fontId="13" fillId="0" borderId="76" xfId="0" applyNumberFormat="1" applyFont="1" applyBorder="1"/>
    <xf numFmtId="3" fontId="13" fillId="0" borderId="42" xfId="0" applyNumberFormat="1" applyFont="1" applyBorder="1"/>
    <xf numFmtId="3" fontId="13" fillId="0" borderId="58" xfId="0" applyNumberFormat="1" applyFont="1" applyBorder="1"/>
    <xf numFmtId="3" fontId="13" fillId="0" borderId="48" xfId="0" applyNumberFormat="1" applyFont="1" applyBorder="1"/>
    <xf numFmtId="3" fontId="13" fillId="0" borderId="35" xfId="0" applyNumberFormat="1" applyFont="1" applyBorder="1"/>
    <xf numFmtId="3" fontId="13" fillId="0" borderId="77" xfId="0" applyNumberFormat="1" applyFont="1" applyBorder="1"/>
    <xf numFmtId="3" fontId="20" fillId="0" borderId="18" xfId="0" applyNumberFormat="1" applyFont="1" applyBorder="1"/>
    <xf numFmtId="3" fontId="20" fillId="0" borderId="19" xfId="0" applyNumberFormat="1" applyFont="1" applyBorder="1"/>
    <xf numFmtId="3" fontId="20" fillId="0" borderId="20" xfId="0" applyNumberFormat="1" applyFont="1" applyBorder="1"/>
    <xf numFmtId="3" fontId="8" fillId="0" borderId="16" xfId="0" applyNumberFormat="1" applyFont="1" applyBorder="1"/>
    <xf numFmtId="3" fontId="8" fillId="0" borderId="17" xfId="0" applyNumberFormat="1" applyFont="1" applyBorder="1"/>
    <xf numFmtId="3" fontId="8" fillId="0" borderId="20" xfId="0" applyNumberFormat="1" applyFont="1" applyBorder="1"/>
    <xf numFmtId="3" fontId="13" fillId="0" borderId="1" xfId="0" applyNumberFormat="1" applyFont="1" applyBorder="1"/>
    <xf numFmtId="3" fontId="13" fillId="0" borderId="12" xfId="0" applyNumberFormat="1" applyFont="1" applyBorder="1"/>
    <xf numFmtId="3" fontId="13" fillId="0" borderId="16" xfId="0" applyNumberFormat="1" applyFont="1" applyBorder="1"/>
    <xf numFmtId="3" fontId="8" fillId="0" borderId="45" xfId="0" applyNumberFormat="1" applyFont="1" applyBorder="1"/>
    <xf numFmtId="3" fontId="8" fillId="0" borderId="48" xfId="0" applyNumberFormat="1" applyFont="1" applyBorder="1"/>
    <xf numFmtId="3" fontId="8" fillId="0" borderId="22" xfId="0" applyNumberFormat="1" applyFont="1" applyBorder="1"/>
    <xf numFmtId="3" fontId="8" fillId="0" borderId="23" xfId="0" applyNumberFormat="1" applyFont="1" applyBorder="1"/>
    <xf numFmtId="3" fontId="8" fillId="0" borderId="7" xfId="0" applyNumberFormat="1" applyFont="1" applyBorder="1"/>
    <xf numFmtId="3" fontId="8" fillId="0" borderId="8" xfId="0" applyNumberFormat="1" applyFont="1" applyBorder="1"/>
    <xf numFmtId="3" fontId="13" fillId="0" borderId="8" xfId="0" applyNumberFormat="1" applyFont="1" applyBorder="1"/>
    <xf numFmtId="3" fontId="16" fillId="0" borderId="19" xfId="0" applyNumberFormat="1" applyFont="1" applyBorder="1"/>
    <xf numFmtId="3" fontId="16" fillId="0" borderId="20" xfId="0" applyNumberFormat="1" applyFont="1" applyBorder="1"/>
    <xf numFmtId="3" fontId="13" fillId="0" borderId="47" xfId="0" applyNumberFormat="1" applyFont="1" applyBorder="1"/>
    <xf numFmtId="3" fontId="13" fillId="0" borderId="49" xfId="0" applyNumberFormat="1" applyFont="1" applyBorder="1"/>
    <xf numFmtId="3" fontId="13" fillId="0" borderId="46" xfId="0" applyNumberFormat="1" applyFont="1" applyBorder="1"/>
    <xf numFmtId="3" fontId="13" fillId="0" borderId="22" xfId="0" applyNumberFormat="1" applyFont="1" applyBorder="1"/>
    <xf numFmtId="0" fontId="4" fillId="0" borderId="18" xfId="0" applyFont="1" applyBorder="1" applyAlignment="1">
      <alignment horizontal="left" indent="2"/>
    </xf>
    <xf numFmtId="0" fontId="4" fillId="0" borderId="0" xfId="0" applyFont="1"/>
    <xf numFmtId="3" fontId="4" fillId="0" borderId="0" xfId="0" applyNumberFormat="1" applyFont="1"/>
    <xf numFmtId="164" fontId="4" fillId="0" borderId="0" xfId="1" applyNumberFormat="1" applyFont="1"/>
    <xf numFmtId="0" fontId="4" fillId="0" borderId="64" xfId="0" applyFont="1" applyBorder="1" applyAlignment="1">
      <alignment horizontal="left" indent="1"/>
    </xf>
    <xf numFmtId="3" fontId="4" fillId="0" borderId="77" xfId="0" applyNumberFormat="1" applyFont="1" applyBorder="1"/>
    <xf numFmtId="3" fontId="4" fillId="0" borderId="78" xfId="0" applyNumberFormat="1" applyFont="1" applyBorder="1"/>
    <xf numFmtId="0" fontId="4" fillId="0" borderId="64" xfId="0" applyFont="1" applyBorder="1" applyAlignment="1">
      <alignment horizontal="left" indent="6"/>
    </xf>
    <xf numFmtId="3" fontId="4" fillId="0" borderId="19" xfId="0" applyNumberFormat="1" applyFont="1" applyBorder="1"/>
    <xf numFmtId="0" fontId="4" fillId="0" borderId="64" xfId="0" applyFont="1" applyBorder="1" applyAlignment="1">
      <alignment horizontal="left" indent="3"/>
    </xf>
    <xf numFmtId="0" fontId="4" fillId="0" borderId="64" xfId="0" applyFont="1" applyBorder="1" applyAlignment="1">
      <alignment horizontal="left" indent="4"/>
    </xf>
    <xf numFmtId="3" fontId="4" fillId="0" borderId="41" xfId="0" applyNumberFormat="1" applyFont="1" applyBorder="1"/>
    <xf numFmtId="3" fontId="4" fillId="0" borderId="65" xfId="0" applyNumberFormat="1" applyFont="1" applyBorder="1"/>
    <xf numFmtId="0" fontId="4" fillId="0" borderId="25" xfId="0" applyFont="1" applyBorder="1" applyAlignment="1">
      <alignment horizontal="left"/>
    </xf>
    <xf numFmtId="3" fontId="4" fillId="0" borderId="66" xfId="0" applyNumberFormat="1" applyFont="1" applyBorder="1"/>
    <xf numFmtId="3" fontId="4" fillId="0" borderId="53" xfId="0" applyNumberFormat="1" applyFont="1" applyBorder="1"/>
    <xf numFmtId="3" fontId="4" fillId="0" borderId="67" xfId="0" applyNumberFormat="1" applyFont="1" applyBorder="1"/>
    <xf numFmtId="0" fontId="2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/>
    <xf numFmtId="0" fontId="4" fillId="0" borderId="0" xfId="0" applyFont="1" applyAlignment="1"/>
    <xf numFmtId="3" fontId="4" fillId="0" borderId="13" xfId="0" applyNumberFormat="1" applyFont="1" applyBorder="1"/>
    <xf numFmtId="3" fontId="4" fillId="0" borderId="71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left" vertical="center" wrapText="1" indent="3"/>
    </xf>
    <xf numFmtId="3" fontId="4" fillId="0" borderId="16" xfId="0" applyNumberFormat="1" applyFont="1" applyBorder="1"/>
    <xf numFmtId="3" fontId="4" fillId="0" borderId="17" xfId="0" applyNumberFormat="1" applyFont="1" applyBorder="1"/>
    <xf numFmtId="0" fontId="4" fillId="0" borderId="18" xfId="0" applyFont="1" applyBorder="1" applyAlignment="1">
      <alignment horizontal="left" indent="3"/>
    </xf>
    <xf numFmtId="3" fontId="4" fillId="0" borderId="20" xfId="0" applyNumberFormat="1" applyFont="1" applyBorder="1"/>
    <xf numFmtId="3" fontId="4" fillId="0" borderId="19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 vertical="center" wrapText="1" indent="3"/>
    </xf>
    <xf numFmtId="3" fontId="4" fillId="0" borderId="13" xfId="0" applyNumberFormat="1" applyFont="1" applyBorder="1" applyAlignment="1">
      <alignment horizontal="right"/>
    </xf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0" fontId="4" fillId="0" borderId="75" xfId="0" applyFont="1" applyBorder="1" applyAlignment="1">
      <alignment horizontal="left" indent="2"/>
    </xf>
    <xf numFmtId="0" fontId="4" fillId="0" borderId="58" xfId="0" applyFont="1" applyBorder="1" applyAlignment="1">
      <alignment horizontal="left" indent="2"/>
    </xf>
    <xf numFmtId="3" fontId="4" fillId="0" borderId="80" xfId="0" applyNumberFormat="1" applyFont="1" applyBorder="1"/>
    <xf numFmtId="0" fontId="4" fillId="0" borderId="35" xfId="0" applyFont="1" applyBorder="1" applyAlignment="1">
      <alignment horizontal="left" indent="2"/>
    </xf>
    <xf numFmtId="3" fontId="4" fillId="0" borderId="37" xfId="0" applyNumberFormat="1" applyFont="1" applyBorder="1"/>
    <xf numFmtId="3" fontId="4" fillId="0" borderId="38" xfId="0" applyNumberFormat="1" applyFont="1" applyBorder="1"/>
    <xf numFmtId="0" fontId="4" fillId="0" borderId="58" xfId="0" applyFont="1" applyBorder="1" applyAlignment="1">
      <alignment horizontal="left" indent="3"/>
    </xf>
    <xf numFmtId="3" fontId="4" fillId="0" borderId="45" xfId="0" applyNumberFormat="1" applyFont="1" applyBorder="1"/>
    <xf numFmtId="3" fontId="4" fillId="0" borderId="48" xfId="0" applyNumberFormat="1" applyFont="1" applyBorder="1"/>
    <xf numFmtId="0" fontId="4" fillId="0" borderId="18" xfId="0" applyFont="1" applyBorder="1" applyAlignment="1">
      <alignment horizontal="left" indent="5"/>
    </xf>
    <xf numFmtId="0" fontId="4" fillId="0" borderId="21" xfId="0" applyFont="1" applyBorder="1" applyAlignment="1">
      <alignment horizontal="left" indent="5"/>
    </xf>
    <xf numFmtId="3" fontId="4" fillId="0" borderId="22" xfId="0" applyNumberFormat="1" applyFont="1" applyBorder="1"/>
    <xf numFmtId="3" fontId="4" fillId="0" borderId="23" xfId="0" applyNumberFormat="1" applyFont="1" applyBorder="1"/>
    <xf numFmtId="0" fontId="4" fillId="0" borderId="6" xfId="0" applyFont="1" applyBorder="1" applyAlignment="1">
      <alignment horizontal="left" indent="3"/>
    </xf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0" borderId="16" xfId="0" applyNumberFormat="1" applyFont="1" applyFill="1" applyBorder="1"/>
    <xf numFmtId="3" fontId="4" fillId="0" borderId="17" xfId="0" applyNumberFormat="1" applyFont="1" applyFill="1" applyBorder="1"/>
    <xf numFmtId="3" fontId="4" fillId="0" borderId="17" xfId="0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left" vertical="center" indent="3"/>
    </xf>
    <xf numFmtId="0" fontId="28" fillId="0" borderId="0" xfId="0" applyFont="1"/>
    <xf numFmtId="0" fontId="4" fillId="0" borderId="15" xfId="0" applyFont="1" applyBorder="1" applyAlignment="1">
      <alignment horizontal="left" indent="2"/>
    </xf>
    <xf numFmtId="3" fontId="4" fillId="0" borderId="16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indent="3"/>
    </xf>
    <xf numFmtId="0" fontId="4" fillId="0" borderId="28" xfId="0" applyFont="1" applyBorder="1" applyAlignment="1">
      <alignment horizontal="center"/>
    </xf>
    <xf numFmtId="0" fontId="4" fillId="0" borderId="0" xfId="0" applyFont="1" applyBorder="1"/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left" indent="3"/>
    </xf>
    <xf numFmtId="0" fontId="4" fillId="0" borderId="36" xfId="0" applyFont="1" applyBorder="1" applyAlignment="1">
      <alignment horizontal="center"/>
    </xf>
    <xf numFmtId="0" fontId="13" fillId="0" borderId="8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left" vertical="center" wrapText="1" indent="3"/>
    </xf>
    <xf numFmtId="0" fontId="4" fillId="0" borderId="0" xfId="0" applyFont="1" applyAlignment="1">
      <alignment vertical="top" wrapText="1"/>
    </xf>
    <xf numFmtId="0" fontId="4" fillId="0" borderId="10" xfId="0" applyFont="1" applyBorder="1" applyAlignment="1">
      <alignment horizontal="right" vertical="top" wrapText="1"/>
    </xf>
    <xf numFmtId="3" fontId="4" fillId="0" borderId="16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45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16" xfId="0" applyFont="1" applyBorder="1"/>
    <xf numFmtId="0" fontId="4" fillId="0" borderId="17" xfId="0" applyFont="1" applyBorder="1"/>
    <xf numFmtId="0" fontId="4" fillId="0" borderId="41" xfId="0" applyFont="1" applyBorder="1" applyAlignment="1">
      <alignment vertical="top"/>
    </xf>
    <xf numFmtId="0" fontId="4" fillId="0" borderId="29" xfId="0" applyFont="1" applyBorder="1" applyAlignment="1">
      <alignment vertical="top" wrapText="1"/>
    </xf>
    <xf numFmtId="3" fontId="4" fillId="0" borderId="19" xfId="1" applyNumberFormat="1" applyFont="1" applyBorder="1"/>
    <xf numFmtId="0" fontId="4" fillId="0" borderId="29" xfId="0" applyFont="1" applyBorder="1" applyAlignment="1">
      <alignment vertical="top"/>
    </xf>
    <xf numFmtId="0" fontId="4" fillId="0" borderId="42" xfId="0" applyFont="1" applyBorder="1"/>
    <xf numFmtId="0" fontId="4" fillId="0" borderId="31" xfId="0" applyFont="1" applyBorder="1"/>
    <xf numFmtId="0" fontId="13" fillId="0" borderId="84" xfId="0" applyFont="1" applyBorder="1" applyAlignment="1">
      <alignment horizontal="right"/>
    </xf>
    <xf numFmtId="3" fontId="13" fillId="0" borderId="80" xfId="0" applyNumberFormat="1" applyFont="1" applyBorder="1"/>
    <xf numFmtId="0" fontId="4" fillId="0" borderId="43" xfId="0" applyFont="1" applyBorder="1"/>
    <xf numFmtId="0" fontId="4" fillId="0" borderId="16" xfId="0" applyFont="1" applyBorder="1" applyAlignment="1">
      <alignment horizontal="left" indent="1"/>
    </xf>
    <xf numFmtId="0" fontId="4" fillId="0" borderId="45" xfId="0" applyFont="1" applyBorder="1" applyAlignment="1">
      <alignment horizontal="left" indent="1"/>
    </xf>
    <xf numFmtId="0" fontId="4" fillId="0" borderId="37" xfId="0" applyFont="1" applyBorder="1" applyAlignment="1">
      <alignment horizontal="left" indent="1"/>
    </xf>
    <xf numFmtId="0" fontId="4" fillId="0" borderId="45" xfId="0" applyFont="1" applyBorder="1" applyAlignment="1">
      <alignment horizontal="left" indent="3"/>
    </xf>
    <xf numFmtId="0" fontId="4" fillId="0" borderId="13" xfId="0" applyFont="1" applyBorder="1" applyAlignment="1">
      <alignment horizontal="left" indent="1"/>
    </xf>
    <xf numFmtId="0" fontId="4" fillId="0" borderId="18" xfId="0" applyFont="1" applyFill="1" applyBorder="1" applyAlignment="1">
      <alignment horizontal="left" indent="2"/>
    </xf>
    <xf numFmtId="3" fontId="4" fillId="0" borderId="19" xfId="0" applyNumberFormat="1" applyFont="1" applyFill="1" applyBorder="1"/>
    <xf numFmtId="0" fontId="4" fillId="0" borderId="57" xfId="0" applyFont="1" applyBorder="1"/>
    <xf numFmtId="3" fontId="4" fillId="0" borderId="56" xfId="0" applyNumberFormat="1" applyFont="1" applyBorder="1"/>
    <xf numFmtId="3" fontId="4" fillId="0" borderId="55" xfId="0" applyNumberFormat="1" applyFont="1" applyBorder="1"/>
    <xf numFmtId="0" fontId="4" fillId="0" borderId="54" xfId="0" applyFont="1" applyBorder="1" applyAlignment="1">
      <alignment horizontal="left" wrapText="1" indent="2"/>
    </xf>
    <xf numFmtId="3" fontId="4" fillId="0" borderId="47" xfId="0" applyNumberFormat="1" applyFont="1" applyBorder="1"/>
    <xf numFmtId="3" fontId="4" fillId="0" borderId="49" xfId="0" applyNumberFormat="1" applyFont="1" applyBorder="1"/>
    <xf numFmtId="3" fontId="4" fillId="0" borderId="18" xfId="0" applyNumberFormat="1" applyFont="1" applyBorder="1"/>
    <xf numFmtId="0" fontId="8" fillId="0" borderId="10" xfId="0" applyFont="1" applyBorder="1" applyAlignment="1">
      <alignment horizontal="center" vertical="top" wrapText="1"/>
    </xf>
    <xf numFmtId="3" fontId="8" fillId="0" borderId="10" xfId="0" applyNumberFormat="1" applyFont="1" applyBorder="1" applyAlignment="1">
      <alignment horizontal="right" vertical="top" wrapText="1"/>
    </xf>
    <xf numFmtId="3" fontId="8" fillId="0" borderId="16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 vertical="top" wrapText="1"/>
    </xf>
    <xf numFmtId="3" fontId="4" fillId="0" borderId="10" xfId="0" quotePrefix="1" applyNumberFormat="1" applyFont="1" applyBorder="1" applyAlignment="1">
      <alignment horizontal="right" vertical="top" wrapText="1"/>
    </xf>
    <xf numFmtId="3" fontId="13" fillId="0" borderId="76" xfId="0" applyNumberFormat="1" applyFont="1" applyFill="1" applyBorder="1"/>
    <xf numFmtId="0" fontId="13" fillId="0" borderId="4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right" vertical="top" wrapText="1"/>
    </xf>
    <xf numFmtId="0" fontId="4" fillId="0" borderId="63" xfId="0" applyFont="1" applyBorder="1" applyAlignment="1">
      <alignment horizontal="left"/>
    </xf>
    <xf numFmtId="0" fontId="2" fillId="0" borderId="33" xfId="0" applyFont="1" applyBorder="1" applyAlignment="1"/>
    <xf numFmtId="0" fontId="4" fillId="0" borderId="0" xfId="0" applyFont="1" applyAlignment="1">
      <alignment horizontal="left" indent="2"/>
    </xf>
    <xf numFmtId="0" fontId="4" fillId="0" borderId="75" xfId="0" applyFont="1" applyBorder="1" applyAlignment="1">
      <alignment horizontal="left" indent="1"/>
    </xf>
    <xf numFmtId="0" fontId="4" fillId="0" borderId="9" xfId="0" applyFont="1" applyBorder="1" applyAlignment="1">
      <alignment horizontal="left" inden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3" fillId="0" borderId="0" xfId="13" applyFont="1"/>
    <xf numFmtId="0" fontId="18" fillId="0" borderId="0" xfId="0" applyFont="1"/>
    <xf numFmtId="0" fontId="4" fillId="0" borderId="63" xfId="0" applyFont="1" applyBorder="1"/>
    <xf numFmtId="0" fontId="34" fillId="0" borderId="0" xfId="0" applyFont="1"/>
    <xf numFmtId="3" fontId="13" fillId="0" borderId="15" xfId="0" applyNumberFormat="1" applyFont="1" applyBorder="1"/>
    <xf numFmtId="3" fontId="13" fillId="0" borderId="86" xfId="0" applyNumberFormat="1" applyFont="1" applyBorder="1"/>
    <xf numFmtId="0" fontId="13" fillId="0" borderId="68" xfId="0" applyFont="1" applyBorder="1" applyAlignment="1">
      <alignment horizontal="left"/>
    </xf>
    <xf numFmtId="3" fontId="4" fillId="0" borderId="44" xfId="0" applyNumberFormat="1" applyFont="1" applyBorder="1"/>
    <xf numFmtId="3" fontId="4" fillId="0" borderId="76" xfId="0" applyNumberFormat="1" applyFont="1" applyBorder="1"/>
    <xf numFmtId="3" fontId="13" fillId="15" borderId="1" xfId="0" applyNumberFormat="1" applyFont="1" applyFill="1" applyBorder="1"/>
    <xf numFmtId="2" fontId="8" fillId="0" borderId="10" xfId="0" applyNumberFormat="1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right" vertical="top" wrapText="1"/>
    </xf>
    <xf numFmtId="3" fontId="13" fillId="0" borderId="87" xfId="0" applyNumberFormat="1" applyFont="1" applyBorder="1"/>
    <xf numFmtId="3" fontId="13" fillId="0" borderId="2" xfId="0" applyNumberFormat="1" applyFont="1" applyBorder="1"/>
    <xf numFmtId="3" fontId="4" fillId="0" borderId="83" xfId="0" applyNumberFormat="1" applyFont="1" applyBorder="1"/>
    <xf numFmtId="0" fontId="13" fillId="0" borderId="59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right"/>
    </xf>
    <xf numFmtId="3" fontId="4" fillId="0" borderId="80" xfId="0" applyNumberFormat="1" applyFont="1" applyBorder="1" applyAlignment="1">
      <alignment horizontal="right"/>
    </xf>
    <xf numFmtId="1" fontId="8" fillId="0" borderId="10" xfId="0" applyNumberFormat="1" applyFont="1" applyBorder="1" applyAlignment="1">
      <alignment horizontal="right" vertical="top" wrapText="1"/>
    </xf>
    <xf numFmtId="0" fontId="13" fillId="0" borderId="81" xfId="0" applyFont="1" applyBorder="1" applyAlignment="1">
      <alignment horizontal="center"/>
    </xf>
    <xf numFmtId="0" fontId="4" fillId="0" borderId="81" xfId="0" applyFont="1" applyBorder="1" applyAlignment="1">
      <alignment horizontal="left"/>
    </xf>
    <xf numFmtId="0" fontId="13" fillId="0" borderId="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left" indent="1"/>
    </xf>
    <xf numFmtId="3" fontId="4" fillId="0" borderId="17" xfId="0" applyNumberFormat="1" applyFont="1" applyBorder="1" applyAlignment="1">
      <alignment horizontal="right"/>
    </xf>
    <xf numFmtId="3" fontId="4" fillId="0" borderId="89" xfId="0" applyNumberFormat="1" applyFont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0" borderId="8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13" fillId="0" borderId="1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3" fillId="0" borderId="34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</cellXfs>
  <cellStyles count="82">
    <cellStyle name="20% - Accent1 2" xfId="23"/>
    <cellStyle name="20% - Accent2 2" xfId="24"/>
    <cellStyle name="20% - Accent3 2" xfId="25"/>
    <cellStyle name="20% - Accent4 2" xfId="26"/>
    <cellStyle name="20% - Accent5 2" xfId="27"/>
    <cellStyle name="20% - Accent6 2" xfId="28"/>
    <cellStyle name="40% - Accent1 2" xfId="29"/>
    <cellStyle name="40% - Accent2 2" xfId="30"/>
    <cellStyle name="40% - Accent3 2" xfId="31"/>
    <cellStyle name="40% - Accent4 2" xfId="32"/>
    <cellStyle name="40% - Accent5 2" xfId="33"/>
    <cellStyle name="40% - Accent6 2" xfId="34"/>
    <cellStyle name="Blinky" xfId="35"/>
    <cellStyle name="Comma" xfId="1" builtinId="3"/>
    <cellStyle name="Comma 2" xfId="3"/>
    <cellStyle name="Comma 2 2" xfId="4"/>
    <cellStyle name="Comma 3" xfId="5"/>
    <cellStyle name="Comma 4" xfId="6"/>
    <cellStyle name="Comma 4 2" xfId="7"/>
    <cellStyle name="Comma0" xfId="36"/>
    <cellStyle name="Currency 2" xfId="8"/>
    <cellStyle name="Currency 2 2" xfId="9"/>
    <cellStyle name="Currency 3" xfId="10"/>
    <cellStyle name="Currency 4" xfId="11"/>
    <cellStyle name="Currency 4 2" xfId="12"/>
    <cellStyle name="Currency0" xfId="37"/>
    <cellStyle name="Date" xfId="38"/>
    <cellStyle name="Fixed" xfId="39"/>
    <cellStyle name="Hyperlink 2" xfId="40"/>
    <cellStyle name="Normal" xfId="0" builtinId="0"/>
    <cellStyle name="Normal 10" xfId="41"/>
    <cellStyle name="Normal 2" xfId="13"/>
    <cellStyle name="Normal 2 2" xfId="21"/>
    <cellStyle name="Normal 2 2 2" xfId="22"/>
    <cellStyle name="Normal 2 3" xfId="42"/>
    <cellStyle name="Normal 3" xfId="2"/>
    <cellStyle name="Normal 3 2" xfId="43"/>
    <cellStyle name="Normal 4" xfId="14"/>
    <cellStyle name="Normal 5" xfId="19"/>
    <cellStyle name="Normal 5 2" xfId="20"/>
    <cellStyle name="Normal 5 2 2" xfId="44"/>
    <cellStyle name="Normal 5 2 3" xfId="45"/>
    <cellStyle name="Normal 5 3" xfId="46"/>
    <cellStyle name="Normal 5 3 2" xfId="47"/>
    <cellStyle name="Normal 5 3 3" xfId="48"/>
    <cellStyle name="Normal 5 4" xfId="49"/>
    <cellStyle name="Normal 5 4 2" xfId="50"/>
    <cellStyle name="Normal 5 4 3" xfId="51"/>
    <cellStyle name="Normal 5 5" xfId="52"/>
    <cellStyle name="Normal 5 5 2" xfId="53"/>
    <cellStyle name="Normal 5 5 3" xfId="54"/>
    <cellStyle name="Normal 5 6" xfId="55"/>
    <cellStyle name="Normal 5 6 2" xfId="56"/>
    <cellStyle name="Normal 5 6 3" xfId="57"/>
    <cellStyle name="Normal 5 7" xfId="58"/>
    <cellStyle name="Normal 5 8" xfId="59"/>
    <cellStyle name="Normal 6" xfId="60"/>
    <cellStyle name="Normal 6 2" xfId="61"/>
    <cellStyle name="Normal 6 2 2" xfId="62"/>
    <cellStyle name="Normal 6 2 3" xfId="63"/>
    <cellStyle name="Normal 6 3" xfId="64"/>
    <cellStyle name="Normal 6 3 2" xfId="65"/>
    <cellStyle name="Normal 6 3 3" xfId="66"/>
    <cellStyle name="Normal 6 4" xfId="67"/>
    <cellStyle name="Normal 6 4 2" xfId="68"/>
    <cellStyle name="Normal 6 4 3" xfId="69"/>
    <cellStyle name="Normal 6 5" xfId="70"/>
    <cellStyle name="Normal 6 5 2" xfId="71"/>
    <cellStyle name="Normal 6 5 3" xfId="72"/>
    <cellStyle name="Normal 6 6" xfId="73"/>
    <cellStyle name="Normal 6 7" xfId="74"/>
    <cellStyle name="Normal 7" xfId="75"/>
    <cellStyle name="Normal 7 2" xfId="76"/>
    <cellStyle name="Normal 7 3" xfId="77"/>
    <cellStyle name="Normal 8" xfId="78"/>
    <cellStyle name="Normal 9" xfId="79"/>
    <cellStyle name="Note 2" xfId="80"/>
    <cellStyle name="Note 2 2" xfId="81"/>
    <cellStyle name="Percent 2" xfId="15"/>
    <cellStyle name="Percent 2 2" xfId="16"/>
    <cellStyle name="Percent 3" xfId="17"/>
    <cellStyle name="Percent 3 2" xfId="1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</xdr:row>
          <xdr:rowOff>171450</xdr:rowOff>
        </xdr:from>
        <xdr:to>
          <xdr:col>12</xdr:col>
          <xdr:colOff>581025</xdr:colOff>
          <xdr:row>30</xdr:row>
          <xdr:rowOff>180975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Execution\FY%202013\Finance%20and%20Accounting%20Dashboard\FY%202013%20Finance%20and%20Accoun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Walker\E%20O%20U%20S%20A\FY%202003\Office%20Budgets\eousa%2003%20budgets%20pl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Formulation\FY%202014\Congressional%20Justification\FINAL%20SUBMISSION_March%2028_13\Final%20FY14%20Grant%20Exhibit_3_28_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Formulation\FY%202015\SPRING%20CALL\Spring%20Call_%20Due%206_7_13\FINAL%20DRAFT%20SUBMISSION%206-7-13\OVW%20Grant%20Exhibits%206_7-amw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Financial Summary"/>
      <sheetName val="TAB 2 and FY-14 Carryover"/>
      <sheetName val="2013 Budget"/>
      <sheetName val="2013 Summary Res and Seq"/>
      <sheetName val="FY 2013 $12M Recission Summary"/>
      <sheetName val="Evaluation Set-Aside"/>
      <sheetName val="Technical Assistance - FY13"/>
      <sheetName val="FY-13 Planned Remaining Proj"/>
      <sheetName val="FY-12 Planned Remain Projects"/>
      <sheetName val="STOP_Formula"/>
      <sheetName val="State DV Coalition"/>
      <sheetName val="State SA Coalition"/>
      <sheetName val="Tribal Coalitions"/>
      <sheetName val="Transitional"/>
      <sheetName val="Tribal Gov't"/>
      <sheetName val="Culturally Specific"/>
      <sheetName val="Arrest"/>
      <sheetName val="Homicide Reduct Init - FY 2013"/>
      <sheetName val="Homicide Reduct Init - FY 2012"/>
      <sheetName val="Rural"/>
      <sheetName val="Consolidated Youth - FY 2013"/>
      <sheetName val="Consolidated Youth - FY 2012"/>
      <sheetName val="Engaging Men"/>
      <sheetName val="Campus"/>
      <sheetName val="LAV"/>
      <sheetName val="Elder"/>
      <sheetName val="Family Law -Supervised Visitat"/>
      <sheetName val="Family Law - Court Improvements"/>
      <sheetName val="Court Improvements"/>
      <sheetName val="Disabilities"/>
      <sheetName val="SASP-FY13 Allocation"/>
      <sheetName val="SASP"/>
      <sheetName val="SASP-Formula-State"/>
      <sheetName val="SASP-Tribal Coalitions"/>
      <sheetName val="SASP-Tribal Gov't"/>
      <sheetName val="SASP-State Coalitions"/>
      <sheetName val="SASP-CLSSP"/>
      <sheetName val="SA Clearing House (Indian Women"/>
      <sheetName val="Indian Women"/>
      <sheetName val="Nat'l Resource Center"/>
      <sheetName val="Tribal Registry"/>
      <sheetName val="OVW Latest Active Awards"/>
      <sheetName val="Recoveries"/>
      <sheetName val="Latest Recovery Report"/>
      <sheetName val="M_A"/>
      <sheetName val="M_A E&amp;A Costs"/>
      <sheetName val="M_A CORS Pivot"/>
      <sheetName val="M_A CORS"/>
      <sheetName val="SOC Titles"/>
      <sheetName val="Commitment Report"/>
      <sheetName val="Obligation Report"/>
      <sheetName val="Deobligation Report"/>
      <sheetName val="Deob_Reob"/>
      <sheetName val="Unobligated-Dasboard"/>
      <sheetName val="Unobligated - SF 133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 Allow"/>
      <sheetName val="Obligation"/>
      <sheetName val="SourceData"/>
      <sheetName val="CaseMgmt"/>
      <sheetName val="CM Prgm"/>
      <sheetName val="DataAnalysis"/>
      <sheetName val="Director"/>
      <sheetName val="Operations"/>
      <sheetName val="EEO"/>
      <sheetName val="EAP"/>
      <sheetName val="EARS"/>
      <sheetName val="FMS"/>
      <sheetName val="FMS Program"/>
      <sheetName val="FMSS Prgm"/>
      <sheetName val="FOIA"/>
      <sheetName val="LECC"/>
      <sheetName val="Gen Counsel"/>
      <sheetName val="Lgl Prgms"/>
      <sheetName val="CIO"/>
      <sheetName val="OAS"/>
      <sheetName val="OAS Prgm"/>
      <sheetName val="Persnl"/>
      <sheetName val="RMP"/>
      <sheetName val="Security"/>
      <sheetName val="Security Prgm"/>
      <sheetName val="TTD Prgm"/>
      <sheetName val="TTD"/>
      <sheetName val="EOUSA Summary"/>
      <sheetName val="Status of Fu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Summ of Req."/>
      <sheetName val="B. Summ of Req. by DU"/>
      <sheetName val="C. Program Changes by DU"/>
      <sheetName val="C. Program Changes by DU (2)"/>
      <sheetName val="D. Strategic Goals &amp; Objectives"/>
      <sheetName val="E. ATB Justification"/>
      <sheetName val="F. 2012 Crosswalk"/>
      <sheetName val="G. 2013 Crosswalk"/>
      <sheetName val="G. 2013 Crosswalk (2)"/>
      <sheetName val="H. Reimbursable Resources"/>
      <sheetName val="I. Permanent Positions"/>
      <sheetName val="J. Financial Analysis"/>
      <sheetName val="J. Financial Analysis (2)"/>
      <sheetName val="K. Summary by Grade"/>
      <sheetName val="L. Summary by OC"/>
      <sheetName val="Sheet1"/>
    </sheetNames>
    <sheetDataSet>
      <sheetData sheetId="0">
        <row r="2">
          <cell r="A2" t="str">
            <v>Office on Violence Against Women</v>
          </cell>
          <cell r="B2">
            <v>0</v>
          </cell>
          <cell r="C2">
            <v>0</v>
          </cell>
          <cell r="D2">
            <v>0</v>
          </cell>
        </row>
        <row r="3">
          <cell r="A3" t="str">
            <v>Grant Programs</v>
          </cell>
          <cell r="B3">
            <v>0</v>
          </cell>
          <cell r="C3">
            <v>0</v>
          </cell>
          <cell r="D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A) Org Chart (2)"/>
      <sheetName val="A. Organization Chart"/>
      <sheetName val="B. Summ of Req."/>
      <sheetName val="B. Summ of Req. by DU "/>
      <sheetName val="C. Program Changes by DU ( 2)"/>
      <sheetName val="D. Strategic Goals &amp; Objectives"/>
      <sheetName val="I. Permanent Positions"/>
      <sheetName val="J. Financial Analysis (2)"/>
      <sheetName val="L. Summary by OC (2)"/>
      <sheetName val="Sheet1"/>
    </sheetNames>
    <sheetDataSet>
      <sheetData sheetId="0"/>
      <sheetData sheetId="1"/>
      <sheetData sheetId="2">
        <row r="2">
          <cell r="A2" t="str">
            <v>Office on Violence Against Women</v>
          </cell>
        </row>
        <row r="3">
          <cell r="A3" t="str">
            <v>Grant Programs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Q31" sqref="Q31"/>
    </sheetView>
  </sheetViews>
  <sheetFormatPr defaultRowHeight="15" x14ac:dyDescent="0.25"/>
  <sheetData>
    <row r="1" spans="1:1" ht="18.75" x14ac:dyDescent="0.3">
      <c r="A1" s="217" t="s">
        <v>221</v>
      </c>
    </row>
  </sheetData>
  <pageMargins left="0.7" right="0.7" top="0.75" bottom="0.75" header="0.3" footer="0.3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7" shapeId="10243" r:id="rId4">
          <objectPr defaultSize="0" autoPict="0" r:id="rId5">
            <anchor moveWithCells="1">
              <from>
                <xdr:col>0</xdr:col>
                <xdr:colOff>228600</xdr:colOff>
                <xdr:row>3</xdr:row>
                <xdr:rowOff>171450</xdr:rowOff>
              </from>
              <to>
                <xdr:col>12</xdr:col>
                <xdr:colOff>581025</xdr:colOff>
                <xdr:row>30</xdr:row>
                <xdr:rowOff>180975</xdr:rowOff>
              </to>
            </anchor>
          </objectPr>
        </oleObject>
      </mc:Choice>
      <mc:Fallback>
        <oleObject progId="AcroExch.Document.7" shapeId="102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7" zoomScaleNormal="100" zoomScaleSheetLayoutView="70" workbookViewId="0">
      <selection activeCell="F58" sqref="F58"/>
    </sheetView>
  </sheetViews>
  <sheetFormatPr defaultRowHeight="14.25" x14ac:dyDescent="0.2"/>
  <cols>
    <col min="1" max="1" width="113.5703125" style="100" customWidth="1"/>
    <col min="2" max="3" width="14.5703125" style="101" customWidth="1"/>
    <col min="4" max="4" width="14.5703125" style="102" customWidth="1"/>
    <col min="5" max="5" width="11.5703125" style="4" bestFit="1" customWidth="1"/>
    <col min="6" max="6" width="4.85546875" style="100" customWidth="1"/>
    <col min="7" max="16384" width="9.140625" style="100"/>
  </cols>
  <sheetData>
    <row r="1" spans="1:7" ht="18" x14ac:dyDescent="0.25">
      <c r="A1" s="250" t="s">
        <v>0</v>
      </c>
      <c r="B1" s="250"/>
      <c r="C1" s="250"/>
      <c r="D1" s="250"/>
      <c r="E1" s="4" t="s">
        <v>14</v>
      </c>
    </row>
    <row r="2" spans="1:7" ht="15" x14ac:dyDescent="0.2">
      <c r="A2" s="251" t="s">
        <v>152</v>
      </c>
      <c r="B2" s="251"/>
      <c r="C2" s="251"/>
      <c r="D2" s="251"/>
      <c r="E2" s="4" t="s">
        <v>14</v>
      </c>
    </row>
    <row r="3" spans="1:7" x14ac:dyDescent="0.2">
      <c r="A3" s="252" t="s">
        <v>153</v>
      </c>
      <c r="B3" s="252"/>
      <c r="C3" s="252"/>
      <c r="D3" s="252"/>
      <c r="E3" s="4" t="s">
        <v>14</v>
      </c>
    </row>
    <row r="4" spans="1:7" x14ac:dyDescent="0.2">
      <c r="A4" s="253" t="s">
        <v>1</v>
      </c>
      <c r="B4" s="253"/>
      <c r="C4" s="253"/>
      <c r="D4" s="253"/>
      <c r="E4" s="4" t="s">
        <v>14</v>
      </c>
    </row>
    <row r="5" spans="1:7" ht="15" thickBot="1" x14ac:dyDescent="0.25">
      <c r="E5" s="4" t="s">
        <v>14</v>
      </c>
    </row>
    <row r="6" spans="1:7" ht="15" x14ac:dyDescent="0.25">
      <c r="B6" s="254" t="s">
        <v>140</v>
      </c>
      <c r="C6" s="255"/>
      <c r="D6" s="256"/>
      <c r="E6" s="4" t="s">
        <v>14</v>
      </c>
    </row>
    <row r="7" spans="1:7" ht="15.75" thickBot="1" x14ac:dyDescent="0.25">
      <c r="B7" s="1" t="s">
        <v>2</v>
      </c>
      <c r="C7" s="2" t="s">
        <v>117</v>
      </c>
      <c r="D7" s="3" t="s">
        <v>3</v>
      </c>
      <c r="E7" s="4" t="s">
        <v>14</v>
      </c>
    </row>
    <row r="8" spans="1:7" ht="15" x14ac:dyDescent="0.25">
      <c r="A8" s="223" t="s">
        <v>232</v>
      </c>
      <c r="B8" s="54">
        <v>0</v>
      </c>
      <c r="C8" s="55">
        <v>0</v>
      </c>
      <c r="D8" s="56">
        <v>416500</v>
      </c>
      <c r="E8" s="4" t="s">
        <v>14</v>
      </c>
    </row>
    <row r="9" spans="1:7" ht="15" x14ac:dyDescent="0.25">
      <c r="A9" s="219" t="s">
        <v>223</v>
      </c>
      <c r="B9" s="58" t="s">
        <v>224</v>
      </c>
      <c r="C9" s="59"/>
      <c r="D9" s="121">
        <f>-7818-817</f>
        <v>-8635</v>
      </c>
      <c r="E9" s="4" t="s">
        <v>14</v>
      </c>
      <c r="G9" s="218"/>
    </row>
    <row r="10" spans="1:7" ht="15" x14ac:dyDescent="0.25">
      <c r="A10" s="219" t="s">
        <v>225</v>
      </c>
      <c r="B10" s="58"/>
      <c r="C10" s="59"/>
      <c r="D10" s="121">
        <v>-20001</v>
      </c>
      <c r="E10" s="4" t="s">
        <v>14</v>
      </c>
      <c r="G10" s="218"/>
    </row>
    <row r="11" spans="1:7" ht="15" x14ac:dyDescent="0.25">
      <c r="A11" s="103" t="s">
        <v>226</v>
      </c>
      <c r="B11" s="230"/>
      <c r="C11" s="231"/>
      <c r="D11" s="232">
        <v>-12000</v>
      </c>
      <c r="E11" s="4" t="s">
        <v>14</v>
      </c>
      <c r="G11" s="218"/>
    </row>
    <row r="12" spans="1:7" ht="15" x14ac:dyDescent="0.25">
      <c r="A12" s="53" t="s">
        <v>227</v>
      </c>
      <c r="B12" s="58">
        <f>SUM(B8:B11)</f>
        <v>0</v>
      </c>
      <c r="C12" s="59">
        <f>SUM(C8:C11)</f>
        <v>0</v>
      </c>
      <c r="D12" s="60">
        <f>SUM(D8:D11)</f>
        <v>375864</v>
      </c>
      <c r="E12" s="4" t="s">
        <v>14</v>
      </c>
    </row>
    <row r="13" spans="1:7" ht="15" x14ac:dyDescent="0.25">
      <c r="A13" s="53"/>
      <c r="B13" s="69"/>
      <c r="C13" s="70"/>
      <c r="D13" s="71"/>
      <c r="E13" s="4" t="s">
        <v>14</v>
      </c>
    </row>
    <row r="14" spans="1:7" ht="15" hidden="1" x14ac:dyDescent="0.25">
      <c r="A14" s="42"/>
      <c r="B14" s="69"/>
      <c r="C14" s="70"/>
      <c r="D14" s="207"/>
      <c r="E14" s="4" t="s">
        <v>14</v>
      </c>
    </row>
    <row r="15" spans="1:7" ht="15" hidden="1" x14ac:dyDescent="0.25">
      <c r="A15" s="103"/>
      <c r="B15" s="97"/>
      <c r="C15" s="98"/>
      <c r="D15" s="105"/>
      <c r="E15" s="4" t="s">
        <v>14</v>
      </c>
    </row>
    <row r="16" spans="1:7" ht="15" hidden="1" x14ac:dyDescent="0.25">
      <c r="A16" s="103"/>
      <c r="B16" s="97"/>
      <c r="C16" s="98"/>
      <c r="D16" s="105"/>
      <c r="E16" s="4" t="s">
        <v>14</v>
      </c>
    </row>
    <row r="17" spans="1:7" ht="15" x14ac:dyDescent="0.25">
      <c r="A17" s="244"/>
      <c r="B17" s="43"/>
      <c r="C17" s="44"/>
      <c r="D17" s="51"/>
      <c r="E17" s="4" t="s">
        <v>14</v>
      </c>
    </row>
    <row r="18" spans="1:7" ht="15" x14ac:dyDescent="0.25">
      <c r="A18" s="42" t="s">
        <v>206</v>
      </c>
      <c r="B18" s="69">
        <f>SUM(B15:B17)</f>
        <v>0</v>
      </c>
      <c r="C18" s="70">
        <f>SUM(C15:C17)</f>
        <v>0</v>
      </c>
      <c r="D18" s="71">
        <v>417000</v>
      </c>
      <c r="E18" s="4" t="s">
        <v>14</v>
      </c>
    </row>
    <row r="19" spans="1:7" ht="15" x14ac:dyDescent="0.25">
      <c r="A19" s="103" t="s">
        <v>228</v>
      </c>
      <c r="B19" s="97">
        <v>0</v>
      </c>
      <c r="C19" s="98">
        <v>0</v>
      </c>
      <c r="D19" s="105">
        <v>-12200</v>
      </c>
      <c r="E19" s="4" t="s">
        <v>14</v>
      </c>
      <c r="G19" s="218"/>
    </row>
    <row r="20" spans="1:7" ht="15" x14ac:dyDescent="0.25">
      <c r="A20" s="45" t="s">
        <v>229</v>
      </c>
      <c r="B20" s="221">
        <f>SUM(B18:B19)+B16</f>
        <v>0</v>
      </c>
      <c r="C20" s="85">
        <f>SUM(C18:C19)+C16</f>
        <v>0</v>
      </c>
      <c r="D20" s="222">
        <f>SUM(D18:D19)+D16</f>
        <v>404800</v>
      </c>
      <c r="E20" s="4" t="s">
        <v>14</v>
      </c>
      <c r="G20" s="220"/>
    </row>
    <row r="21" spans="1:7" ht="15" x14ac:dyDescent="0.25">
      <c r="A21" s="42"/>
      <c r="B21" s="69"/>
      <c r="C21" s="70"/>
      <c r="D21" s="71"/>
      <c r="E21" s="4" t="s">
        <v>14</v>
      </c>
    </row>
    <row r="22" spans="1:7" ht="15" x14ac:dyDescent="0.25">
      <c r="A22" s="47" t="s">
        <v>230</v>
      </c>
      <c r="B22" s="69"/>
      <c r="C22" s="70"/>
      <c r="D22" s="71"/>
      <c r="E22" s="4" t="s">
        <v>14</v>
      </c>
    </row>
    <row r="23" spans="1:7" x14ac:dyDescent="0.2">
      <c r="A23" s="219" t="s">
        <v>233</v>
      </c>
      <c r="B23" s="224">
        <v>0</v>
      </c>
      <c r="C23" s="141">
        <v>0</v>
      </c>
      <c r="D23" s="225">
        <v>12200</v>
      </c>
      <c r="E23" s="4" t="s">
        <v>14</v>
      </c>
    </row>
    <row r="24" spans="1:7" ht="15" x14ac:dyDescent="0.25">
      <c r="A24" s="48" t="s">
        <v>207</v>
      </c>
      <c r="B24" s="69"/>
      <c r="C24" s="70"/>
      <c r="D24" s="71">
        <v>12200</v>
      </c>
      <c r="E24" s="4" t="s">
        <v>14</v>
      </c>
    </row>
    <row r="25" spans="1:7" ht="15" x14ac:dyDescent="0.25">
      <c r="A25" s="42"/>
      <c r="B25" s="69"/>
      <c r="C25" s="70"/>
      <c r="D25" s="71"/>
      <c r="E25" s="4" t="s">
        <v>14</v>
      </c>
    </row>
    <row r="26" spans="1:7" ht="15" hidden="1" x14ac:dyDescent="0.25">
      <c r="A26" s="47" t="s">
        <v>204</v>
      </c>
      <c r="B26" s="43"/>
      <c r="C26" s="44"/>
      <c r="D26" s="46"/>
      <c r="E26" s="4" t="s">
        <v>14</v>
      </c>
    </row>
    <row r="27" spans="1:7" hidden="1" x14ac:dyDescent="0.2">
      <c r="A27" s="106"/>
      <c r="B27" s="201"/>
      <c r="C27" s="107"/>
      <c r="D27" s="128"/>
      <c r="E27" s="4" t="s">
        <v>14</v>
      </c>
    </row>
    <row r="28" spans="1:7" hidden="1" x14ac:dyDescent="0.2">
      <c r="B28" s="77"/>
      <c r="C28" s="78"/>
      <c r="D28" s="79"/>
      <c r="E28" s="4" t="s">
        <v>14</v>
      </c>
    </row>
    <row r="29" spans="1:7" hidden="1" x14ac:dyDescent="0.2">
      <c r="A29" s="106"/>
      <c r="B29" s="77"/>
      <c r="C29" s="78"/>
      <c r="D29" s="79"/>
      <c r="E29" s="4" t="s">
        <v>14</v>
      </c>
    </row>
    <row r="30" spans="1:7" hidden="1" x14ac:dyDescent="0.2">
      <c r="A30" s="106"/>
      <c r="B30" s="77"/>
      <c r="C30" s="78"/>
      <c r="D30" s="79"/>
      <c r="E30" s="4" t="s">
        <v>14</v>
      </c>
    </row>
    <row r="31" spans="1:7" hidden="1" x14ac:dyDescent="0.2">
      <c r="A31" s="106"/>
      <c r="B31" s="77"/>
      <c r="C31" s="78"/>
      <c r="D31" s="79"/>
      <c r="E31" s="4" t="s">
        <v>14</v>
      </c>
    </row>
    <row r="32" spans="1:7" hidden="1" x14ac:dyDescent="0.2">
      <c r="A32" s="106"/>
      <c r="B32" s="77"/>
      <c r="C32" s="78"/>
      <c r="D32" s="79"/>
      <c r="E32" s="4" t="s">
        <v>14</v>
      </c>
    </row>
    <row r="33" spans="1:5" hidden="1" x14ac:dyDescent="0.2">
      <c r="A33" s="106"/>
      <c r="B33" s="77"/>
      <c r="C33" s="78"/>
      <c r="D33" s="79"/>
      <c r="E33" s="4" t="s">
        <v>14</v>
      </c>
    </row>
    <row r="34" spans="1:5" hidden="1" x14ac:dyDescent="0.2">
      <c r="A34" s="106"/>
      <c r="B34" s="77"/>
      <c r="C34" s="78"/>
      <c r="D34" s="79"/>
      <c r="E34" s="4" t="s">
        <v>14</v>
      </c>
    </row>
    <row r="35" spans="1:5" hidden="1" x14ac:dyDescent="0.2">
      <c r="A35" s="106"/>
      <c r="B35" s="77"/>
      <c r="C35" s="78"/>
      <c r="D35" s="79"/>
      <c r="E35" s="4" t="s">
        <v>14</v>
      </c>
    </row>
    <row r="36" spans="1:5" hidden="1" x14ac:dyDescent="0.2">
      <c r="A36" s="106"/>
      <c r="B36" s="77"/>
      <c r="C36" s="78"/>
      <c r="D36" s="79"/>
      <c r="E36" s="4" t="s">
        <v>14</v>
      </c>
    </row>
    <row r="37" spans="1:5" ht="15" hidden="1" x14ac:dyDescent="0.25">
      <c r="A37" s="48"/>
      <c r="B37" s="43"/>
      <c r="C37" s="44"/>
      <c r="D37" s="46"/>
      <c r="E37" s="4" t="s">
        <v>14</v>
      </c>
    </row>
    <row r="38" spans="1:5" ht="15" hidden="1" x14ac:dyDescent="0.25">
      <c r="A38" s="48"/>
      <c r="B38" s="43"/>
      <c r="C38" s="44"/>
      <c r="D38" s="46"/>
      <c r="E38" s="4" t="s">
        <v>14</v>
      </c>
    </row>
    <row r="39" spans="1:5" ht="15" hidden="1" x14ac:dyDescent="0.25">
      <c r="B39" s="43"/>
      <c r="C39" s="44"/>
      <c r="D39" s="46"/>
      <c r="E39" s="4" t="s">
        <v>14</v>
      </c>
    </row>
    <row r="40" spans="1:5" hidden="1" x14ac:dyDescent="0.2">
      <c r="A40" s="106"/>
      <c r="B40" s="77"/>
      <c r="C40" s="78"/>
      <c r="D40" s="79"/>
      <c r="E40" s="4" t="s">
        <v>14</v>
      </c>
    </row>
    <row r="41" spans="1:5" ht="15" hidden="1" x14ac:dyDescent="0.25">
      <c r="B41" s="43">
        <f>SUM(B40:B40)</f>
        <v>0</v>
      </c>
      <c r="C41" s="44">
        <f>SUM(C40:C40)</f>
        <v>0</v>
      </c>
      <c r="D41" s="46">
        <f>SUM(D40:D40)</f>
        <v>0</v>
      </c>
    </row>
    <row r="42" spans="1:5" ht="15" x14ac:dyDescent="0.25">
      <c r="A42" s="45" t="s">
        <v>116</v>
      </c>
      <c r="B42" s="75">
        <f>B41+B37</f>
        <v>0</v>
      </c>
      <c r="C42" s="24">
        <f>C41+C37</f>
        <v>0</v>
      </c>
      <c r="D42" s="25">
        <f>D24</f>
        <v>12200</v>
      </c>
    </row>
    <row r="43" spans="1:5" ht="15" x14ac:dyDescent="0.25">
      <c r="A43" s="49" t="s">
        <v>141</v>
      </c>
      <c r="B43" s="73">
        <f>B17+B42</f>
        <v>0</v>
      </c>
      <c r="C43" s="70">
        <f>C17+C42</f>
        <v>0</v>
      </c>
      <c r="D43" s="74">
        <f>D20+D42</f>
        <v>417000</v>
      </c>
      <c r="E43" s="4" t="s">
        <v>14</v>
      </c>
    </row>
    <row r="44" spans="1:5" ht="15" x14ac:dyDescent="0.25">
      <c r="A44" s="49" t="s">
        <v>4</v>
      </c>
      <c r="B44" s="73"/>
      <c r="C44" s="70"/>
      <c r="D44" s="74"/>
      <c r="E44" s="4" t="s">
        <v>14</v>
      </c>
    </row>
    <row r="45" spans="1:5" ht="15" x14ac:dyDescent="0.25">
      <c r="A45" s="210" t="s">
        <v>192</v>
      </c>
      <c r="B45" s="69"/>
      <c r="C45" s="70"/>
      <c r="D45" s="71"/>
      <c r="E45" s="4" t="s">
        <v>14</v>
      </c>
    </row>
    <row r="46" spans="1:5" ht="15" x14ac:dyDescent="0.25">
      <c r="A46" s="108" t="s">
        <v>186</v>
      </c>
      <c r="B46" s="50"/>
      <c r="C46" s="44"/>
      <c r="D46" s="111">
        <v>250</v>
      </c>
      <c r="E46" s="4" t="s">
        <v>14</v>
      </c>
    </row>
    <row r="47" spans="1:5" x14ac:dyDescent="0.2">
      <c r="A47" s="108" t="s">
        <v>189</v>
      </c>
      <c r="B47" s="110"/>
      <c r="C47" s="107"/>
      <c r="D47" s="111">
        <v>5500</v>
      </c>
      <c r="E47" s="4" t="s">
        <v>14</v>
      </c>
    </row>
    <row r="48" spans="1:5" x14ac:dyDescent="0.2">
      <c r="A48" s="130" t="s">
        <v>190</v>
      </c>
      <c r="B48" s="110"/>
      <c r="C48" s="107"/>
      <c r="D48" s="111">
        <v>1000</v>
      </c>
    </row>
    <row r="49" spans="1:5" x14ac:dyDescent="0.2">
      <c r="A49" s="108" t="s">
        <v>191</v>
      </c>
      <c r="B49" s="110"/>
      <c r="C49" s="107"/>
      <c r="D49" s="111">
        <v>2000</v>
      </c>
      <c r="E49" s="4" t="s">
        <v>14</v>
      </c>
    </row>
    <row r="50" spans="1:5" ht="15" x14ac:dyDescent="0.25">
      <c r="A50" s="109" t="s">
        <v>8</v>
      </c>
      <c r="B50" s="50">
        <f>SUM(B47:B49)</f>
        <v>0</v>
      </c>
      <c r="C50" s="44">
        <f>SUM(C47:C49)</f>
        <v>0</v>
      </c>
      <c r="D50" s="51">
        <f>SUM(D46:D49)</f>
        <v>8750</v>
      </c>
      <c r="E50" s="4" t="s">
        <v>14</v>
      </c>
    </row>
    <row r="51" spans="1:5" ht="15" x14ac:dyDescent="0.25">
      <c r="A51" s="108" t="s">
        <v>193</v>
      </c>
      <c r="B51" s="50"/>
      <c r="C51" s="44"/>
      <c r="D51" s="51"/>
      <c r="E51" s="4" t="s">
        <v>14</v>
      </c>
    </row>
    <row r="52" spans="1:5" x14ac:dyDescent="0.2">
      <c r="A52" s="108" t="s">
        <v>187</v>
      </c>
      <c r="B52" s="110"/>
      <c r="C52" s="107"/>
      <c r="D52" s="111">
        <v>-250</v>
      </c>
      <c r="E52" s="4" t="s">
        <v>14</v>
      </c>
    </row>
    <row r="53" spans="1:5" x14ac:dyDescent="0.2">
      <c r="A53" s="108" t="s">
        <v>188</v>
      </c>
      <c r="B53" s="110"/>
      <c r="C53" s="107"/>
      <c r="D53" s="146">
        <v>-3000</v>
      </c>
      <c r="E53" s="4" t="s">
        <v>14</v>
      </c>
    </row>
    <row r="54" spans="1:5" ht="15" x14ac:dyDescent="0.25">
      <c r="A54" s="109" t="s">
        <v>12</v>
      </c>
      <c r="B54" s="110">
        <f>SUM(B52:B53)</f>
        <v>0</v>
      </c>
      <c r="C54" s="107">
        <f>SUM(C52:C53)</f>
        <v>0</v>
      </c>
      <c r="D54" s="71">
        <f>SUM(D52:D53)</f>
        <v>-3250</v>
      </c>
      <c r="E54" s="4" t="s">
        <v>14</v>
      </c>
    </row>
    <row r="55" spans="1:5" ht="15" x14ac:dyDescent="0.25">
      <c r="A55" s="45" t="s">
        <v>13</v>
      </c>
      <c r="B55" s="72">
        <f>B50+B54</f>
        <v>0</v>
      </c>
      <c r="C55" s="24">
        <f>C50+C54</f>
        <v>0</v>
      </c>
      <c r="D55" s="76">
        <f>D50+D54</f>
        <v>5500</v>
      </c>
      <c r="E55" s="4" t="s">
        <v>14</v>
      </c>
    </row>
    <row r="56" spans="1:5" ht="15" x14ac:dyDescent="0.25">
      <c r="A56" s="52" t="s">
        <v>142</v>
      </c>
      <c r="B56" s="69">
        <f>B43+B55</f>
        <v>0</v>
      </c>
      <c r="C56" s="70">
        <f>C43+C55</f>
        <v>0</v>
      </c>
      <c r="D56" s="71">
        <f>D43+D55</f>
        <v>422500</v>
      </c>
      <c r="E56" s="4" t="s">
        <v>14</v>
      </c>
    </row>
    <row r="57" spans="1:5" ht="15" x14ac:dyDescent="0.25">
      <c r="A57" s="103" t="s">
        <v>143</v>
      </c>
      <c r="B57" s="72"/>
      <c r="C57" s="24"/>
      <c r="D57" s="104">
        <v>-12200</v>
      </c>
      <c r="E57" s="4" t="s">
        <v>14</v>
      </c>
    </row>
    <row r="58" spans="1:5" ht="15" x14ac:dyDescent="0.25">
      <c r="A58" s="61" t="s">
        <v>231</v>
      </c>
      <c r="B58" s="58">
        <f t="shared" ref="B58:C58" si="0">SUM(B56:B57)</f>
        <v>0</v>
      </c>
      <c r="C58" s="59">
        <f t="shared" si="0"/>
        <v>0</v>
      </c>
      <c r="D58" s="60">
        <f>SUM(D56:D57)</f>
        <v>410300</v>
      </c>
      <c r="E58" s="4" t="s">
        <v>14</v>
      </c>
    </row>
    <row r="59" spans="1:5" ht="15" thickBot="1" x14ac:dyDescent="0.25">
      <c r="A59" s="112" t="s">
        <v>144</v>
      </c>
      <c r="B59" s="113">
        <f>B58-B17</f>
        <v>0</v>
      </c>
      <c r="C59" s="114">
        <f>C56-C17</f>
        <v>0</v>
      </c>
      <c r="D59" s="115">
        <f>D56-D43</f>
        <v>5500</v>
      </c>
      <c r="E59" s="4" t="s">
        <v>14</v>
      </c>
    </row>
    <row r="60" spans="1:5" s="5" customFormat="1" ht="15" x14ac:dyDescent="0.25">
      <c r="A60" s="4"/>
      <c r="B60" s="101"/>
      <c r="C60" s="101"/>
      <c r="D60" s="102"/>
      <c r="E60" s="4" t="s">
        <v>14</v>
      </c>
    </row>
    <row r="61" spans="1:5" ht="17.25" x14ac:dyDescent="0.2">
      <c r="A61" s="248" t="s">
        <v>208</v>
      </c>
      <c r="B61" s="249"/>
      <c r="C61" s="249"/>
      <c r="D61" s="249"/>
      <c r="E61" s="4" t="s">
        <v>14</v>
      </c>
    </row>
    <row r="62" spans="1:5" x14ac:dyDescent="0.2">
      <c r="E62" s="4" t="s">
        <v>14</v>
      </c>
    </row>
    <row r="63" spans="1:5" x14ac:dyDescent="0.2">
      <c r="E63" s="4" t="s">
        <v>14</v>
      </c>
    </row>
    <row r="64" spans="1:5" x14ac:dyDescent="0.2">
      <c r="E64" s="4" t="s">
        <v>15</v>
      </c>
    </row>
  </sheetData>
  <mergeCells count="6">
    <mergeCell ref="A61:D61"/>
    <mergeCell ref="A1:D1"/>
    <mergeCell ref="A2:D2"/>
    <mergeCell ref="A3:D3"/>
    <mergeCell ref="A4:D4"/>
    <mergeCell ref="B6:D6"/>
  </mergeCells>
  <printOptions horizontalCentered="1"/>
  <pageMargins left="0.7" right="0.7" top="0.63" bottom="0.63" header="0.3" footer="0.3"/>
  <pageSetup scale="75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view="pageBreakPreview" topLeftCell="A43" zoomScale="80" zoomScaleNormal="100" zoomScaleSheetLayoutView="80" workbookViewId="0">
      <selection activeCell="L68" sqref="L68"/>
    </sheetView>
  </sheetViews>
  <sheetFormatPr defaultRowHeight="14.25" x14ac:dyDescent="0.2"/>
  <cols>
    <col min="1" max="1" width="38.28515625" style="100" customWidth="1"/>
    <col min="2" max="3" width="8.28515625" style="100" customWidth="1"/>
    <col min="4" max="4" width="12.7109375" style="100" customWidth="1"/>
    <col min="5" max="6" width="8.28515625" style="100" customWidth="1"/>
    <col min="7" max="7" width="12.7109375" style="100" customWidth="1"/>
    <col min="8" max="9" width="8.28515625" style="100" customWidth="1"/>
    <col min="10" max="10" width="12.7109375" style="100" customWidth="1"/>
    <col min="11" max="12" width="8.28515625" style="100" customWidth="1"/>
    <col min="13" max="13" width="12.7109375" style="100" customWidth="1"/>
    <col min="14" max="14" width="14" style="4" bestFit="1" customWidth="1"/>
    <col min="15" max="15" width="4.5703125" style="100" customWidth="1"/>
    <col min="16" max="17" width="8.28515625" style="100" customWidth="1"/>
    <col min="18" max="18" width="12.7109375" style="100" customWidth="1"/>
    <col min="19" max="20" width="8.28515625" style="100" customWidth="1"/>
    <col min="21" max="21" width="12.7109375" style="100" customWidth="1"/>
    <col min="22" max="16384" width="9.140625" style="100"/>
  </cols>
  <sheetData>
    <row r="1" spans="1:21" ht="18" x14ac:dyDescent="0.2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33" t="s">
        <v>14</v>
      </c>
      <c r="O1" s="6"/>
      <c r="P1" s="6"/>
      <c r="Q1" s="6"/>
      <c r="R1" s="6"/>
      <c r="S1" s="6"/>
      <c r="T1" s="6"/>
      <c r="U1" s="6"/>
    </row>
    <row r="2" spans="1:21" ht="15" x14ac:dyDescent="0.2">
      <c r="A2" s="251" t="str">
        <f>'[3]B. Summ of Req.'!A2:D2</f>
        <v>Office on Violence Against Women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33" t="s">
        <v>14</v>
      </c>
      <c r="O2" s="7"/>
      <c r="P2" s="7"/>
      <c r="Q2" s="7"/>
      <c r="R2" s="7"/>
      <c r="S2" s="7"/>
      <c r="T2" s="7"/>
      <c r="U2" s="7"/>
    </row>
    <row r="3" spans="1:21" x14ac:dyDescent="0.2">
      <c r="A3" s="252" t="str">
        <f>'[3]B. Summ of Req.'!A3:D3</f>
        <v>Grant Programs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33" t="s">
        <v>14</v>
      </c>
      <c r="O3" s="119"/>
      <c r="P3" s="119"/>
      <c r="Q3" s="119"/>
      <c r="R3" s="119"/>
      <c r="S3" s="119"/>
      <c r="T3" s="119"/>
      <c r="U3" s="119"/>
    </row>
    <row r="4" spans="1:21" x14ac:dyDescent="0.2">
      <c r="A4" s="261" t="s">
        <v>1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33" t="s">
        <v>14</v>
      </c>
      <c r="O4" s="118"/>
      <c r="P4" s="118"/>
      <c r="Q4" s="118"/>
      <c r="R4" s="118"/>
      <c r="S4" s="118"/>
      <c r="T4" s="118"/>
      <c r="U4" s="118"/>
    </row>
    <row r="5" spans="1:21" x14ac:dyDescent="0.2">
      <c r="A5" s="261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33" t="s">
        <v>14</v>
      </c>
      <c r="O5" s="118"/>
      <c r="P5" s="118"/>
      <c r="Q5" s="118"/>
      <c r="R5" s="118"/>
      <c r="S5" s="118"/>
      <c r="T5" s="118"/>
      <c r="U5" s="118"/>
    </row>
    <row r="6" spans="1:21" ht="15" thickBot="1" x14ac:dyDescent="0.25">
      <c r="A6" s="261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33" t="s">
        <v>14</v>
      </c>
      <c r="O6" s="118"/>
      <c r="P6" s="118"/>
      <c r="Q6" s="118"/>
      <c r="R6" s="118"/>
      <c r="S6" s="118"/>
      <c r="T6" s="118"/>
      <c r="U6" s="118"/>
    </row>
    <row r="7" spans="1:21" ht="45.75" customHeight="1" x14ac:dyDescent="0.2">
      <c r="A7" s="257" t="s">
        <v>123</v>
      </c>
      <c r="B7" s="259" t="s">
        <v>185</v>
      </c>
      <c r="C7" s="259"/>
      <c r="D7" s="259"/>
      <c r="E7" s="259" t="s">
        <v>209</v>
      </c>
      <c r="F7" s="259"/>
      <c r="G7" s="259"/>
      <c r="H7" s="259" t="s">
        <v>145</v>
      </c>
      <c r="I7" s="259"/>
      <c r="J7" s="259"/>
      <c r="K7" s="259" t="s">
        <v>141</v>
      </c>
      <c r="L7" s="259"/>
      <c r="M7" s="260"/>
      <c r="N7" s="33" t="s">
        <v>14</v>
      </c>
    </row>
    <row r="8" spans="1:21" ht="28.5" x14ac:dyDescent="0.2">
      <c r="A8" s="258"/>
      <c r="B8" s="122" t="s">
        <v>2</v>
      </c>
      <c r="C8" s="122" t="s">
        <v>154</v>
      </c>
      <c r="D8" s="122" t="s">
        <v>3</v>
      </c>
      <c r="E8" s="122" t="s">
        <v>2</v>
      </c>
      <c r="F8" s="122" t="s">
        <v>134</v>
      </c>
      <c r="G8" s="122" t="s">
        <v>3</v>
      </c>
      <c r="H8" s="122" t="s">
        <v>2</v>
      </c>
      <c r="I8" s="122" t="s">
        <v>134</v>
      </c>
      <c r="J8" s="122" t="s">
        <v>3</v>
      </c>
      <c r="K8" s="122" t="s">
        <v>2</v>
      </c>
      <c r="L8" s="122" t="s">
        <v>134</v>
      </c>
      <c r="M8" s="123" t="s">
        <v>3</v>
      </c>
      <c r="N8" s="33" t="s">
        <v>14</v>
      </c>
    </row>
    <row r="9" spans="1:21" ht="30" x14ac:dyDescent="0.2">
      <c r="A9" s="124" t="s">
        <v>155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  <c r="N9" s="33" t="s">
        <v>14</v>
      </c>
    </row>
    <row r="10" spans="1:21" x14ac:dyDescent="0.2">
      <c r="A10" s="127" t="s">
        <v>156</v>
      </c>
      <c r="B10" s="107">
        <v>0</v>
      </c>
      <c r="C10" s="107">
        <v>0</v>
      </c>
      <c r="D10" s="107">
        <v>176005.47</v>
      </c>
      <c r="E10" s="107">
        <v>0</v>
      </c>
      <c r="F10" s="107">
        <v>0</v>
      </c>
      <c r="G10" s="107">
        <v>193000</v>
      </c>
      <c r="H10" s="107">
        <v>0</v>
      </c>
      <c r="I10" s="107">
        <v>0</v>
      </c>
      <c r="J10" s="107">
        <v>0</v>
      </c>
      <c r="K10" s="107">
        <f t="shared" ref="K10:M32" si="0">E10+H10</f>
        <v>0</v>
      </c>
      <c r="L10" s="107">
        <f t="shared" si="0"/>
        <v>0</v>
      </c>
      <c r="M10" s="128">
        <f t="shared" si="0"/>
        <v>193000</v>
      </c>
      <c r="N10" s="33" t="s">
        <v>14</v>
      </c>
    </row>
    <row r="11" spans="1:21" x14ac:dyDescent="0.2">
      <c r="A11" s="127" t="s">
        <v>157</v>
      </c>
      <c r="B11" s="107">
        <v>0</v>
      </c>
      <c r="C11" s="107">
        <v>0</v>
      </c>
      <c r="D11" s="107">
        <v>23281.14</v>
      </c>
      <c r="E11" s="107">
        <v>0</v>
      </c>
      <c r="F11" s="107">
        <v>0</v>
      </c>
      <c r="G11" s="107">
        <v>24750</v>
      </c>
      <c r="H11" s="107">
        <v>0</v>
      </c>
      <c r="I11" s="107">
        <v>0</v>
      </c>
      <c r="J11" s="107">
        <v>0</v>
      </c>
      <c r="K11" s="107">
        <f t="shared" si="0"/>
        <v>0</v>
      </c>
      <c r="L11" s="107">
        <f t="shared" si="0"/>
        <v>0</v>
      </c>
      <c r="M11" s="128">
        <f t="shared" si="0"/>
        <v>24750</v>
      </c>
      <c r="N11" s="33" t="s">
        <v>14</v>
      </c>
    </row>
    <row r="12" spans="1:21" x14ac:dyDescent="0.2">
      <c r="A12" s="127" t="s">
        <v>158</v>
      </c>
      <c r="B12" s="107">
        <v>0</v>
      </c>
      <c r="C12" s="107">
        <v>0</v>
      </c>
      <c r="D12" s="107">
        <v>3259.36</v>
      </c>
      <c r="E12" s="107">
        <v>0</v>
      </c>
      <c r="F12" s="107">
        <v>0</v>
      </c>
      <c r="G12" s="107">
        <v>3250</v>
      </c>
      <c r="H12" s="107">
        <v>0</v>
      </c>
      <c r="I12" s="107">
        <v>0</v>
      </c>
      <c r="J12" s="107">
        <v>0</v>
      </c>
      <c r="K12" s="107">
        <f t="shared" si="0"/>
        <v>0</v>
      </c>
      <c r="L12" s="107">
        <f t="shared" si="0"/>
        <v>0</v>
      </c>
      <c r="M12" s="128">
        <f t="shared" si="0"/>
        <v>3250</v>
      </c>
      <c r="N12" s="33" t="s">
        <v>14</v>
      </c>
    </row>
    <row r="13" spans="1:21" x14ac:dyDescent="0.2">
      <c r="A13" s="127" t="s">
        <v>159</v>
      </c>
      <c r="B13" s="107">
        <v>0</v>
      </c>
      <c r="C13" s="107">
        <v>0</v>
      </c>
      <c r="D13" s="107">
        <v>46562.29</v>
      </c>
      <c r="E13" s="107">
        <v>0</v>
      </c>
      <c r="F13" s="107">
        <v>0</v>
      </c>
      <c r="G13" s="107">
        <v>50000</v>
      </c>
      <c r="H13" s="107">
        <v>0</v>
      </c>
      <c r="I13" s="107">
        <v>0</v>
      </c>
      <c r="J13" s="107">
        <v>0</v>
      </c>
      <c r="K13" s="107">
        <f t="shared" si="0"/>
        <v>0</v>
      </c>
      <c r="L13" s="107">
        <f t="shared" si="0"/>
        <v>0</v>
      </c>
      <c r="M13" s="128">
        <f t="shared" si="0"/>
        <v>50000</v>
      </c>
      <c r="N13" s="33" t="s">
        <v>14</v>
      </c>
    </row>
    <row r="14" spans="1:21" x14ac:dyDescent="0.2">
      <c r="A14" s="127" t="s">
        <v>160</v>
      </c>
      <c r="B14" s="107">
        <v>0</v>
      </c>
      <c r="C14" s="107">
        <v>0</v>
      </c>
      <c r="D14" s="107">
        <v>23281.14</v>
      </c>
      <c r="E14" s="107">
        <v>0</v>
      </c>
      <c r="F14" s="107">
        <v>0</v>
      </c>
      <c r="G14" s="107">
        <v>27000</v>
      </c>
      <c r="H14" s="107">
        <v>0</v>
      </c>
      <c r="I14" s="107">
        <v>0</v>
      </c>
      <c r="J14" s="107">
        <v>0</v>
      </c>
      <c r="K14" s="107">
        <f t="shared" si="0"/>
        <v>0</v>
      </c>
      <c r="L14" s="107">
        <f t="shared" si="0"/>
        <v>0</v>
      </c>
      <c r="M14" s="128">
        <f t="shared" si="0"/>
        <v>27000</v>
      </c>
      <c r="N14" s="33" t="s">
        <v>14</v>
      </c>
    </row>
    <row r="15" spans="1:21" x14ac:dyDescent="0.2">
      <c r="A15" s="127" t="s">
        <v>161</v>
      </c>
      <c r="B15" s="107">
        <v>0</v>
      </c>
      <c r="C15" s="107">
        <v>0</v>
      </c>
      <c r="D15" s="129" t="s">
        <v>162</v>
      </c>
      <c r="E15" s="107">
        <v>0</v>
      </c>
      <c r="F15" s="107">
        <v>0</v>
      </c>
      <c r="G15" s="129" t="s">
        <v>163</v>
      </c>
      <c r="H15" s="107">
        <v>0</v>
      </c>
      <c r="I15" s="107">
        <v>0</v>
      </c>
      <c r="J15" s="129">
        <v>0</v>
      </c>
      <c r="K15" s="107">
        <f t="shared" si="0"/>
        <v>0</v>
      </c>
      <c r="L15" s="107">
        <f t="shared" si="0"/>
        <v>0</v>
      </c>
      <c r="M15" s="234" t="s">
        <v>163</v>
      </c>
      <c r="N15" s="33" t="s">
        <v>14</v>
      </c>
    </row>
    <row r="16" spans="1:21" x14ac:dyDescent="0.2">
      <c r="A16" s="127" t="s">
        <v>164</v>
      </c>
      <c r="B16" s="107">
        <v>0</v>
      </c>
      <c r="C16" s="107">
        <v>0</v>
      </c>
      <c r="D16" s="107">
        <v>33990.47</v>
      </c>
      <c r="E16" s="107">
        <v>0</v>
      </c>
      <c r="F16" s="107">
        <v>0</v>
      </c>
      <c r="G16" s="107">
        <v>36000</v>
      </c>
      <c r="H16" s="107">
        <v>0</v>
      </c>
      <c r="I16" s="107">
        <v>0</v>
      </c>
      <c r="J16" s="107">
        <v>0</v>
      </c>
      <c r="K16" s="107">
        <f t="shared" si="0"/>
        <v>0</v>
      </c>
      <c r="L16" s="107">
        <f t="shared" si="0"/>
        <v>0</v>
      </c>
      <c r="M16" s="128">
        <f t="shared" si="0"/>
        <v>36000</v>
      </c>
      <c r="N16" s="33" t="s">
        <v>14</v>
      </c>
    </row>
    <row r="17" spans="1:17" x14ac:dyDescent="0.2">
      <c r="A17" s="127" t="s">
        <v>165</v>
      </c>
      <c r="B17" s="107">
        <v>0</v>
      </c>
      <c r="C17" s="107">
        <v>0</v>
      </c>
      <c r="D17" s="107">
        <v>8381.2099999999991</v>
      </c>
      <c r="E17" s="107">
        <v>0</v>
      </c>
      <c r="F17" s="107">
        <v>0</v>
      </c>
      <c r="G17" s="107">
        <v>9000</v>
      </c>
      <c r="H17" s="107">
        <v>0</v>
      </c>
      <c r="I17" s="107">
        <v>0</v>
      </c>
      <c r="J17" s="107">
        <v>0</v>
      </c>
      <c r="K17" s="107">
        <f t="shared" si="0"/>
        <v>0</v>
      </c>
      <c r="L17" s="107">
        <f t="shared" si="0"/>
        <v>0</v>
      </c>
      <c r="M17" s="128">
        <f t="shared" si="0"/>
        <v>9000</v>
      </c>
      <c r="N17" s="33" t="s">
        <v>14</v>
      </c>
    </row>
    <row r="18" spans="1:17" x14ac:dyDescent="0.2">
      <c r="A18" s="127" t="s">
        <v>166</v>
      </c>
      <c r="B18" s="107">
        <v>0</v>
      </c>
      <c r="C18" s="107">
        <v>0</v>
      </c>
      <c r="D18" s="107">
        <v>38181.08</v>
      </c>
      <c r="E18" s="107">
        <v>0</v>
      </c>
      <c r="F18" s="107">
        <v>0</v>
      </c>
      <c r="G18" s="107">
        <v>37000</v>
      </c>
      <c r="H18" s="107">
        <v>0</v>
      </c>
      <c r="I18" s="107">
        <v>0</v>
      </c>
      <c r="J18" s="107">
        <v>0</v>
      </c>
      <c r="K18" s="107">
        <f t="shared" si="0"/>
        <v>0</v>
      </c>
      <c r="L18" s="107">
        <f t="shared" si="0"/>
        <v>0</v>
      </c>
      <c r="M18" s="128">
        <f t="shared" si="0"/>
        <v>37000</v>
      </c>
      <c r="N18" s="33" t="s">
        <v>14</v>
      </c>
    </row>
    <row r="19" spans="1:17" x14ac:dyDescent="0.2">
      <c r="A19" s="127" t="s">
        <v>167</v>
      </c>
      <c r="B19" s="107">
        <v>0</v>
      </c>
      <c r="C19" s="107">
        <v>0</v>
      </c>
      <c r="D19" s="107">
        <v>3957.7</v>
      </c>
      <c r="E19" s="107">
        <v>0</v>
      </c>
      <c r="F19" s="107">
        <v>0</v>
      </c>
      <c r="G19" s="107">
        <v>4250</v>
      </c>
      <c r="H19" s="107">
        <v>0</v>
      </c>
      <c r="I19" s="107">
        <v>0</v>
      </c>
      <c r="J19" s="107">
        <v>0</v>
      </c>
      <c r="K19" s="107">
        <f t="shared" si="0"/>
        <v>0</v>
      </c>
      <c r="L19" s="107">
        <f t="shared" si="0"/>
        <v>0</v>
      </c>
      <c r="M19" s="128">
        <f t="shared" si="0"/>
        <v>4250</v>
      </c>
      <c r="N19" s="33" t="s">
        <v>14</v>
      </c>
    </row>
    <row r="20" spans="1:17" ht="28.5" x14ac:dyDescent="0.2">
      <c r="A20" s="130" t="s">
        <v>168</v>
      </c>
      <c r="B20" s="107">
        <v>0</v>
      </c>
      <c r="C20" s="107">
        <v>0</v>
      </c>
      <c r="D20" s="107">
        <v>14434.3</v>
      </c>
      <c r="E20" s="107">
        <v>0</v>
      </c>
      <c r="F20" s="107">
        <v>0</v>
      </c>
      <c r="G20" s="107">
        <v>15000</v>
      </c>
      <c r="H20" s="107">
        <v>0</v>
      </c>
      <c r="I20" s="107">
        <v>0</v>
      </c>
      <c r="J20" s="107">
        <v>0</v>
      </c>
      <c r="K20" s="107">
        <f t="shared" si="0"/>
        <v>0</v>
      </c>
      <c r="L20" s="107">
        <f t="shared" si="0"/>
        <v>0</v>
      </c>
      <c r="M20" s="128">
        <f t="shared" si="0"/>
        <v>15000</v>
      </c>
      <c r="N20" s="33" t="s">
        <v>14</v>
      </c>
    </row>
    <row r="21" spans="1:17" ht="28.5" x14ac:dyDescent="0.2">
      <c r="A21" s="130" t="s">
        <v>169</v>
      </c>
      <c r="B21" s="107">
        <v>0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f t="shared" si="0"/>
        <v>0</v>
      </c>
      <c r="L21" s="107">
        <f t="shared" si="0"/>
        <v>0</v>
      </c>
      <c r="M21" s="128">
        <f t="shared" si="0"/>
        <v>0</v>
      </c>
      <c r="N21" s="33" t="s">
        <v>14</v>
      </c>
    </row>
    <row r="22" spans="1:17" x14ac:dyDescent="0.2">
      <c r="A22" s="127" t="s">
        <v>170</v>
      </c>
      <c r="B22" s="107">
        <v>0</v>
      </c>
      <c r="C22" s="107">
        <v>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f>E22+H22</f>
        <v>0</v>
      </c>
      <c r="L22" s="107">
        <f>F22+I22</f>
        <v>0</v>
      </c>
      <c r="M22" s="128">
        <f>G22+J22</f>
        <v>0</v>
      </c>
      <c r="N22" s="33" t="s">
        <v>14</v>
      </c>
    </row>
    <row r="23" spans="1:17" x14ac:dyDescent="0.2">
      <c r="A23" s="127" t="s">
        <v>171</v>
      </c>
      <c r="B23" s="107">
        <v>0</v>
      </c>
      <c r="C23" s="107">
        <v>0</v>
      </c>
      <c r="D23" s="107">
        <v>5354.6</v>
      </c>
      <c r="E23" s="107">
        <v>0</v>
      </c>
      <c r="F23" s="107">
        <v>0</v>
      </c>
      <c r="G23" s="107">
        <v>5750</v>
      </c>
      <c r="H23" s="107">
        <v>0</v>
      </c>
      <c r="I23" s="107">
        <v>0</v>
      </c>
      <c r="J23" s="107">
        <v>0</v>
      </c>
      <c r="K23" s="107">
        <f t="shared" si="0"/>
        <v>0</v>
      </c>
      <c r="L23" s="107">
        <f t="shared" si="0"/>
        <v>0</v>
      </c>
      <c r="M23" s="128">
        <f t="shared" si="0"/>
        <v>5750</v>
      </c>
      <c r="N23" s="33" t="s">
        <v>14</v>
      </c>
    </row>
    <row r="24" spans="1:17" x14ac:dyDescent="0.2">
      <c r="A24" s="127" t="s">
        <v>172</v>
      </c>
      <c r="B24" s="107">
        <v>0</v>
      </c>
      <c r="C24" s="107">
        <v>0</v>
      </c>
      <c r="D24" s="107">
        <v>9312.4500000000007</v>
      </c>
      <c r="E24" s="107">
        <v>0</v>
      </c>
      <c r="F24" s="107">
        <v>0</v>
      </c>
      <c r="G24" s="107">
        <v>10000</v>
      </c>
      <c r="H24" s="107">
        <v>0</v>
      </c>
      <c r="I24" s="107">
        <v>0</v>
      </c>
      <c r="J24" s="107">
        <v>0</v>
      </c>
      <c r="K24" s="107">
        <f t="shared" si="0"/>
        <v>0</v>
      </c>
      <c r="L24" s="107">
        <f t="shared" si="0"/>
        <v>0</v>
      </c>
      <c r="M24" s="128">
        <f t="shared" si="0"/>
        <v>10000</v>
      </c>
      <c r="N24" s="33" t="s">
        <v>14</v>
      </c>
    </row>
    <row r="25" spans="1:17" x14ac:dyDescent="0.2">
      <c r="A25" s="127" t="s">
        <v>173</v>
      </c>
      <c r="B25" s="107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f t="shared" si="0"/>
        <v>0</v>
      </c>
      <c r="L25" s="107">
        <f t="shared" si="0"/>
        <v>0</v>
      </c>
      <c r="M25" s="128">
        <f t="shared" si="0"/>
        <v>0</v>
      </c>
      <c r="N25" s="33" t="s">
        <v>14</v>
      </c>
    </row>
    <row r="26" spans="1:17" ht="28.5" x14ac:dyDescent="0.2">
      <c r="A26" s="130" t="s">
        <v>174</v>
      </c>
      <c r="B26" s="107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f t="shared" si="0"/>
        <v>0</v>
      </c>
      <c r="L26" s="107">
        <f t="shared" si="0"/>
        <v>0</v>
      </c>
      <c r="M26" s="128">
        <f t="shared" si="0"/>
        <v>0</v>
      </c>
      <c r="N26" s="33" t="s">
        <v>14</v>
      </c>
    </row>
    <row r="27" spans="1:17" x14ac:dyDescent="0.2">
      <c r="A27" s="127" t="s">
        <v>175</v>
      </c>
      <c r="B27" s="107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f t="shared" si="0"/>
        <v>0</v>
      </c>
      <c r="L27" s="107">
        <f t="shared" si="0"/>
        <v>0</v>
      </c>
      <c r="M27" s="128">
        <f t="shared" si="0"/>
        <v>0</v>
      </c>
      <c r="N27" s="33" t="s">
        <v>14</v>
      </c>
    </row>
    <row r="28" spans="1:17" x14ac:dyDescent="0.2">
      <c r="A28" s="127" t="s">
        <v>176</v>
      </c>
      <c r="B28" s="107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f t="shared" si="0"/>
        <v>0</v>
      </c>
      <c r="L28" s="107">
        <f t="shared" si="0"/>
        <v>0</v>
      </c>
      <c r="M28" s="128">
        <f t="shared" si="0"/>
        <v>0</v>
      </c>
      <c r="N28" s="33" t="s">
        <v>14</v>
      </c>
    </row>
    <row r="29" spans="1:17" ht="28.5" x14ac:dyDescent="0.2">
      <c r="A29" s="130" t="s">
        <v>177</v>
      </c>
      <c r="B29" s="107">
        <v>0</v>
      </c>
      <c r="C29" s="107">
        <v>0</v>
      </c>
      <c r="D29" s="107">
        <v>465.6</v>
      </c>
      <c r="E29" s="107">
        <v>0</v>
      </c>
      <c r="F29" s="107">
        <v>0</v>
      </c>
      <c r="G29" s="107">
        <v>500</v>
      </c>
      <c r="H29" s="107">
        <v>0</v>
      </c>
      <c r="I29" s="107">
        <v>0</v>
      </c>
      <c r="J29" s="107">
        <v>0</v>
      </c>
      <c r="K29" s="107">
        <f t="shared" si="0"/>
        <v>0</v>
      </c>
      <c r="L29" s="107">
        <f t="shared" si="0"/>
        <v>0</v>
      </c>
      <c r="M29" s="128">
        <f t="shared" si="0"/>
        <v>500</v>
      </c>
      <c r="N29" s="33" t="s">
        <v>14</v>
      </c>
    </row>
    <row r="30" spans="1:17" ht="28.5" x14ac:dyDescent="0.25">
      <c r="A30" s="130" t="s">
        <v>178</v>
      </c>
      <c r="B30" s="107">
        <v>0</v>
      </c>
      <c r="C30" s="107">
        <v>0</v>
      </c>
      <c r="D30" s="107">
        <v>931.2</v>
      </c>
      <c r="E30" s="107">
        <v>0</v>
      </c>
      <c r="F30" s="107">
        <v>0</v>
      </c>
      <c r="G30" s="107">
        <v>1000</v>
      </c>
      <c r="H30" s="107">
        <v>0</v>
      </c>
      <c r="I30" s="107">
        <v>0</v>
      </c>
      <c r="J30" s="107">
        <v>0</v>
      </c>
      <c r="K30" s="107">
        <f t="shared" si="0"/>
        <v>0</v>
      </c>
      <c r="L30" s="107">
        <f t="shared" si="0"/>
        <v>0</v>
      </c>
      <c r="M30" s="128">
        <f t="shared" si="0"/>
        <v>1000</v>
      </c>
      <c r="N30" s="33" t="s">
        <v>14</v>
      </c>
      <c r="Q30" s="19"/>
    </row>
    <row r="31" spans="1:17" ht="28.5" x14ac:dyDescent="0.2">
      <c r="A31" s="130" t="s">
        <v>179</v>
      </c>
      <c r="B31" s="107">
        <v>0</v>
      </c>
      <c r="C31" s="107">
        <v>0</v>
      </c>
      <c r="D31" s="107">
        <v>465.6</v>
      </c>
      <c r="E31" s="107">
        <v>0</v>
      </c>
      <c r="F31" s="107">
        <v>0</v>
      </c>
      <c r="G31" s="107">
        <v>500</v>
      </c>
      <c r="H31" s="107">
        <v>0</v>
      </c>
      <c r="I31" s="107">
        <v>0</v>
      </c>
      <c r="J31" s="107">
        <v>0</v>
      </c>
      <c r="K31" s="107">
        <f t="shared" si="0"/>
        <v>0</v>
      </c>
      <c r="L31" s="107">
        <f t="shared" si="0"/>
        <v>0</v>
      </c>
      <c r="M31" s="128">
        <f t="shared" si="0"/>
        <v>500</v>
      </c>
      <c r="N31" s="33" t="s">
        <v>14</v>
      </c>
      <c r="Q31" s="20"/>
    </row>
    <row r="32" spans="1:17" x14ac:dyDescent="0.2">
      <c r="A32" s="127" t="s">
        <v>180</v>
      </c>
      <c r="B32" s="107">
        <v>0</v>
      </c>
      <c r="C32" s="107">
        <v>0</v>
      </c>
      <c r="D32" s="129" t="s">
        <v>203</v>
      </c>
      <c r="E32" s="107">
        <v>0</v>
      </c>
      <c r="F32" s="107">
        <v>0</v>
      </c>
      <c r="G32" s="129" t="s">
        <v>210</v>
      </c>
      <c r="H32" s="107">
        <v>0</v>
      </c>
      <c r="I32" s="107">
        <v>0</v>
      </c>
      <c r="J32" s="107">
        <v>0</v>
      </c>
      <c r="K32" s="107">
        <f t="shared" si="0"/>
        <v>0</v>
      </c>
      <c r="L32" s="107">
        <f t="shared" si="0"/>
        <v>0</v>
      </c>
      <c r="M32" s="234" t="s">
        <v>211</v>
      </c>
      <c r="N32" s="33" t="s">
        <v>14</v>
      </c>
      <c r="Q32" s="20"/>
    </row>
    <row r="33" spans="1:17" x14ac:dyDescent="0.2">
      <c r="A33" s="127" t="s">
        <v>181</v>
      </c>
      <c r="B33" s="120">
        <v>0</v>
      </c>
      <c r="C33" s="120">
        <v>0</v>
      </c>
      <c r="D33" s="131" t="s">
        <v>245</v>
      </c>
      <c r="E33" s="120">
        <v>0</v>
      </c>
      <c r="F33" s="120">
        <v>0</v>
      </c>
      <c r="G33" s="131" t="s">
        <v>212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235" t="s">
        <v>212</v>
      </c>
      <c r="N33" s="33" t="s">
        <v>14</v>
      </c>
      <c r="Q33" s="20"/>
    </row>
    <row r="34" spans="1:17" ht="28.5" hidden="1" x14ac:dyDescent="0.2">
      <c r="A34" s="130" t="s">
        <v>182</v>
      </c>
      <c r="B34" s="132">
        <v>0</v>
      </c>
      <c r="C34" s="132">
        <v>0</v>
      </c>
      <c r="D34" s="132">
        <v>0</v>
      </c>
      <c r="E34" s="132">
        <v>0</v>
      </c>
      <c r="F34" s="132">
        <v>0</v>
      </c>
      <c r="H34" s="132">
        <v>0</v>
      </c>
      <c r="I34" s="132">
        <v>0</v>
      </c>
      <c r="J34" s="132">
        <v>0</v>
      </c>
      <c r="K34" s="132">
        <f>E34+H34</f>
        <v>0</v>
      </c>
      <c r="L34" s="132">
        <f>F34+I34</f>
        <v>0</v>
      </c>
      <c r="M34" s="133" t="s">
        <v>183</v>
      </c>
      <c r="N34" s="33" t="s">
        <v>14</v>
      </c>
      <c r="Q34" s="9"/>
    </row>
    <row r="35" spans="1:17" ht="15" x14ac:dyDescent="0.25">
      <c r="A35" s="13" t="s">
        <v>120</v>
      </c>
      <c r="B35" s="83">
        <f t="shared" ref="B35:M35" si="1">SUM(B9:B34)</f>
        <v>0</v>
      </c>
      <c r="C35" s="83">
        <f t="shared" si="1"/>
        <v>0</v>
      </c>
      <c r="D35" s="83">
        <f t="shared" si="1"/>
        <v>387863.61</v>
      </c>
      <c r="E35" s="83">
        <f t="shared" si="1"/>
        <v>0</v>
      </c>
      <c r="F35" s="83">
        <f t="shared" si="1"/>
        <v>0</v>
      </c>
      <c r="G35" s="83">
        <f t="shared" si="1"/>
        <v>417000</v>
      </c>
      <c r="H35" s="83">
        <f t="shared" si="1"/>
        <v>0</v>
      </c>
      <c r="I35" s="83">
        <f t="shared" si="1"/>
        <v>0</v>
      </c>
      <c r="J35" s="83">
        <f t="shared" si="1"/>
        <v>0</v>
      </c>
      <c r="K35" s="83">
        <f t="shared" si="1"/>
        <v>0</v>
      </c>
      <c r="L35" s="83">
        <f t="shared" si="1"/>
        <v>0</v>
      </c>
      <c r="M35" s="84">
        <f t="shared" si="1"/>
        <v>417000</v>
      </c>
      <c r="N35" s="33" t="s">
        <v>14</v>
      </c>
      <c r="Q35" s="5"/>
    </row>
    <row r="36" spans="1:17" ht="15" hidden="1" x14ac:dyDescent="0.25">
      <c r="A36" s="134" t="s">
        <v>184</v>
      </c>
      <c r="B36" s="85"/>
      <c r="C36" s="85"/>
      <c r="D36" s="125"/>
      <c r="E36" s="85"/>
      <c r="F36" s="85"/>
      <c r="G36" s="125"/>
      <c r="H36" s="85"/>
      <c r="I36" s="85"/>
      <c r="J36" s="125"/>
      <c r="K36" s="85"/>
      <c r="L36" s="85"/>
      <c r="M36" s="126"/>
      <c r="N36" s="33" t="s">
        <v>14</v>
      </c>
      <c r="Q36" s="5"/>
    </row>
    <row r="37" spans="1:17" ht="15" x14ac:dyDescent="0.25">
      <c r="A37" s="135" t="s">
        <v>119</v>
      </c>
      <c r="B37" s="59"/>
      <c r="C37" s="59"/>
      <c r="D37" s="120">
        <v>-12000</v>
      </c>
      <c r="E37" s="59"/>
      <c r="F37" s="59"/>
      <c r="G37" s="120">
        <v>-12200</v>
      </c>
      <c r="H37" s="59"/>
      <c r="I37" s="59"/>
      <c r="J37" s="120">
        <v>12200</v>
      </c>
      <c r="K37" s="59"/>
      <c r="L37" s="59"/>
      <c r="M37" s="136"/>
      <c r="N37" s="33"/>
      <c r="Q37" s="5"/>
    </row>
    <row r="38" spans="1:17" ht="15" x14ac:dyDescent="0.25">
      <c r="A38" s="137" t="s">
        <v>135</v>
      </c>
      <c r="B38" s="24"/>
      <c r="C38" s="24"/>
      <c r="D38" s="138">
        <f>SUM(D35:D37)</f>
        <v>375863.61</v>
      </c>
      <c r="E38" s="24"/>
      <c r="F38" s="24"/>
      <c r="G38" s="138">
        <f>SUM(G35:G37)</f>
        <v>404800</v>
      </c>
      <c r="H38" s="24"/>
      <c r="I38" s="24"/>
      <c r="J38" s="138">
        <f>SUM(J35:J37)</f>
        <v>12200</v>
      </c>
      <c r="K38" s="24"/>
      <c r="L38" s="24"/>
      <c r="M38" s="139">
        <f>G38+J38</f>
        <v>417000</v>
      </c>
      <c r="N38" s="33" t="s">
        <v>14</v>
      </c>
      <c r="Q38" s="65"/>
    </row>
    <row r="39" spans="1:17" x14ac:dyDescent="0.2">
      <c r="A39" s="140" t="s">
        <v>21</v>
      </c>
      <c r="B39" s="141"/>
      <c r="C39" s="141">
        <v>0</v>
      </c>
      <c r="D39" s="141"/>
      <c r="E39" s="141"/>
      <c r="F39" s="141">
        <v>0</v>
      </c>
      <c r="G39" s="141"/>
      <c r="H39" s="141"/>
      <c r="I39" s="141">
        <v>0</v>
      </c>
      <c r="J39" s="141"/>
      <c r="K39" s="141"/>
      <c r="L39" s="141">
        <f t="shared" ref="L39:L40" si="2">F39+I39</f>
        <v>0</v>
      </c>
      <c r="M39" s="142"/>
      <c r="N39" s="33" t="s">
        <v>14</v>
      </c>
      <c r="Q39" s="65"/>
    </row>
    <row r="40" spans="1:17" x14ac:dyDescent="0.2">
      <c r="A40" s="127" t="s">
        <v>121</v>
      </c>
      <c r="B40" s="107"/>
      <c r="C40" s="107">
        <f>C35+C39</f>
        <v>0</v>
      </c>
      <c r="D40" s="107"/>
      <c r="E40" s="107"/>
      <c r="F40" s="107">
        <f>F35+F39</f>
        <v>0</v>
      </c>
      <c r="G40" s="107"/>
      <c r="H40" s="107"/>
      <c r="I40" s="107">
        <f>I35+I39</f>
        <v>0</v>
      </c>
      <c r="J40" s="107"/>
      <c r="K40" s="107"/>
      <c r="L40" s="107">
        <f t="shared" si="2"/>
        <v>0</v>
      </c>
      <c r="M40" s="128"/>
      <c r="N40" s="33" t="s">
        <v>14</v>
      </c>
      <c r="Q40" s="20"/>
    </row>
    <row r="41" spans="1:17" x14ac:dyDescent="0.2">
      <c r="A41" s="12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28"/>
      <c r="N41" s="33" t="s">
        <v>14</v>
      </c>
      <c r="Q41" s="20"/>
    </row>
    <row r="42" spans="1:17" x14ac:dyDescent="0.2">
      <c r="A42" s="127" t="s">
        <v>22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28"/>
      <c r="N42" s="33" t="s">
        <v>14</v>
      </c>
      <c r="Q42" s="20"/>
    </row>
    <row r="43" spans="1:17" x14ac:dyDescent="0.2">
      <c r="A43" s="143" t="s">
        <v>23</v>
      </c>
      <c r="B43" s="107"/>
      <c r="C43" s="107">
        <v>0</v>
      </c>
      <c r="D43" s="107"/>
      <c r="E43" s="107"/>
      <c r="F43" s="107">
        <v>0</v>
      </c>
      <c r="G43" s="107"/>
      <c r="H43" s="107"/>
      <c r="I43" s="107">
        <v>0</v>
      </c>
      <c r="J43" s="107"/>
      <c r="K43" s="107"/>
      <c r="L43" s="107">
        <f t="shared" ref="L43:L45" si="3">F43+I43</f>
        <v>0</v>
      </c>
      <c r="M43" s="128"/>
      <c r="N43" s="33" t="s">
        <v>14</v>
      </c>
      <c r="Q43" s="20"/>
    </row>
    <row r="44" spans="1:17" x14ac:dyDescent="0.2">
      <c r="A44" s="144" t="s">
        <v>24</v>
      </c>
      <c r="B44" s="145"/>
      <c r="C44" s="145">
        <v>0</v>
      </c>
      <c r="D44" s="145"/>
      <c r="E44" s="145"/>
      <c r="F44" s="145">
        <v>0</v>
      </c>
      <c r="G44" s="145"/>
      <c r="H44" s="145"/>
      <c r="I44" s="145">
        <v>0</v>
      </c>
      <c r="J44" s="145"/>
      <c r="K44" s="145"/>
      <c r="L44" s="145">
        <f t="shared" si="3"/>
        <v>0</v>
      </c>
      <c r="M44" s="146"/>
      <c r="N44" s="33" t="s">
        <v>14</v>
      </c>
      <c r="Q44" s="20"/>
    </row>
    <row r="45" spans="1:17" ht="15" thickBot="1" x14ac:dyDescent="0.25">
      <c r="A45" s="147" t="s">
        <v>122</v>
      </c>
      <c r="B45" s="148"/>
      <c r="C45" s="148">
        <f>C40+C43+C44</f>
        <v>0</v>
      </c>
      <c r="D45" s="148"/>
      <c r="E45" s="148"/>
      <c r="F45" s="148">
        <f>F40+F43+F44</f>
        <v>0</v>
      </c>
      <c r="G45" s="148"/>
      <c r="H45" s="148"/>
      <c r="I45" s="148">
        <f>I40+I43+I44</f>
        <v>0</v>
      </c>
      <c r="J45" s="148"/>
      <c r="K45" s="148"/>
      <c r="L45" s="148">
        <f t="shared" si="3"/>
        <v>0</v>
      </c>
      <c r="M45" s="149"/>
      <c r="N45" s="33" t="s">
        <v>14</v>
      </c>
      <c r="Q45" s="20"/>
    </row>
    <row r="46" spans="1:17" ht="15" thickBot="1" x14ac:dyDescent="0.25">
      <c r="N46" s="33" t="s">
        <v>14</v>
      </c>
    </row>
    <row r="47" spans="1:17" ht="15" x14ac:dyDescent="0.2">
      <c r="A47" s="257" t="s">
        <v>123</v>
      </c>
      <c r="B47" s="259" t="s">
        <v>146</v>
      </c>
      <c r="C47" s="259"/>
      <c r="D47" s="259"/>
      <c r="E47" s="259" t="s">
        <v>147</v>
      </c>
      <c r="F47" s="259"/>
      <c r="G47" s="259"/>
      <c r="H47" s="259" t="s">
        <v>148</v>
      </c>
      <c r="I47" s="259"/>
      <c r="J47" s="260"/>
      <c r="N47" s="33" t="s">
        <v>14</v>
      </c>
    </row>
    <row r="48" spans="1:17" ht="28.5" x14ac:dyDescent="0.2">
      <c r="A48" s="258"/>
      <c r="B48" s="122" t="s">
        <v>2</v>
      </c>
      <c r="C48" s="122" t="s">
        <v>134</v>
      </c>
      <c r="D48" s="122" t="s">
        <v>3</v>
      </c>
      <c r="E48" s="122" t="s">
        <v>2</v>
      </c>
      <c r="F48" s="122" t="s">
        <v>134</v>
      </c>
      <c r="G48" s="122" t="s">
        <v>3</v>
      </c>
      <c r="H48" s="122" t="s">
        <v>2</v>
      </c>
      <c r="I48" s="122" t="s">
        <v>134</v>
      </c>
      <c r="J48" s="123" t="s">
        <v>3</v>
      </c>
      <c r="N48" s="33" t="s">
        <v>14</v>
      </c>
    </row>
    <row r="49" spans="1:14" ht="30" x14ac:dyDescent="0.2">
      <c r="A49" s="124" t="s">
        <v>155</v>
      </c>
      <c r="B49" s="150"/>
      <c r="C49" s="150"/>
      <c r="D49" s="150"/>
      <c r="E49" s="150"/>
      <c r="F49" s="150"/>
      <c r="G49" s="150"/>
      <c r="H49" s="150"/>
      <c r="I49" s="150"/>
      <c r="J49" s="151"/>
      <c r="N49" s="33" t="s">
        <v>14</v>
      </c>
    </row>
    <row r="50" spans="1:14" x14ac:dyDescent="0.2">
      <c r="A50" s="127" t="s">
        <v>156</v>
      </c>
      <c r="B50" s="150">
        <v>0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0</v>
      </c>
      <c r="I50" s="150">
        <v>0</v>
      </c>
      <c r="J50" s="151">
        <f>M10+D50+G50</f>
        <v>193000</v>
      </c>
      <c r="N50" s="33" t="s">
        <v>14</v>
      </c>
    </row>
    <row r="51" spans="1:14" x14ac:dyDescent="0.2">
      <c r="A51" s="127" t="s">
        <v>157</v>
      </c>
      <c r="B51" s="150">
        <v>0</v>
      </c>
      <c r="C51" s="150">
        <v>0</v>
      </c>
      <c r="D51" s="150">
        <v>250</v>
      </c>
      <c r="E51" s="150">
        <v>0</v>
      </c>
      <c r="F51" s="150">
        <v>0</v>
      </c>
      <c r="G51" s="150">
        <v>0</v>
      </c>
      <c r="H51" s="150">
        <v>0</v>
      </c>
      <c r="I51" s="150">
        <v>0</v>
      </c>
      <c r="J51" s="151">
        <f>M11+D51+G51</f>
        <v>25000</v>
      </c>
      <c r="N51" s="33" t="s">
        <v>14</v>
      </c>
    </row>
    <row r="52" spans="1:14" x14ac:dyDescent="0.2">
      <c r="A52" s="127" t="s">
        <v>158</v>
      </c>
      <c r="B52" s="150">
        <v>0</v>
      </c>
      <c r="C52" s="150">
        <v>0</v>
      </c>
      <c r="D52" s="150">
        <v>0</v>
      </c>
      <c r="E52" s="150">
        <v>0</v>
      </c>
      <c r="F52" s="150">
        <v>0</v>
      </c>
      <c r="G52" s="150">
        <v>-250</v>
      </c>
      <c r="H52" s="150">
        <v>0</v>
      </c>
      <c r="I52" s="150">
        <v>0</v>
      </c>
      <c r="J52" s="151">
        <f>M12+D52+G52</f>
        <v>3000</v>
      </c>
      <c r="N52" s="33" t="s">
        <v>14</v>
      </c>
    </row>
    <row r="53" spans="1:14" x14ac:dyDescent="0.2">
      <c r="A53" s="127" t="s">
        <v>159</v>
      </c>
      <c r="B53" s="150">
        <v>0</v>
      </c>
      <c r="C53" s="150">
        <v>0</v>
      </c>
      <c r="D53" s="150">
        <v>0</v>
      </c>
      <c r="E53" s="150">
        <v>0</v>
      </c>
      <c r="F53" s="150">
        <v>0</v>
      </c>
      <c r="G53" s="150">
        <v>0</v>
      </c>
      <c r="H53" s="150">
        <v>0</v>
      </c>
      <c r="I53" s="150">
        <v>0</v>
      </c>
      <c r="J53" s="151">
        <f>M13+D53+G53</f>
        <v>50000</v>
      </c>
      <c r="N53" s="33" t="s">
        <v>14</v>
      </c>
    </row>
    <row r="54" spans="1:14" x14ac:dyDescent="0.2">
      <c r="A54" s="127" t="s">
        <v>160</v>
      </c>
      <c r="B54" s="150">
        <v>0</v>
      </c>
      <c r="C54" s="150">
        <v>0</v>
      </c>
      <c r="D54" s="150">
        <v>0</v>
      </c>
      <c r="E54" s="150">
        <v>0</v>
      </c>
      <c r="F54" s="150">
        <v>0</v>
      </c>
      <c r="G54" s="150">
        <v>0</v>
      </c>
      <c r="H54" s="150">
        <v>0</v>
      </c>
      <c r="I54" s="150">
        <v>0</v>
      </c>
      <c r="J54" s="151">
        <f>M14+D54+G54</f>
        <v>27000</v>
      </c>
      <c r="N54" s="33" t="s">
        <v>14</v>
      </c>
    </row>
    <row r="55" spans="1:14" x14ac:dyDescent="0.2">
      <c r="A55" s="127" t="s">
        <v>161</v>
      </c>
      <c r="B55" s="150">
        <v>0</v>
      </c>
      <c r="C55" s="150">
        <v>0</v>
      </c>
      <c r="D55" s="156">
        <v>0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2" t="str">
        <f>M15</f>
        <v>[4,000]</v>
      </c>
      <c r="N55" s="33" t="s">
        <v>14</v>
      </c>
    </row>
    <row r="56" spans="1:14" x14ac:dyDescent="0.2">
      <c r="A56" s="127" t="s">
        <v>164</v>
      </c>
      <c r="B56" s="150">
        <v>0</v>
      </c>
      <c r="C56" s="150">
        <v>0</v>
      </c>
      <c r="D56" s="150">
        <v>0</v>
      </c>
      <c r="E56" s="150">
        <v>0</v>
      </c>
      <c r="F56" s="150">
        <v>0</v>
      </c>
      <c r="G56" s="150">
        <v>-3000</v>
      </c>
      <c r="H56" s="150">
        <v>0</v>
      </c>
      <c r="I56" s="150">
        <v>0</v>
      </c>
      <c r="J56" s="151">
        <f t="shared" ref="J56:J71" si="4">M16+D56+G56</f>
        <v>33000</v>
      </c>
      <c r="N56" s="33" t="s">
        <v>14</v>
      </c>
    </row>
    <row r="57" spans="1:14" x14ac:dyDescent="0.2">
      <c r="A57" s="127" t="s">
        <v>165</v>
      </c>
      <c r="B57" s="150">
        <v>0</v>
      </c>
      <c r="C57" s="150">
        <v>0</v>
      </c>
      <c r="D57" s="150">
        <v>2000</v>
      </c>
      <c r="E57" s="150">
        <v>0</v>
      </c>
      <c r="F57" s="150">
        <v>0</v>
      </c>
      <c r="G57" s="150">
        <v>0</v>
      </c>
      <c r="H57" s="150">
        <v>0</v>
      </c>
      <c r="I57" s="150">
        <v>0</v>
      </c>
      <c r="J57" s="151">
        <f t="shared" si="4"/>
        <v>11000</v>
      </c>
      <c r="N57" s="33" t="s">
        <v>14</v>
      </c>
    </row>
    <row r="58" spans="1:14" x14ac:dyDescent="0.2">
      <c r="A58" s="127" t="s">
        <v>166</v>
      </c>
      <c r="B58" s="150">
        <v>0</v>
      </c>
      <c r="C58" s="150">
        <v>0</v>
      </c>
      <c r="D58" s="150">
        <v>5500</v>
      </c>
      <c r="E58" s="150">
        <v>0</v>
      </c>
      <c r="F58" s="150">
        <v>0</v>
      </c>
      <c r="G58" s="150">
        <v>0</v>
      </c>
      <c r="H58" s="150">
        <v>0</v>
      </c>
      <c r="I58" s="150">
        <v>0</v>
      </c>
      <c r="J58" s="151">
        <f t="shared" si="4"/>
        <v>42500</v>
      </c>
      <c r="N58" s="33" t="s">
        <v>14</v>
      </c>
    </row>
    <row r="59" spans="1:14" x14ac:dyDescent="0.2">
      <c r="A59" s="127" t="s">
        <v>167</v>
      </c>
      <c r="B59" s="150">
        <v>0</v>
      </c>
      <c r="C59" s="150">
        <v>0</v>
      </c>
      <c r="D59" s="150"/>
      <c r="E59" s="150">
        <v>0</v>
      </c>
      <c r="F59" s="150">
        <v>0</v>
      </c>
      <c r="G59" s="150">
        <v>0</v>
      </c>
      <c r="H59" s="150">
        <v>0</v>
      </c>
      <c r="I59" s="150">
        <v>0</v>
      </c>
      <c r="J59" s="151">
        <f t="shared" si="4"/>
        <v>4250</v>
      </c>
      <c r="N59" s="33" t="s">
        <v>14</v>
      </c>
    </row>
    <row r="60" spans="1:14" ht="28.5" x14ac:dyDescent="0.2">
      <c r="A60" s="130" t="s">
        <v>168</v>
      </c>
      <c r="B60" s="150">
        <v>0</v>
      </c>
      <c r="C60" s="150">
        <v>0</v>
      </c>
      <c r="D60" s="150">
        <v>1000</v>
      </c>
      <c r="E60" s="150">
        <v>0</v>
      </c>
      <c r="F60" s="150">
        <v>0</v>
      </c>
      <c r="G60" s="150">
        <v>0</v>
      </c>
      <c r="H60" s="150">
        <v>0</v>
      </c>
      <c r="I60" s="150">
        <v>0</v>
      </c>
      <c r="J60" s="151">
        <f t="shared" si="4"/>
        <v>16000</v>
      </c>
      <c r="N60" s="33" t="s">
        <v>14</v>
      </c>
    </row>
    <row r="61" spans="1:14" ht="28.5" x14ac:dyDescent="0.2">
      <c r="A61" s="130" t="s">
        <v>169</v>
      </c>
      <c r="B61" s="150">
        <v>0</v>
      </c>
      <c r="C61" s="150">
        <v>0</v>
      </c>
      <c r="D61" s="150">
        <v>0</v>
      </c>
      <c r="E61" s="150">
        <v>0</v>
      </c>
      <c r="F61" s="150">
        <v>0</v>
      </c>
      <c r="G61" s="150">
        <v>0</v>
      </c>
      <c r="H61" s="150">
        <v>0</v>
      </c>
      <c r="I61" s="150">
        <v>0</v>
      </c>
      <c r="J61" s="151">
        <f t="shared" si="4"/>
        <v>0</v>
      </c>
      <c r="N61" s="33" t="s">
        <v>14</v>
      </c>
    </row>
    <row r="62" spans="1:14" x14ac:dyDescent="0.2">
      <c r="A62" s="127" t="s">
        <v>170</v>
      </c>
      <c r="B62" s="150">
        <v>0</v>
      </c>
      <c r="C62" s="150">
        <v>0</v>
      </c>
      <c r="D62" s="150">
        <v>0</v>
      </c>
      <c r="E62" s="150">
        <v>0</v>
      </c>
      <c r="F62" s="150">
        <v>0</v>
      </c>
      <c r="G62" s="150">
        <v>0</v>
      </c>
      <c r="H62" s="150">
        <v>0</v>
      </c>
      <c r="I62" s="150">
        <v>0</v>
      </c>
      <c r="J62" s="151">
        <f t="shared" si="4"/>
        <v>0</v>
      </c>
      <c r="N62" s="33" t="s">
        <v>14</v>
      </c>
    </row>
    <row r="63" spans="1:14" x14ac:dyDescent="0.2">
      <c r="A63" s="127" t="s">
        <v>171</v>
      </c>
      <c r="B63" s="150">
        <v>0</v>
      </c>
      <c r="C63" s="150">
        <v>0</v>
      </c>
      <c r="D63" s="150">
        <v>0</v>
      </c>
      <c r="E63" s="150">
        <v>0</v>
      </c>
      <c r="F63" s="150">
        <v>0</v>
      </c>
      <c r="G63" s="150">
        <v>0</v>
      </c>
      <c r="H63" s="150">
        <v>0</v>
      </c>
      <c r="I63" s="150">
        <v>0</v>
      </c>
      <c r="J63" s="151">
        <f t="shared" si="4"/>
        <v>5750</v>
      </c>
      <c r="N63" s="33" t="s">
        <v>14</v>
      </c>
    </row>
    <row r="64" spans="1:14" x14ac:dyDescent="0.2">
      <c r="A64" s="127" t="s">
        <v>172</v>
      </c>
      <c r="B64" s="150">
        <v>0</v>
      </c>
      <c r="C64" s="150">
        <v>0</v>
      </c>
      <c r="D64" s="150">
        <v>0</v>
      </c>
      <c r="E64" s="150">
        <v>0</v>
      </c>
      <c r="F64" s="150">
        <v>0</v>
      </c>
      <c r="G64" s="150">
        <v>0</v>
      </c>
      <c r="H64" s="150">
        <v>0</v>
      </c>
      <c r="I64" s="150">
        <v>0</v>
      </c>
      <c r="J64" s="151">
        <f t="shared" si="4"/>
        <v>10000</v>
      </c>
      <c r="N64" s="33" t="s">
        <v>14</v>
      </c>
    </row>
    <row r="65" spans="1:14" x14ac:dyDescent="0.2">
      <c r="A65" s="127" t="s">
        <v>173</v>
      </c>
      <c r="B65" s="150">
        <v>0</v>
      </c>
      <c r="C65" s="150">
        <v>0</v>
      </c>
      <c r="D65" s="150">
        <v>0</v>
      </c>
      <c r="E65" s="150">
        <v>0</v>
      </c>
      <c r="F65" s="150">
        <v>0</v>
      </c>
      <c r="G65" s="150">
        <v>0</v>
      </c>
      <c r="H65" s="150">
        <v>0</v>
      </c>
      <c r="I65" s="150">
        <v>0</v>
      </c>
      <c r="J65" s="151">
        <f t="shared" si="4"/>
        <v>0</v>
      </c>
      <c r="N65" s="33" t="s">
        <v>14</v>
      </c>
    </row>
    <row r="66" spans="1:14" ht="28.5" x14ac:dyDescent="0.2">
      <c r="A66" s="130" t="s">
        <v>174</v>
      </c>
      <c r="B66" s="150">
        <v>0</v>
      </c>
      <c r="C66" s="150">
        <v>0</v>
      </c>
      <c r="D66" s="150">
        <v>0</v>
      </c>
      <c r="E66" s="150">
        <v>0</v>
      </c>
      <c r="F66" s="150">
        <v>0</v>
      </c>
      <c r="G66" s="150">
        <v>0</v>
      </c>
      <c r="H66" s="150">
        <v>0</v>
      </c>
      <c r="I66" s="150">
        <v>0</v>
      </c>
      <c r="J66" s="151">
        <f t="shared" si="4"/>
        <v>0</v>
      </c>
      <c r="N66" s="33" t="s">
        <v>14</v>
      </c>
    </row>
    <row r="67" spans="1:14" x14ac:dyDescent="0.2">
      <c r="A67" s="127" t="s">
        <v>175</v>
      </c>
      <c r="B67" s="150">
        <v>0</v>
      </c>
      <c r="C67" s="150">
        <v>0</v>
      </c>
      <c r="D67" s="150">
        <v>0</v>
      </c>
      <c r="E67" s="150">
        <v>0</v>
      </c>
      <c r="F67" s="150">
        <v>0</v>
      </c>
      <c r="G67" s="150">
        <v>0</v>
      </c>
      <c r="H67" s="150">
        <v>0</v>
      </c>
      <c r="I67" s="150">
        <v>0</v>
      </c>
      <c r="J67" s="151">
        <f t="shared" si="4"/>
        <v>0</v>
      </c>
      <c r="N67" s="33" t="s">
        <v>14</v>
      </c>
    </row>
    <row r="68" spans="1:14" x14ac:dyDescent="0.2">
      <c r="A68" s="127" t="s">
        <v>176</v>
      </c>
      <c r="B68" s="150">
        <v>0</v>
      </c>
      <c r="C68" s="150">
        <v>0</v>
      </c>
      <c r="D68" s="150">
        <v>0</v>
      </c>
      <c r="E68" s="150">
        <v>0</v>
      </c>
      <c r="F68" s="150">
        <v>0</v>
      </c>
      <c r="G68" s="150">
        <v>0</v>
      </c>
      <c r="H68" s="150">
        <v>0</v>
      </c>
      <c r="I68" s="150">
        <v>0</v>
      </c>
      <c r="J68" s="151">
        <f t="shared" si="4"/>
        <v>0</v>
      </c>
      <c r="N68" s="33" t="s">
        <v>14</v>
      </c>
    </row>
    <row r="69" spans="1:14" ht="28.5" x14ac:dyDescent="0.2">
      <c r="A69" s="130" t="s">
        <v>177</v>
      </c>
      <c r="B69" s="150">
        <v>0</v>
      </c>
      <c r="C69" s="150">
        <v>0</v>
      </c>
      <c r="D69" s="150">
        <v>0</v>
      </c>
      <c r="E69" s="150">
        <v>0</v>
      </c>
      <c r="F69" s="150">
        <v>0</v>
      </c>
      <c r="G69" s="150">
        <v>0</v>
      </c>
      <c r="H69" s="150">
        <v>0</v>
      </c>
      <c r="I69" s="150">
        <v>0</v>
      </c>
      <c r="J69" s="151">
        <f t="shared" si="4"/>
        <v>500</v>
      </c>
      <c r="N69" s="33" t="s">
        <v>14</v>
      </c>
    </row>
    <row r="70" spans="1:14" ht="28.5" x14ac:dyDescent="0.2">
      <c r="A70" s="130" t="s">
        <v>178</v>
      </c>
      <c r="B70" s="150">
        <v>0</v>
      </c>
      <c r="C70" s="150">
        <v>0</v>
      </c>
      <c r="D70" s="150">
        <v>0</v>
      </c>
      <c r="E70" s="150">
        <v>0</v>
      </c>
      <c r="F70" s="150">
        <v>0</v>
      </c>
      <c r="G70" s="150">
        <v>0</v>
      </c>
      <c r="H70" s="150">
        <v>0</v>
      </c>
      <c r="I70" s="150">
        <v>0</v>
      </c>
      <c r="J70" s="151">
        <f t="shared" si="4"/>
        <v>1000</v>
      </c>
      <c r="N70" s="33" t="s">
        <v>14</v>
      </c>
    </row>
    <row r="71" spans="1:14" ht="28.5" x14ac:dyDescent="0.2">
      <c r="A71" s="130" t="s">
        <v>179</v>
      </c>
      <c r="B71" s="150">
        <v>0</v>
      </c>
      <c r="C71" s="150">
        <v>0</v>
      </c>
      <c r="D71" s="150">
        <v>0</v>
      </c>
      <c r="E71" s="150">
        <v>0</v>
      </c>
      <c r="F71" s="150">
        <v>0</v>
      </c>
      <c r="G71" s="150">
        <v>0</v>
      </c>
      <c r="H71" s="150">
        <v>0</v>
      </c>
      <c r="I71" s="150">
        <v>0</v>
      </c>
      <c r="J71" s="151">
        <f t="shared" si="4"/>
        <v>500</v>
      </c>
      <c r="N71" s="33" t="s">
        <v>14</v>
      </c>
    </row>
    <row r="72" spans="1:14" ht="28.5" x14ac:dyDescent="0.2">
      <c r="A72" s="130" t="s">
        <v>180</v>
      </c>
      <c r="B72" s="150">
        <v>0</v>
      </c>
      <c r="C72" s="150">
        <v>0</v>
      </c>
      <c r="D72" s="150">
        <v>0</v>
      </c>
      <c r="E72" s="150">
        <v>0</v>
      </c>
      <c r="F72" s="150">
        <v>0</v>
      </c>
      <c r="G72" s="150">
        <v>0</v>
      </c>
      <c r="H72" s="150">
        <v>0</v>
      </c>
      <c r="I72" s="150">
        <v>0</v>
      </c>
      <c r="J72" s="152" t="s">
        <v>211</v>
      </c>
      <c r="N72" s="33" t="s">
        <v>14</v>
      </c>
    </row>
    <row r="73" spans="1:14" x14ac:dyDescent="0.2">
      <c r="A73" s="153" t="s">
        <v>181</v>
      </c>
      <c r="B73" s="150">
        <v>0</v>
      </c>
      <c r="C73" s="150">
        <v>0</v>
      </c>
      <c r="D73" s="150">
        <v>0</v>
      </c>
      <c r="E73" s="150">
        <v>0</v>
      </c>
      <c r="F73" s="150">
        <v>0</v>
      </c>
      <c r="G73" s="150">
        <v>0</v>
      </c>
      <c r="H73" s="150">
        <v>0</v>
      </c>
      <c r="I73" s="150">
        <v>0</v>
      </c>
      <c r="J73" s="152" t="s">
        <v>212</v>
      </c>
      <c r="N73" s="33" t="s">
        <v>14</v>
      </c>
    </row>
    <row r="74" spans="1:14" ht="28.5" hidden="1" x14ac:dyDescent="0.2">
      <c r="A74" s="130" t="s">
        <v>182</v>
      </c>
      <c r="B74" s="150">
        <v>0</v>
      </c>
      <c r="C74" s="150">
        <v>0</v>
      </c>
      <c r="D74" s="150">
        <v>0</v>
      </c>
      <c r="E74" s="150">
        <v>0</v>
      </c>
      <c r="F74" s="150">
        <v>0</v>
      </c>
      <c r="G74" s="150">
        <v>0</v>
      </c>
      <c r="H74" s="150">
        <v>0</v>
      </c>
      <c r="I74" s="150">
        <v>0</v>
      </c>
      <c r="J74" s="152" t="s">
        <v>183</v>
      </c>
      <c r="N74" s="33" t="s">
        <v>14</v>
      </c>
    </row>
    <row r="75" spans="1:14" ht="18" x14ac:dyDescent="0.25">
      <c r="A75" s="13" t="s">
        <v>120</v>
      </c>
      <c r="B75" s="83">
        <f t="shared" ref="B75:I75" si="5">SUM(B49:B74)</f>
        <v>0</v>
      </c>
      <c r="C75" s="83">
        <f t="shared" si="5"/>
        <v>0</v>
      </c>
      <c r="D75" s="83">
        <f t="shared" si="5"/>
        <v>8750</v>
      </c>
      <c r="E75" s="83">
        <f t="shared" si="5"/>
        <v>0</v>
      </c>
      <c r="F75" s="83">
        <f t="shared" si="5"/>
        <v>0</v>
      </c>
      <c r="G75" s="83">
        <f t="shared" si="5"/>
        <v>-3250</v>
      </c>
      <c r="H75" s="83">
        <f t="shared" si="5"/>
        <v>0</v>
      </c>
      <c r="I75" s="83">
        <f t="shared" si="5"/>
        <v>0</v>
      </c>
      <c r="J75" s="84">
        <f>SUM(J49:J74)</f>
        <v>422500</v>
      </c>
      <c r="K75" s="154"/>
      <c r="N75" s="33" t="s">
        <v>14</v>
      </c>
    </row>
    <row r="76" spans="1:14" ht="15" x14ac:dyDescent="0.25">
      <c r="A76" s="155" t="s">
        <v>119</v>
      </c>
      <c r="B76" s="85"/>
      <c r="C76" s="85"/>
      <c r="D76" s="125">
        <v>0</v>
      </c>
      <c r="E76" s="85"/>
      <c r="F76" s="85"/>
      <c r="G76" s="125">
        <v>-12200</v>
      </c>
      <c r="H76" s="85"/>
      <c r="I76" s="85"/>
      <c r="J76" s="126">
        <v>-12200</v>
      </c>
      <c r="N76" s="33" t="s">
        <v>14</v>
      </c>
    </row>
    <row r="77" spans="1:14" ht="15" x14ac:dyDescent="0.25">
      <c r="A77" s="137" t="s">
        <v>135</v>
      </c>
      <c r="B77" s="24"/>
      <c r="C77" s="24"/>
      <c r="D77" s="138">
        <f>SUM(D75:D76)</f>
        <v>8750</v>
      </c>
      <c r="E77" s="24"/>
      <c r="F77" s="24"/>
      <c r="G77" s="24">
        <f>SUM(G75:G76)</f>
        <v>-15450</v>
      </c>
      <c r="H77" s="24"/>
      <c r="I77" s="24"/>
      <c r="J77" s="25">
        <f>SUM(J75:J76)</f>
        <v>410300</v>
      </c>
      <c r="N77" s="33" t="s">
        <v>14</v>
      </c>
    </row>
    <row r="78" spans="1:14" x14ac:dyDescent="0.2">
      <c r="A78" s="140" t="s">
        <v>21</v>
      </c>
      <c r="B78" s="141"/>
      <c r="C78" s="141">
        <v>0</v>
      </c>
      <c r="D78" s="141"/>
      <c r="E78" s="141"/>
      <c r="F78" s="141">
        <v>0</v>
      </c>
      <c r="G78" s="141"/>
      <c r="H78" s="141"/>
      <c r="I78" s="141">
        <f t="shared" ref="I78:I84" si="6">L39+C78+F78</f>
        <v>0</v>
      </c>
      <c r="J78" s="142"/>
      <c r="N78" s="33" t="s">
        <v>14</v>
      </c>
    </row>
    <row r="79" spans="1:14" x14ac:dyDescent="0.2">
      <c r="A79" s="127" t="s">
        <v>121</v>
      </c>
      <c r="B79" s="107"/>
      <c r="C79" s="107">
        <f>C75+C78</f>
        <v>0</v>
      </c>
      <c r="D79" s="107"/>
      <c r="E79" s="107"/>
      <c r="F79" s="107">
        <f>F75+F78</f>
        <v>0</v>
      </c>
      <c r="G79" s="107"/>
      <c r="H79" s="107"/>
      <c r="I79" s="107">
        <f t="shared" si="6"/>
        <v>0</v>
      </c>
      <c r="J79" s="128"/>
      <c r="N79" s="33" t="s">
        <v>14</v>
      </c>
    </row>
    <row r="80" spans="1:14" x14ac:dyDescent="0.2">
      <c r="A80" s="127"/>
      <c r="B80" s="107"/>
      <c r="C80" s="107"/>
      <c r="D80" s="107"/>
      <c r="E80" s="107"/>
      <c r="F80" s="107"/>
      <c r="G80" s="107"/>
      <c r="H80" s="107"/>
      <c r="I80" s="107">
        <f t="shared" si="6"/>
        <v>0</v>
      </c>
      <c r="J80" s="128"/>
      <c r="N80" s="33" t="s">
        <v>14</v>
      </c>
    </row>
    <row r="81" spans="1:14" x14ac:dyDescent="0.2">
      <c r="A81" s="127" t="s">
        <v>22</v>
      </c>
      <c r="B81" s="107"/>
      <c r="C81" s="107"/>
      <c r="D81" s="107"/>
      <c r="E81" s="107"/>
      <c r="F81" s="107"/>
      <c r="G81" s="107"/>
      <c r="H81" s="107"/>
      <c r="I81" s="107">
        <f t="shared" si="6"/>
        <v>0</v>
      </c>
      <c r="J81" s="128"/>
      <c r="N81" s="33" t="s">
        <v>14</v>
      </c>
    </row>
    <row r="82" spans="1:14" x14ac:dyDescent="0.2">
      <c r="A82" s="143" t="s">
        <v>23</v>
      </c>
      <c r="B82" s="107"/>
      <c r="C82" s="107">
        <v>0</v>
      </c>
      <c r="D82" s="107"/>
      <c r="E82" s="107"/>
      <c r="F82" s="107">
        <v>0</v>
      </c>
      <c r="G82" s="107"/>
      <c r="H82" s="107"/>
      <c r="I82" s="107">
        <f t="shared" si="6"/>
        <v>0</v>
      </c>
      <c r="J82" s="128"/>
      <c r="N82" s="33" t="s">
        <v>14</v>
      </c>
    </row>
    <row r="83" spans="1:14" x14ac:dyDescent="0.2">
      <c r="A83" s="144" t="s">
        <v>24</v>
      </c>
      <c r="B83" s="145"/>
      <c r="C83" s="145">
        <v>0</v>
      </c>
      <c r="D83" s="145"/>
      <c r="E83" s="145"/>
      <c r="F83" s="145">
        <v>0</v>
      </c>
      <c r="G83" s="145"/>
      <c r="H83" s="145"/>
      <c r="I83" s="145">
        <f t="shared" si="6"/>
        <v>0</v>
      </c>
      <c r="J83" s="146"/>
      <c r="N83" s="33" t="s">
        <v>14</v>
      </c>
    </row>
    <row r="84" spans="1:14" ht="15" thickBot="1" x14ac:dyDescent="0.25">
      <c r="A84" s="147" t="s">
        <v>122</v>
      </c>
      <c r="B84" s="148"/>
      <c r="C84" s="148">
        <f>C79+C82+C83</f>
        <v>0</v>
      </c>
      <c r="D84" s="148"/>
      <c r="E84" s="148"/>
      <c r="F84" s="148">
        <f>F79+F82+F83</f>
        <v>0</v>
      </c>
      <c r="G84" s="148"/>
      <c r="H84" s="148"/>
      <c r="I84" s="148">
        <f t="shared" si="6"/>
        <v>0</v>
      </c>
      <c r="J84" s="149"/>
      <c r="N84" s="33" t="s">
        <v>14</v>
      </c>
    </row>
    <row r="85" spans="1:14" x14ac:dyDescent="0.2">
      <c r="N85" s="4" t="s">
        <v>15</v>
      </c>
    </row>
    <row r="86" spans="1:14" x14ac:dyDescent="0.2">
      <c r="A86" s="116"/>
    </row>
  </sheetData>
  <mergeCells count="15">
    <mergeCell ref="A47:A48"/>
    <mergeCell ref="B47:D47"/>
    <mergeCell ref="E47:G47"/>
    <mergeCell ref="H47:J47"/>
    <mergeCell ref="A1:M1"/>
    <mergeCell ref="A2:M2"/>
    <mergeCell ref="A3:M3"/>
    <mergeCell ref="A4:M4"/>
    <mergeCell ref="A5:M5"/>
    <mergeCell ref="A6:M6"/>
    <mergeCell ref="A7:A8"/>
    <mergeCell ref="B7:D7"/>
    <mergeCell ref="E7:G7"/>
    <mergeCell ref="H7:J7"/>
    <mergeCell ref="K7:M7"/>
  </mergeCells>
  <printOptions horizontalCentered="1"/>
  <pageMargins left="0.7" right="0.7" top="0.75" bottom="0.75" header="0.3" footer="0.3"/>
  <pageSetup scale="67" orientation="landscape" r:id="rId1"/>
  <headerFooter>
    <oddHeader>&amp;L&amp;"Arial,Bold"&amp;12B. Summary of Requirements</oddHeader>
    <oddFooter>&amp;C&amp;"Arial,Regular"Exhibit B - Summary of Requirements</oddFooter>
  </headerFooter>
  <rowBreaks count="1" manualBreakCount="1">
    <brk id="4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opLeftCell="A5" zoomScaleNormal="100" zoomScaleSheetLayoutView="80" workbookViewId="0">
      <selection activeCell="N58" sqref="N58"/>
    </sheetView>
  </sheetViews>
  <sheetFormatPr defaultRowHeight="14.25" x14ac:dyDescent="0.2"/>
  <cols>
    <col min="1" max="1" width="37.140625" style="100" customWidth="1"/>
    <col min="2" max="2" width="17" style="100" hidden="1" customWidth="1"/>
    <col min="3" max="5" width="8.7109375" style="100" customWidth="1"/>
    <col min="6" max="6" width="12.7109375" style="100" customWidth="1"/>
    <col min="7" max="9" width="8.7109375" style="100" hidden="1" customWidth="1"/>
    <col min="10" max="10" width="12.7109375" style="100" hidden="1" customWidth="1"/>
    <col min="11" max="13" width="8.7109375" style="100" customWidth="1"/>
    <col min="14" max="14" width="12.7109375" style="100" customWidth="1"/>
    <col min="15" max="15" width="14" style="4" bestFit="1" customWidth="1"/>
    <col min="16" max="16" width="4.5703125" style="100" customWidth="1"/>
    <col min="17" max="18" width="8.28515625" style="100" customWidth="1"/>
    <col min="19" max="19" width="12.7109375" style="100" customWidth="1"/>
    <col min="20" max="21" width="8.28515625" style="100" customWidth="1"/>
    <col min="22" max="22" width="12.7109375" style="100" customWidth="1"/>
    <col min="23" max="16384" width="9.140625" style="100"/>
  </cols>
  <sheetData>
    <row r="1" spans="1:22" ht="18" x14ac:dyDescent="0.25">
      <c r="A1" s="250" t="s">
        <v>194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17" t="s">
        <v>14</v>
      </c>
      <c r="P1" s="6"/>
      <c r="Q1" s="6"/>
      <c r="R1" s="6"/>
      <c r="S1" s="6"/>
      <c r="T1" s="6"/>
      <c r="U1" s="6"/>
      <c r="V1" s="6"/>
    </row>
    <row r="2" spans="1:22" ht="18" x14ac:dyDescent="0.25">
      <c r="A2" s="251" t="str">
        <f>'[3]B. Summ of Req.'!A2:D2</f>
        <v>Office on Violence Against Women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17" t="s">
        <v>14</v>
      </c>
      <c r="P2" s="7"/>
      <c r="Q2" s="7"/>
      <c r="R2" s="7"/>
      <c r="S2" s="7"/>
      <c r="T2" s="7"/>
      <c r="U2" s="7"/>
      <c r="V2" s="7"/>
    </row>
    <row r="3" spans="1:22" ht="18" x14ac:dyDescent="0.25">
      <c r="A3" s="252" t="str">
        <f>'[3]B. Summ of Req.'!A3:D3</f>
        <v>Grant Programs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17" t="s">
        <v>14</v>
      </c>
      <c r="P3" s="119"/>
      <c r="Q3" s="119"/>
      <c r="R3" s="119"/>
      <c r="S3" s="119"/>
      <c r="T3" s="119"/>
      <c r="U3" s="119"/>
      <c r="V3" s="119"/>
    </row>
    <row r="4" spans="1:22" ht="18" x14ac:dyDescent="0.25">
      <c r="A4" s="261" t="s">
        <v>1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17" t="s">
        <v>14</v>
      </c>
      <c r="P4" s="118"/>
      <c r="Q4" s="118"/>
      <c r="R4" s="118"/>
      <c r="S4" s="118"/>
      <c r="T4" s="118"/>
      <c r="U4" s="118"/>
      <c r="V4" s="118"/>
    </row>
    <row r="5" spans="1:22" ht="18" x14ac:dyDescent="0.25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17" t="s">
        <v>14</v>
      </c>
      <c r="P5" s="118"/>
      <c r="Q5" s="118"/>
      <c r="R5" s="118"/>
      <c r="S5" s="118"/>
      <c r="T5" s="118"/>
      <c r="U5" s="118"/>
      <c r="V5" s="118"/>
    </row>
    <row r="6" spans="1:22" ht="33.75" hidden="1" customHeight="1" x14ac:dyDescent="0.25">
      <c r="A6" s="262" t="s">
        <v>26</v>
      </c>
      <c r="B6" s="263" t="s">
        <v>124</v>
      </c>
      <c r="G6" s="265" t="s">
        <v>18</v>
      </c>
      <c r="H6" s="266"/>
      <c r="I6" s="266"/>
      <c r="J6" s="267"/>
      <c r="K6" s="34"/>
      <c r="L6" s="34"/>
      <c r="M6" s="34"/>
      <c r="N6" s="62"/>
      <c r="O6" s="17" t="s">
        <v>14</v>
      </c>
    </row>
    <row r="7" spans="1:22" ht="28.5" hidden="1" x14ac:dyDescent="0.25">
      <c r="A7" s="258"/>
      <c r="B7" s="264"/>
      <c r="C7" s="122" t="s">
        <v>2</v>
      </c>
      <c r="D7" s="122" t="s">
        <v>34</v>
      </c>
      <c r="E7" s="122" t="s">
        <v>134</v>
      </c>
      <c r="F7" s="122" t="s">
        <v>3</v>
      </c>
      <c r="G7" s="122" t="s">
        <v>2</v>
      </c>
      <c r="H7" s="122" t="s">
        <v>34</v>
      </c>
      <c r="I7" s="122" t="s">
        <v>134</v>
      </c>
      <c r="J7" s="123" t="s">
        <v>3</v>
      </c>
      <c r="K7" s="158"/>
      <c r="L7" s="158"/>
      <c r="M7" s="158"/>
      <c r="N7" s="62"/>
      <c r="O7" s="17" t="s">
        <v>14</v>
      </c>
    </row>
    <row r="8" spans="1:22" ht="18" hidden="1" x14ac:dyDescent="0.25">
      <c r="A8" s="159" t="s">
        <v>5</v>
      </c>
      <c r="B8" s="160"/>
      <c r="C8" s="125">
        <v>0</v>
      </c>
      <c r="D8" s="125">
        <v>0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6">
        <v>0</v>
      </c>
      <c r="K8" s="161"/>
      <c r="L8" s="161"/>
      <c r="M8" s="161"/>
      <c r="N8" s="161"/>
      <c r="O8" s="17" t="s">
        <v>14</v>
      </c>
    </row>
    <row r="9" spans="1:22" ht="18" hidden="1" x14ac:dyDescent="0.25">
      <c r="A9" s="127" t="s">
        <v>6</v>
      </c>
      <c r="B9" s="162"/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28">
        <v>0</v>
      </c>
      <c r="K9" s="161"/>
      <c r="L9" s="161"/>
      <c r="M9" s="161"/>
      <c r="N9" s="161"/>
      <c r="O9" s="17" t="s">
        <v>14</v>
      </c>
    </row>
    <row r="10" spans="1:22" ht="18" hidden="1" x14ac:dyDescent="0.25">
      <c r="A10" s="127" t="s">
        <v>7</v>
      </c>
      <c r="B10" s="162"/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28">
        <v>0</v>
      </c>
      <c r="K10" s="161"/>
      <c r="L10" s="161"/>
      <c r="M10" s="161"/>
      <c r="N10" s="161"/>
      <c r="O10" s="17" t="s">
        <v>14</v>
      </c>
    </row>
    <row r="11" spans="1:22" ht="18" hidden="1" x14ac:dyDescent="0.25">
      <c r="A11" s="163" t="s">
        <v>27</v>
      </c>
      <c r="B11" s="164"/>
      <c r="C11" s="138">
        <v>0</v>
      </c>
      <c r="D11" s="138">
        <v>0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9">
        <v>0</v>
      </c>
      <c r="K11" s="161"/>
      <c r="L11" s="161"/>
      <c r="M11" s="161"/>
      <c r="N11" s="161"/>
      <c r="O11" s="17" t="s">
        <v>14</v>
      </c>
    </row>
    <row r="12" spans="1:22" ht="18.75" hidden="1" thickBot="1" x14ac:dyDescent="0.3">
      <c r="A12" s="21" t="s">
        <v>32</v>
      </c>
      <c r="B12" s="22"/>
      <c r="C12" s="29">
        <f>SUM(C8:C11)</f>
        <v>0</v>
      </c>
      <c r="D12" s="29">
        <f>SUM(D8:D11)</f>
        <v>0</v>
      </c>
      <c r="E12" s="29">
        <f t="shared" ref="E12:F12" si="0">SUM(E8:E11)</f>
        <v>0</v>
      </c>
      <c r="F12" s="29">
        <f t="shared" si="0"/>
        <v>0</v>
      </c>
      <c r="G12" s="29">
        <f>SUM(G8:G11)</f>
        <v>0</v>
      </c>
      <c r="H12" s="29">
        <f>SUM(H8:H11)</f>
        <v>0</v>
      </c>
      <c r="I12" s="29">
        <f t="shared" ref="I12:J12" si="1">SUM(I8:I11)</f>
        <v>0</v>
      </c>
      <c r="J12" s="92">
        <f t="shared" si="1"/>
        <v>0</v>
      </c>
      <c r="K12" s="39"/>
      <c r="L12" s="39"/>
      <c r="M12" s="39"/>
      <c r="N12" s="39"/>
      <c r="O12" s="17" t="s">
        <v>14</v>
      </c>
    </row>
    <row r="13" spans="1:22" ht="18.75" thickBot="1" x14ac:dyDescent="0.3">
      <c r="O13" s="17" t="s">
        <v>14</v>
      </c>
    </row>
    <row r="14" spans="1:22" ht="33.75" customHeight="1" x14ac:dyDescent="0.25">
      <c r="A14" s="257" t="s">
        <v>26</v>
      </c>
      <c r="B14" s="268" t="s">
        <v>124</v>
      </c>
      <c r="C14" s="270" t="s">
        <v>155</v>
      </c>
      <c r="D14" s="271"/>
      <c r="E14" s="271"/>
      <c r="F14" s="272"/>
      <c r="G14" s="259" t="s">
        <v>19</v>
      </c>
      <c r="H14" s="259"/>
      <c r="I14" s="259"/>
      <c r="J14" s="259"/>
      <c r="K14" s="259" t="s">
        <v>28</v>
      </c>
      <c r="L14" s="259"/>
      <c r="M14" s="259"/>
      <c r="N14" s="260"/>
      <c r="O14" s="17" t="s">
        <v>14</v>
      </c>
    </row>
    <row r="15" spans="1:22" ht="28.5" x14ac:dyDescent="0.25">
      <c r="A15" s="258"/>
      <c r="B15" s="269"/>
      <c r="C15" s="122" t="s">
        <v>2</v>
      </c>
      <c r="D15" s="122" t="s">
        <v>34</v>
      </c>
      <c r="E15" s="122" t="s">
        <v>134</v>
      </c>
      <c r="F15" s="122" t="s">
        <v>3</v>
      </c>
      <c r="G15" s="122" t="s">
        <v>2</v>
      </c>
      <c r="H15" s="122" t="s">
        <v>34</v>
      </c>
      <c r="I15" s="122" t="s">
        <v>134</v>
      </c>
      <c r="J15" s="122" t="s">
        <v>3</v>
      </c>
      <c r="K15" s="122" t="s">
        <v>2</v>
      </c>
      <c r="L15" s="122" t="s">
        <v>34</v>
      </c>
      <c r="M15" s="122" t="s">
        <v>134</v>
      </c>
      <c r="N15" s="123" t="s">
        <v>3</v>
      </c>
      <c r="O15" s="17" t="s">
        <v>14</v>
      </c>
    </row>
    <row r="16" spans="1:22" ht="18" hidden="1" x14ac:dyDescent="0.25">
      <c r="A16" s="127"/>
      <c r="B16" s="165"/>
      <c r="C16" s="169"/>
      <c r="D16" s="169"/>
      <c r="E16" s="169"/>
      <c r="F16" s="125"/>
      <c r="G16" s="125"/>
      <c r="H16" s="125"/>
      <c r="I16" s="125"/>
      <c r="J16" s="125"/>
      <c r="K16" s="125"/>
      <c r="L16" s="125"/>
      <c r="M16" s="125"/>
      <c r="N16" s="126"/>
      <c r="O16" s="17"/>
    </row>
    <row r="17" spans="1:15" ht="18" hidden="1" x14ac:dyDescent="0.25">
      <c r="A17" s="127" t="s">
        <v>159</v>
      </c>
      <c r="B17" s="165"/>
      <c r="C17" s="169">
        <v>0</v>
      </c>
      <c r="D17" s="169">
        <v>0</v>
      </c>
      <c r="E17" s="169">
        <v>0</v>
      </c>
      <c r="F17" s="125">
        <v>0</v>
      </c>
      <c r="G17" s="125"/>
      <c r="H17" s="125"/>
      <c r="I17" s="125"/>
      <c r="J17" s="125"/>
      <c r="K17" s="125">
        <v>0</v>
      </c>
      <c r="L17" s="125">
        <v>0</v>
      </c>
      <c r="M17" s="125">
        <v>0</v>
      </c>
      <c r="N17" s="126">
        <f t="shared" ref="N17:N18" si="2">+F17+J17</f>
        <v>0</v>
      </c>
      <c r="O17" s="17"/>
    </row>
    <row r="18" spans="1:15" ht="18" x14ac:dyDescent="0.25">
      <c r="A18" s="127" t="s">
        <v>157</v>
      </c>
      <c r="B18" s="165"/>
      <c r="C18" s="169">
        <v>0</v>
      </c>
      <c r="D18" s="169">
        <v>0</v>
      </c>
      <c r="E18" s="169">
        <v>0</v>
      </c>
      <c r="F18" s="125">
        <v>250</v>
      </c>
      <c r="G18" s="125"/>
      <c r="H18" s="125"/>
      <c r="I18" s="125"/>
      <c r="J18" s="125"/>
      <c r="K18" s="125">
        <v>0</v>
      </c>
      <c r="L18" s="125">
        <v>0</v>
      </c>
      <c r="M18" s="125">
        <v>0</v>
      </c>
      <c r="N18" s="126">
        <f t="shared" si="2"/>
        <v>250</v>
      </c>
      <c r="O18" s="17"/>
    </row>
    <row r="19" spans="1:15" ht="18" hidden="1" x14ac:dyDescent="0.25">
      <c r="A19" s="127" t="s">
        <v>161</v>
      </c>
      <c r="B19" s="165"/>
      <c r="C19" s="169">
        <v>0</v>
      </c>
      <c r="D19" s="169">
        <v>0</v>
      </c>
      <c r="E19" s="169">
        <v>0</v>
      </c>
      <c r="F19" s="170">
        <v>0</v>
      </c>
      <c r="G19" s="125"/>
      <c r="H19" s="125"/>
      <c r="I19" s="125"/>
      <c r="J19" s="125"/>
      <c r="K19" s="125">
        <v>0</v>
      </c>
      <c r="L19" s="125">
        <v>0</v>
      </c>
      <c r="M19" s="125">
        <v>0</v>
      </c>
      <c r="N19" s="245"/>
      <c r="O19" s="17"/>
    </row>
    <row r="20" spans="1:15" ht="18" hidden="1" x14ac:dyDescent="0.25">
      <c r="A20" s="127" t="s">
        <v>164</v>
      </c>
      <c r="B20" s="165"/>
      <c r="C20" s="169">
        <v>0</v>
      </c>
      <c r="D20" s="169">
        <v>0</v>
      </c>
      <c r="E20" s="169">
        <v>0</v>
      </c>
      <c r="F20" s="125">
        <v>0</v>
      </c>
      <c r="G20" s="125"/>
      <c r="H20" s="125"/>
      <c r="I20" s="125"/>
      <c r="J20" s="125"/>
      <c r="K20" s="125">
        <v>0</v>
      </c>
      <c r="L20" s="125">
        <v>0</v>
      </c>
      <c r="M20" s="125">
        <v>0</v>
      </c>
      <c r="N20" s="126"/>
      <c r="O20" s="17"/>
    </row>
    <row r="21" spans="1:15" ht="18" x14ac:dyDescent="0.25">
      <c r="A21" s="127" t="s">
        <v>165</v>
      </c>
      <c r="B21" s="165"/>
      <c r="C21" s="169">
        <v>0</v>
      </c>
      <c r="D21" s="169">
        <v>0</v>
      </c>
      <c r="E21" s="169">
        <v>0</v>
      </c>
      <c r="F21" s="125">
        <v>2000</v>
      </c>
      <c r="G21" s="125"/>
      <c r="H21" s="125"/>
      <c r="I21" s="125"/>
      <c r="J21" s="125"/>
      <c r="K21" s="125">
        <v>0</v>
      </c>
      <c r="L21" s="125">
        <v>0</v>
      </c>
      <c r="M21" s="125">
        <v>0</v>
      </c>
      <c r="N21" s="126">
        <f>+F21+J21</f>
        <v>2000</v>
      </c>
      <c r="O21" s="17"/>
    </row>
    <row r="22" spans="1:15" ht="18" x14ac:dyDescent="0.25">
      <c r="A22" s="127" t="s">
        <v>166</v>
      </c>
      <c r="B22" s="165"/>
      <c r="C22" s="169">
        <v>0</v>
      </c>
      <c r="D22" s="169">
        <v>0</v>
      </c>
      <c r="E22" s="169">
        <v>0</v>
      </c>
      <c r="F22" s="125">
        <v>5500</v>
      </c>
      <c r="G22" s="125"/>
      <c r="H22" s="125"/>
      <c r="I22" s="125"/>
      <c r="J22" s="125"/>
      <c r="K22" s="125">
        <v>0</v>
      </c>
      <c r="L22" s="125">
        <v>0</v>
      </c>
      <c r="M22" s="125">
        <v>0</v>
      </c>
      <c r="N22" s="126">
        <f t="shared" ref="N22:N29" si="3">+F22+J22</f>
        <v>5500</v>
      </c>
      <c r="O22" s="17"/>
    </row>
    <row r="23" spans="1:15" ht="18" hidden="1" x14ac:dyDescent="0.25">
      <c r="A23" s="127" t="s">
        <v>167</v>
      </c>
      <c r="B23" s="165"/>
      <c r="C23" s="169">
        <v>0</v>
      </c>
      <c r="D23" s="169">
        <v>0</v>
      </c>
      <c r="E23" s="169">
        <v>0</v>
      </c>
      <c r="F23" s="125">
        <v>0</v>
      </c>
      <c r="G23" s="125"/>
      <c r="H23" s="125"/>
      <c r="I23" s="125"/>
      <c r="J23" s="125"/>
      <c r="K23" s="125">
        <v>0</v>
      </c>
      <c r="L23" s="125">
        <v>0</v>
      </c>
      <c r="M23" s="125">
        <v>0</v>
      </c>
      <c r="N23" s="126">
        <f t="shared" si="3"/>
        <v>0</v>
      </c>
      <c r="O23" s="17"/>
    </row>
    <row r="24" spans="1:15" ht="28.5" x14ac:dyDescent="0.25">
      <c r="A24" s="130" t="s">
        <v>168</v>
      </c>
      <c r="B24" s="165"/>
      <c r="C24" s="169">
        <v>0</v>
      </c>
      <c r="D24" s="169">
        <v>0</v>
      </c>
      <c r="E24" s="169">
        <v>0</v>
      </c>
      <c r="F24" s="125">
        <v>1000</v>
      </c>
      <c r="G24" s="125"/>
      <c r="H24" s="125"/>
      <c r="I24" s="125"/>
      <c r="J24" s="125"/>
      <c r="K24" s="125">
        <v>0</v>
      </c>
      <c r="L24" s="125">
        <v>0</v>
      </c>
      <c r="M24" s="125">
        <v>0</v>
      </c>
      <c r="N24" s="126">
        <f t="shared" si="3"/>
        <v>1000</v>
      </c>
      <c r="O24" s="17"/>
    </row>
    <row r="25" spans="1:15" ht="18" hidden="1" x14ac:dyDescent="0.25">
      <c r="A25" s="127"/>
      <c r="B25" s="165"/>
      <c r="C25" s="169">
        <v>0</v>
      </c>
      <c r="D25" s="169">
        <v>0</v>
      </c>
      <c r="E25" s="169">
        <v>0</v>
      </c>
      <c r="F25" s="125">
        <v>0</v>
      </c>
      <c r="G25" s="125"/>
      <c r="H25" s="125"/>
      <c r="I25" s="125"/>
      <c r="J25" s="125"/>
      <c r="K25" s="125">
        <v>0</v>
      </c>
      <c r="L25" s="125">
        <v>0</v>
      </c>
      <c r="M25" s="125">
        <v>0</v>
      </c>
      <c r="N25" s="126">
        <f t="shared" si="3"/>
        <v>0</v>
      </c>
      <c r="O25" s="17"/>
    </row>
    <row r="26" spans="1:15" ht="18" hidden="1" x14ac:dyDescent="0.25">
      <c r="A26" s="127"/>
      <c r="B26" s="165"/>
      <c r="C26" s="170">
        <v>0</v>
      </c>
      <c r="D26" s="170">
        <v>0</v>
      </c>
      <c r="E26" s="170">
        <v>0</v>
      </c>
      <c r="F26" s="125">
        <v>0</v>
      </c>
      <c r="G26" s="166"/>
      <c r="H26" s="166"/>
      <c r="I26" s="166"/>
      <c r="J26" s="166"/>
      <c r="K26" s="125">
        <v>0</v>
      </c>
      <c r="L26" s="125">
        <v>0</v>
      </c>
      <c r="M26" s="125">
        <v>0</v>
      </c>
      <c r="N26" s="126">
        <f t="shared" si="3"/>
        <v>0</v>
      </c>
      <c r="O26" s="17"/>
    </row>
    <row r="27" spans="1:15" ht="18" hidden="1" x14ac:dyDescent="0.25">
      <c r="A27" s="130"/>
      <c r="B27" s="165"/>
      <c r="C27" s="170">
        <v>0</v>
      </c>
      <c r="D27" s="170">
        <v>0</v>
      </c>
      <c r="E27" s="170">
        <v>0</v>
      </c>
      <c r="F27" s="125">
        <v>0</v>
      </c>
      <c r="G27" s="166"/>
      <c r="H27" s="166"/>
      <c r="I27" s="166"/>
      <c r="J27" s="166"/>
      <c r="K27" s="125">
        <v>0</v>
      </c>
      <c r="L27" s="125">
        <v>0</v>
      </c>
      <c r="M27" s="125">
        <v>0</v>
      </c>
      <c r="N27" s="126">
        <f t="shared" si="3"/>
        <v>0</v>
      </c>
      <c r="O27" s="17"/>
    </row>
    <row r="28" spans="1:15" ht="18" hidden="1" x14ac:dyDescent="0.25">
      <c r="A28" s="130"/>
      <c r="B28" s="160"/>
      <c r="C28" s="173">
        <v>0</v>
      </c>
      <c r="D28" s="173">
        <v>0</v>
      </c>
      <c r="E28" s="173">
        <v>0</v>
      </c>
      <c r="F28" s="125">
        <v>0</v>
      </c>
      <c r="G28" s="125">
        <v>0</v>
      </c>
      <c r="H28" s="125">
        <v>0</v>
      </c>
      <c r="I28" s="125">
        <v>0</v>
      </c>
      <c r="J28" s="125">
        <v>0</v>
      </c>
      <c r="K28" s="171">
        <f t="shared" ref="K28:M31" si="4">C8+G8+C28+G28</f>
        <v>0</v>
      </c>
      <c r="L28" s="171">
        <f t="shared" si="4"/>
        <v>0</v>
      </c>
      <c r="M28" s="171">
        <f t="shared" si="4"/>
        <v>0</v>
      </c>
      <c r="N28" s="126">
        <f t="shared" si="3"/>
        <v>0</v>
      </c>
      <c r="O28" s="17" t="s">
        <v>14</v>
      </c>
    </row>
    <row r="29" spans="1:15" ht="18" hidden="1" x14ac:dyDescent="0.25">
      <c r="A29" s="130"/>
      <c r="B29" s="162"/>
      <c r="C29" s="172">
        <v>0</v>
      </c>
      <c r="D29" s="172">
        <v>0</v>
      </c>
      <c r="E29" s="172">
        <v>0</v>
      </c>
      <c r="F29" s="125">
        <v>0</v>
      </c>
      <c r="G29" s="107">
        <v>0</v>
      </c>
      <c r="H29" s="107">
        <v>0</v>
      </c>
      <c r="I29" s="107">
        <v>0</v>
      </c>
      <c r="J29" s="107">
        <v>0</v>
      </c>
      <c r="K29" s="141">
        <f t="shared" si="4"/>
        <v>0</v>
      </c>
      <c r="L29" s="141">
        <f t="shared" si="4"/>
        <v>0</v>
      </c>
      <c r="M29" s="141">
        <f t="shared" si="4"/>
        <v>0</v>
      </c>
      <c r="N29" s="126">
        <f t="shared" si="3"/>
        <v>0</v>
      </c>
      <c r="O29" s="17" t="s">
        <v>14</v>
      </c>
    </row>
    <row r="30" spans="1:15" ht="28.5" hidden="1" x14ac:dyDescent="0.25">
      <c r="A30" s="130" t="s">
        <v>182</v>
      </c>
      <c r="B30" s="162"/>
      <c r="C30" s="107">
        <v>0</v>
      </c>
      <c r="D30" s="107">
        <v>0</v>
      </c>
      <c r="E30" s="107">
        <v>0</v>
      </c>
      <c r="F30" s="129" t="s">
        <v>183</v>
      </c>
      <c r="G30" s="107">
        <v>0</v>
      </c>
      <c r="H30" s="107">
        <v>0</v>
      </c>
      <c r="I30" s="107">
        <v>0</v>
      </c>
      <c r="J30" s="107">
        <v>0</v>
      </c>
      <c r="K30" s="107">
        <f t="shared" si="4"/>
        <v>0</v>
      </c>
      <c r="L30" s="107">
        <f t="shared" si="4"/>
        <v>0</v>
      </c>
      <c r="M30" s="107">
        <f t="shared" si="4"/>
        <v>0</v>
      </c>
      <c r="N30" s="128">
        <v>0</v>
      </c>
      <c r="O30" s="17" t="s">
        <v>14</v>
      </c>
    </row>
    <row r="31" spans="1:15" ht="18" hidden="1" x14ac:dyDescent="0.25">
      <c r="A31" s="163" t="s">
        <v>27</v>
      </c>
      <c r="B31" s="164"/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f t="shared" si="4"/>
        <v>0</v>
      </c>
      <c r="L31" s="138">
        <f t="shared" si="4"/>
        <v>0</v>
      </c>
      <c r="M31" s="138">
        <f t="shared" si="4"/>
        <v>0</v>
      </c>
      <c r="N31" s="139">
        <f>F11+J11+F31+J31</f>
        <v>0</v>
      </c>
      <c r="O31" s="17" t="s">
        <v>14</v>
      </c>
    </row>
    <row r="32" spans="1:15" ht="18.75" thickBot="1" x14ac:dyDescent="0.3">
      <c r="A32" s="21" t="s">
        <v>32</v>
      </c>
      <c r="B32" s="22"/>
      <c r="C32" s="29">
        <f t="shared" ref="C32:E32" si="5">SUM(C26:C31)</f>
        <v>0</v>
      </c>
      <c r="D32" s="29">
        <f t="shared" si="5"/>
        <v>0</v>
      </c>
      <c r="E32" s="29">
        <f t="shared" si="5"/>
        <v>0</v>
      </c>
      <c r="F32" s="29">
        <f>SUM(F16:F31)</f>
        <v>8750</v>
      </c>
      <c r="G32" s="29">
        <f>SUM(G28:G31)</f>
        <v>0</v>
      </c>
      <c r="H32" s="29">
        <f>SUM(H28:H31)</f>
        <v>0</v>
      </c>
      <c r="I32" s="29">
        <f t="shared" ref="I32:J32" si="6">SUM(I28:I31)</f>
        <v>0</v>
      </c>
      <c r="J32" s="29">
        <f t="shared" si="6"/>
        <v>0</v>
      </c>
      <c r="K32" s="29">
        <f t="shared" ref="K32:M32" si="7">SUM(K26:K31)</f>
        <v>0</v>
      </c>
      <c r="L32" s="29">
        <f t="shared" si="7"/>
        <v>0</v>
      </c>
      <c r="M32" s="29">
        <f t="shared" si="7"/>
        <v>0</v>
      </c>
      <c r="N32" s="92">
        <f>SUM(N16:N31)</f>
        <v>8750</v>
      </c>
      <c r="O32" s="17" t="s">
        <v>14</v>
      </c>
    </row>
    <row r="33" spans="1:15" ht="18.75" thickBot="1" x14ac:dyDescent="0.3">
      <c r="O33" s="17" t="s">
        <v>14</v>
      </c>
    </row>
    <row r="34" spans="1:15" ht="33.75" hidden="1" customHeight="1" x14ac:dyDescent="0.25">
      <c r="A34" s="257" t="s">
        <v>30</v>
      </c>
      <c r="B34" s="268" t="s">
        <v>124</v>
      </c>
      <c r="C34" s="259" t="s">
        <v>17</v>
      </c>
      <c r="D34" s="259"/>
      <c r="E34" s="259"/>
      <c r="F34" s="259"/>
      <c r="G34" s="259" t="s">
        <v>18</v>
      </c>
      <c r="H34" s="259"/>
      <c r="I34" s="259"/>
      <c r="J34" s="260"/>
      <c r="K34" s="34"/>
      <c r="L34" s="34"/>
      <c r="M34" s="34"/>
      <c r="N34" s="62"/>
      <c r="O34" s="17" t="s">
        <v>14</v>
      </c>
    </row>
    <row r="35" spans="1:15" ht="29.25" hidden="1" thickBot="1" x14ac:dyDescent="0.3">
      <c r="A35" s="258"/>
      <c r="B35" s="269"/>
      <c r="C35" s="122" t="s">
        <v>2</v>
      </c>
      <c r="D35" s="122" t="s">
        <v>34</v>
      </c>
      <c r="E35" s="122" t="s">
        <v>134</v>
      </c>
      <c r="F35" s="122" t="s">
        <v>3</v>
      </c>
      <c r="G35" s="122" t="s">
        <v>2</v>
      </c>
      <c r="H35" s="122" t="s">
        <v>34</v>
      </c>
      <c r="I35" s="122" t="s">
        <v>134</v>
      </c>
      <c r="J35" s="123" t="s">
        <v>3</v>
      </c>
      <c r="K35" s="158"/>
      <c r="L35" s="158"/>
      <c r="M35" s="158"/>
      <c r="N35" s="62"/>
      <c r="O35" s="17" t="s">
        <v>14</v>
      </c>
    </row>
    <row r="36" spans="1:15" ht="18.75" hidden="1" thickBot="1" x14ac:dyDescent="0.3">
      <c r="A36" s="159" t="s">
        <v>9</v>
      </c>
      <c r="B36" s="160"/>
      <c r="C36" s="125">
        <v>0</v>
      </c>
      <c r="D36" s="125">
        <v>0</v>
      </c>
      <c r="E36" s="125">
        <v>0</v>
      </c>
      <c r="F36" s="125">
        <v>0</v>
      </c>
      <c r="G36" s="125">
        <v>0</v>
      </c>
      <c r="H36" s="125">
        <v>0</v>
      </c>
      <c r="I36" s="125">
        <v>0</v>
      </c>
      <c r="J36" s="126">
        <v>0</v>
      </c>
      <c r="K36" s="161"/>
      <c r="L36" s="161"/>
      <c r="M36" s="161"/>
      <c r="N36" s="161"/>
      <c r="O36" s="17" t="s">
        <v>14</v>
      </c>
    </row>
    <row r="37" spans="1:15" ht="18.75" hidden="1" thickBot="1" x14ac:dyDescent="0.3">
      <c r="A37" s="127" t="s">
        <v>10</v>
      </c>
      <c r="B37" s="162"/>
      <c r="C37" s="107">
        <v>0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J37" s="128">
        <v>0</v>
      </c>
      <c r="K37" s="161"/>
      <c r="L37" s="161"/>
      <c r="M37" s="161"/>
      <c r="N37" s="161"/>
      <c r="O37" s="17" t="s">
        <v>14</v>
      </c>
    </row>
    <row r="38" spans="1:15" ht="18.75" hidden="1" thickBot="1" x14ac:dyDescent="0.3">
      <c r="A38" s="127" t="s">
        <v>11</v>
      </c>
      <c r="B38" s="162"/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28">
        <v>0</v>
      </c>
      <c r="K38" s="161"/>
      <c r="L38" s="161"/>
      <c r="M38" s="161"/>
      <c r="N38" s="161"/>
      <c r="O38" s="17" t="s">
        <v>14</v>
      </c>
    </row>
    <row r="39" spans="1:15" ht="18.75" hidden="1" thickBot="1" x14ac:dyDescent="0.3">
      <c r="A39" s="163" t="s">
        <v>31</v>
      </c>
      <c r="B39" s="164"/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9">
        <v>0</v>
      </c>
      <c r="K39" s="161"/>
      <c r="L39" s="161"/>
      <c r="M39" s="161"/>
      <c r="N39" s="161"/>
      <c r="O39" s="17" t="s">
        <v>14</v>
      </c>
    </row>
    <row r="40" spans="1:15" ht="18.75" hidden="1" thickBot="1" x14ac:dyDescent="0.3">
      <c r="A40" s="21" t="s">
        <v>33</v>
      </c>
      <c r="B40" s="22"/>
      <c r="C40" s="29">
        <f>SUM(C36:C39)</f>
        <v>0</v>
      </c>
      <c r="D40" s="29">
        <f>SUM(D36:D39)</f>
        <v>0</v>
      </c>
      <c r="E40" s="29">
        <f t="shared" ref="E40:F40" si="8">SUM(E36:E39)</f>
        <v>0</v>
      </c>
      <c r="F40" s="29">
        <f t="shared" si="8"/>
        <v>0</v>
      </c>
      <c r="G40" s="29">
        <f>SUM(G36:G39)</f>
        <v>0</v>
      </c>
      <c r="H40" s="29">
        <f>SUM(H36:H39)</f>
        <v>0</v>
      </c>
      <c r="I40" s="29">
        <f t="shared" ref="I40:J40" si="9">SUM(I36:I39)</f>
        <v>0</v>
      </c>
      <c r="J40" s="92">
        <f t="shared" si="9"/>
        <v>0</v>
      </c>
      <c r="K40" s="39"/>
      <c r="L40" s="39"/>
      <c r="M40" s="39"/>
      <c r="N40" s="39"/>
      <c r="O40" s="17" t="s">
        <v>14</v>
      </c>
    </row>
    <row r="41" spans="1:15" ht="18.75" hidden="1" thickBot="1" x14ac:dyDescent="0.3">
      <c r="O41" s="17" t="s">
        <v>14</v>
      </c>
    </row>
    <row r="42" spans="1:15" ht="33.75" customHeight="1" x14ac:dyDescent="0.25">
      <c r="A42" s="257" t="s">
        <v>30</v>
      </c>
      <c r="B42" s="268" t="s">
        <v>124</v>
      </c>
      <c r="C42" s="270" t="s">
        <v>155</v>
      </c>
      <c r="D42" s="271"/>
      <c r="E42" s="271"/>
      <c r="F42" s="272"/>
      <c r="G42" s="259" t="s">
        <v>19</v>
      </c>
      <c r="H42" s="259"/>
      <c r="I42" s="259"/>
      <c r="J42" s="259"/>
      <c r="K42" s="259" t="s">
        <v>29</v>
      </c>
      <c r="L42" s="259"/>
      <c r="M42" s="259"/>
      <c r="N42" s="260"/>
      <c r="O42" s="17" t="s">
        <v>14</v>
      </c>
    </row>
    <row r="43" spans="1:15" ht="28.5" x14ac:dyDescent="0.25">
      <c r="A43" s="258"/>
      <c r="B43" s="269"/>
      <c r="C43" s="122" t="s">
        <v>2</v>
      </c>
      <c r="D43" s="122" t="s">
        <v>34</v>
      </c>
      <c r="E43" s="122" t="s">
        <v>134</v>
      </c>
      <c r="F43" s="122" t="s">
        <v>3</v>
      </c>
      <c r="G43" s="122" t="s">
        <v>2</v>
      </c>
      <c r="H43" s="122" t="s">
        <v>34</v>
      </c>
      <c r="I43" s="122" t="s">
        <v>134</v>
      </c>
      <c r="J43" s="122" t="s">
        <v>3</v>
      </c>
      <c r="K43" s="122" t="s">
        <v>2</v>
      </c>
      <c r="L43" s="122" t="s">
        <v>34</v>
      </c>
      <c r="M43" s="122" t="s">
        <v>134</v>
      </c>
      <c r="N43" s="123" t="s">
        <v>3</v>
      </c>
      <c r="O43" s="17" t="s">
        <v>14</v>
      </c>
    </row>
    <row r="44" spans="1:15" ht="18" hidden="1" x14ac:dyDescent="0.25">
      <c r="A44" s="184"/>
      <c r="B44" s="240"/>
      <c r="C44" s="175">
        <v>0</v>
      </c>
      <c r="D44" s="175">
        <v>0</v>
      </c>
      <c r="E44" s="175">
        <v>0</v>
      </c>
      <c r="F44" s="176">
        <v>0</v>
      </c>
      <c r="G44" s="174"/>
      <c r="H44" s="174"/>
      <c r="I44" s="174"/>
      <c r="J44" s="174"/>
      <c r="K44" s="175">
        <v>0</v>
      </c>
      <c r="L44" s="175">
        <v>0</v>
      </c>
      <c r="M44" s="175">
        <v>0</v>
      </c>
      <c r="N44" s="246">
        <f t="shared" ref="N44:N46" si="10">+F44+J44</f>
        <v>0</v>
      </c>
      <c r="O44" s="17"/>
    </row>
    <row r="45" spans="1:15" ht="18" x14ac:dyDescent="0.25">
      <c r="A45" s="127" t="s">
        <v>158</v>
      </c>
      <c r="B45" s="240"/>
      <c r="C45" s="175">
        <v>0</v>
      </c>
      <c r="D45" s="175">
        <v>0</v>
      </c>
      <c r="E45" s="175">
        <v>0</v>
      </c>
      <c r="F45" s="176">
        <v>-250</v>
      </c>
      <c r="G45" s="174"/>
      <c r="H45" s="174"/>
      <c r="I45" s="174"/>
      <c r="J45" s="174"/>
      <c r="K45" s="175">
        <v>0</v>
      </c>
      <c r="L45" s="175">
        <v>0</v>
      </c>
      <c r="M45" s="175">
        <v>0</v>
      </c>
      <c r="N45" s="246">
        <f t="shared" si="10"/>
        <v>-250</v>
      </c>
      <c r="O45" s="17"/>
    </row>
    <row r="46" spans="1:15" ht="18" x14ac:dyDescent="0.25">
      <c r="A46" s="127" t="s">
        <v>213</v>
      </c>
      <c r="B46" s="240"/>
      <c r="C46" s="175">
        <v>0</v>
      </c>
      <c r="D46" s="175">
        <v>0</v>
      </c>
      <c r="E46" s="175">
        <v>0</v>
      </c>
      <c r="F46" s="176">
        <v>-3000</v>
      </c>
      <c r="G46" s="174"/>
      <c r="H46" s="174"/>
      <c r="I46" s="174"/>
      <c r="J46" s="174"/>
      <c r="K46" s="175">
        <v>0</v>
      </c>
      <c r="L46" s="175">
        <v>0</v>
      </c>
      <c r="M46" s="175">
        <v>0</v>
      </c>
      <c r="N46" s="246">
        <f t="shared" si="10"/>
        <v>-3000</v>
      </c>
      <c r="O46" s="17"/>
    </row>
    <row r="47" spans="1:15" ht="18" hidden="1" x14ac:dyDescent="0.25">
      <c r="A47" s="167"/>
      <c r="B47" s="164"/>
      <c r="C47" s="138"/>
      <c r="D47" s="138"/>
      <c r="E47" s="138"/>
      <c r="F47" s="138"/>
      <c r="G47" s="138">
        <v>0</v>
      </c>
      <c r="H47" s="138">
        <v>0</v>
      </c>
      <c r="I47" s="138">
        <v>0</v>
      </c>
      <c r="J47" s="138">
        <v>0</v>
      </c>
      <c r="K47" s="138">
        <f>C39+G39+C47+G47</f>
        <v>0</v>
      </c>
      <c r="L47" s="138">
        <f>D39+H39+D47+H47</f>
        <v>0</v>
      </c>
      <c r="M47" s="138">
        <f>E39+I39+E47+I47</f>
        <v>0</v>
      </c>
      <c r="N47" s="139">
        <f>F39+J39+F47+J47</f>
        <v>0</v>
      </c>
      <c r="O47" s="17" t="s">
        <v>14</v>
      </c>
    </row>
    <row r="48" spans="1:15" ht="18.75" thickBot="1" x14ac:dyDescent="0.3">
      <c r="A48" s="21" t="s">
        <v>33</v>
      </c>
      <c r="B48" s="22"/>
      <c r="C48" s="29">
        <f>SUM(C47:C47)</f>
        <v>0</v>
      </c>
      <c r="D48" s="29">
        <f>SUM(D47:D47)</f>
        <v>0</v>
      </c>
      <c r="E48" s="29">
        <f>SUM(E47:E47)</f>
        <v>0</v>
      </c>
      <c r="F48" s="29">
        <f>SUM(F44:F47)</f>
        <v>-3250</v>
      </c>
      <c r="G48" s="29">
        <f>SUM(G47:G47)</f>
        <v>0</v>
      </c>
      <c r="H48" s="29">
        <f>SUM(H47:H47)</f>
        <v>0</v>
      </c>
      <c r="I48" s="29">
        <f>SUM(I47:I47)</f>
        <v>0</v>
      </c>
      <c r="J48" s="29">
        <f>SUM(J47:J47)</f>
        <v>0</v>
      </c>
      <c r="K48" s="29">
        <f>SUM(K47:K47)</f>
        <v>0</v>
      </c>
      <c r="L48" s="29">
        <v>0</v>
      </c>
      <c r="M48" s="29">
        <f>SUM(M47:M47)</f>
        <v>0</v>
      </c>
      <c r="N48" s="92">
        <f>SUM(N44:N47)</f>
        <v>-3250</v>
      </c>
      <c r="O48" s="17" t="s">
        <v>14</v>
      </c>
    </row>
    <row r="49" spans="2:15" x14ac:dyDescent="0.2">
      <c r="O49" s="4" t="s">
        <v>15</v>
      </c>
    </row>
    <row r="50" spans="2:15" x14ac:dyDescent="0.2">
      <c r="B50" s="168"/>
    </row>
  </sheetData>
  <mergeCells count="22">
    <mergeCell ref="K14:N14"/>
    <mergeCell ref="A42:A43"/>
    <mergeCell ref="B42:B43"/>
    <mergeCell ref="C42:F42"/>
    <mergeCell ref="G42:J42"/>
    <mergeCell ref="K42:N42"/>
    <mergeCell ref="A34:A35"/>
    <mergeCell ref="B34:B35"/>
    <mergeCell ref="C34:F34"/>
    <mergeCell ref="G34:J34"/>
    <mergeCell ref="A1:N1"/>
    <mergeCell ref="A2:N2"/>
    <mergeCell ref="A3:N3"/>
    <mergeCell ref="A4:N4"/>
    <mergeCell ref="A5:N5"/>
    <mergeCell ref="A6:A7"/>
    <mergeCell ref="B6:B7"/>
    <mergeCell ref="G6:J6"/>
    <mergeCell ref="A14:A15"/>
    <mergeCell ref="B14:B15"/>
    <mergeCell ref="C14:F14"/>
    <mergeCell ref="G14:J14"/>
  </mergeCells>
  <printOptions horizontalCentered="1"/>
  <pageMargins left="0.7" right="0.7" top="0.66" bottom="0.65" header="0.3" footer="0.3"/>
  <pageSetup scale="95" orientation="landscape" r:id="rId1"/>
  <headerFooter>
    <oddHeader xml:space="preserve">&amp;L&amp;"Arial,Bold"&amp;12C. Program Changes by Decision Unit
</oddHeader>
    <oddFooter>&amp;C&amp;"Arial,Regular"Exhibit C - Program Changes by Decision Unit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opLeftCell="A19" zoomScaleNormal="100" zoomScaleSheetLayoutView="100" workbookViewId="0">
      <selection activeCell="B20" sqref="B20"/>
    </sheetView>
  </sheetViews>
  <sheetFormatPr defaultRowHeight="14.25" x14ac:dyDescent="0.2"/>
  <cols>
    <col min="1" max="1" width="7.42578125" style="100" bestFit="1" customWidth="1"/>
    <col min="2" max="2" width="59.42578125" style="100" customWidth="1"/>
    <col min="3" max="3" width="8.7109375" style="100" customWidth="1"/>
    <col min="4" max="4" width="12.7109375" style="100" customWidth="1"/>
    <col min="5" max="5" width="8.7109375" style="100" customWidth="1"/>
    <col min="6" max="6" width="12.7109375" style="100" customWidth="1"/>
    <col min="7" max="7" width="8.7109375" style="100" customWidth="1"/>
    <col min="8" max="8" width="12.7109375" style="100" customWidth="1"/>
    <col min="9" max="9" width="8.7109375" style="100" customWidth="1"/>
    <col min="10" max="10" width="12.7109375" style="100" customWidth="1"/>
    <col min="11" max="11" width="8.7109375" style="100" customWidth="1"/>
    <col min="12" max="12" width="12.7109375" style="100" customWidth="1"/>
    <col min="13" max="13" width="8.7109375" style="100" customWidth="1"/>
    <col min="14" max="14" width="12.7109375" style="100" customWidth="1"/>
    <col min="15" max="15" width="14" style="4" bestFit="1" customWidth="1"/>
    <col min="16" max="16" width="4.5703125" style="100" customWidth="1"/>
    <col min="17" max="18" width="8.28515625" style="100" customWidth="1"/>
    <col min="19" max="19" width="12.7109375" style="100" customWidth="1"/>
    <col min="20" max="21" width="8.28515625" style="100" customWidth="1"/>
    <col min="22" max="22" width="12.7109375" style="100" customWidth="1"/>
    <col min="23" max="16384" width="9.140625" style="100"/>
  </cols>
  <sheetData>
    <row r="1" spans="1:22" ht="18" x14ac:dyDescent="0.25">
      <c r="A1" s="250" t="s">
        <v>35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33" t="s">
        <v>14</v>
      </c>
      <c r="P1" s="6"/>
      <c r="Q1" s="6"/>
      <c r="R1" s="6"/>
      <c r="S1" s="6"/>
      <c r="T1" s="6"/>
      <c r="U1" s="6"/>
      <c r="V1" s="6"/>
    </row>
    <row r="2" spans="1:22" ht="15" x14ac:dyDescent="0.2">
      <c r="A2" s="251" t="str">
        <f>'[4]B. Summ of Req.'!A2:D2</f>
        <v>Office on Violence Against Women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33" t="s">
        <v>14</v>
      </c>
      <c r="P2" s="7"/>
      <c r="Q2" s="7"/>
      <c r="R2" s="7"/>
      <c r="S2" s="7"/>
      <c r="T2" s="7"/>
      <c r="U2" s="7"/>
      <c r="V2" s="7"/>
    </row>
    <row r="3" spans="1:22" x14ac:dyDescent="0.2">
      <c r="A3" s="252" t="str">
        <f>'[4]B. Summ of Req.'!A3:D3</f>
        <v>Grant Programs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33" t="s">
        <v>14</v>
      </c>
      <c r="P3" s="119"/>
      <c r="Q3" s="119"/>
      <c r="R3" s="119"/>
      <c r="S3" s="119"/>
      <c r="T3" s="119"/>
      <c r="U3" s="119"/>
      <c r="V3" s="119"/>
    </row>
    <row r="4" spans="1:22" x14ac:dyDescent="0.2">
      <c r="A4" s="261" t="s">
        <v>1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33" t="s">
        <v>14</v>
      </c>
      <c r="P4" s="118"/>
      <c r="Q4" s="118"/>
      <c r="R4" s="118"/>
      <c r="S4" s="118"/>
      <c r="T4" s="118"/>
      <c r="U4" s="118"/>
      <c r="V4" s="118"/>
    </row>
    <row r="5" spans="1:22" x14ac:dyDescent="0.2">
      <c r="A5" s="25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33" t="s">
        <v>14</v>
      </c>
      <c r="P5" s="118"/>
      <c r="Q5" s="118"/>
      <c r="R5" s="118"/>
      <c r="S5" s="118"/>
      <c r="T5" s="118"/>
      <c r="U5" s="118"/>
      <c r="V5" s="118"/>
    </row>
    <row r="6" spans="1:22" ht="15" thickBo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33" t="s">
        <v>14</v>
      </c>
      <c r="P6" s="118"/>
      <c r="Q6" s="118"/>
      <c r="R6" s="118"/>
      <c r="S6" s="118"/>
      <c r="T6" s="118"/>
      <c r="U6" s="118"/>
      <c r="V6" s="118"/>
    </row>
    <row r="7" spans="1:22" ht="63.75" customHeight="1" x14ac:dyDescent="0.2">
      <c r="A7" s="277" t="s">
        <v>36</v>
      </c>
      <c r="B7" s="278"/>
      <c r="C7" s="259" t="s">
        <v>201</v>
      </c>
      <c r="D7" s="259"/>
      <c r="E7" s="259" t="s">
        <v>209</v>
      </c>
      <c r="F7" s="259"/>
      <c r="G7" s="259" t="s">
        <v>141</v>
      </c>
      <c r="H7" s="259"/>
      <c r="I7" s="259" t="s">
        <v>146</v>
      </c>
      <c r="J7" s="259"/>
      <c r="K7" s="259" t="s">
        <v>147</v>
      </c>
      <c r="L7" s="259"/>
      <c r="M7" s="259" t="s">
        <v>142</v>
      </c>
      <c r="N7" s="260"/>
      <c r="O7" s="33" t="s">
        <v>14</v>
      </c>
    </row>
    <row r="8" spans="1:22" ht="42.75" x14ac:dyDescent="0.2">
      <c r="A8" s="279"/>
      <c r="B8" s="264"/>
      <c r="C8" s="122" t="s">
        <v>38</v>
      </c>
      <c r="D8" s="122" t="s">
        <v>37</v>
      </c>
      <c r="E8" s="122" t="s">
        <v>38</v>
      </c>
      <c r="F8" s="122" t="s">
        <v>37</v>
      </c>
      <c r="G8" s="122" t="s">
        <v>38</v>
      </c>
      <c r="H8" s="122" t="s">
        <v>37</v>
      </c>
      <c r="I8" s="122" t="s">
        <v>38</v>
      </c>
      <c r="J8" s="122" t="s">
        <v>37</v>
      </c>
      <c r="K8" s="122" t="s">
        <v>38</v>
      </c>
      <c r="L8" s="122" t="s">
        <v>37</v>
      </c>
      <c r="M8" s="122" t="s">
        <v>38</v>
      </c>
      <c r="N8" s="123" t="s">
        <v>37</v>
      </c>
      <c r="O8" s="33" t="s">
        <v>14</v>
      </c>
    </row>
    <row r="9" spans="1:22" ht="45" x14ac:dyDescent="0.2">
      <c r="A9" s="27" t="s">
        <v>39</v>
      </c>
      <c r="B9" s="30" t="s">
        <v>43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8"/>
      <c r="O9" s="33" t="s">
        <v>14</v>
      </c>
    </row>
    <row r="10" spans="1:22" ht="28.5" x14ac:dyDescent="0.2">
      <c r="A10" s="179">
        <v>1.1000000000000001</v>
      </c>
      <c r="B10" s="180" t="s">
        <v>40</v>
      </c>
      <c r="C10" s="107">
        <v>0</v>
      </c>
      <c r="D10" s="181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f>G10+I10+K10</f>
        <v>0</v>
      </c>
      <c r="N10" s="128">
        <f t="shared" ref="N10:N12" si="0">H10+J10+L10</f>
        <v>0</v>
      </c>
      <c r="O10" s="33" t="s">
        <v>14</v>
      </c>
    </row>
    <row r="11" spans="1:22" x14ac:dyDescent="0.2">
      <c r="A11" s="179">
        <v>1.2</v>
      </c>
      <c r="B11" s="182" t="s">
        <v>41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f t="shared" ref="M11:M12" si="1">G11+I11+K11</f>
        <v>0</v>
      </c>
      <c r="N11" s="128">
        <f t="shared" si="0"/>
        <v>0</v>
      </c>
      <c r="O11" s="33" t="s">
        <v>14</v>
      </c>
    </row>
    <row r="12" spans="1:22" x14ac:dyDescent="0.2">
      <c r="A12" s="179">
        <v>1.3</v>
      </c>
      <c r="B12" s="182" t="s">
        <v>42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f t="shared" si="1"/>
        <v>0</v>
      </c>
      <c r="N12" s="128">
        <f t="shared" si="0"/>
        <v>0</v>
      </c>
      <c r="O12" s="33" t="s">
        <v>14</v>
      </c>
    </row>
    <row r="13" spans="1:22" ht="15" x14ac:dyDescent="0.25">
      <c r="A13" s="183"/>
      <c r="B13" s="31" t="s">
        <v>47</v>
      </c>
      <c r="C13" s="24">
        <f>SUM(C10:C12)</f>
        <v>0</v>
      </c>
      <c r="D13" s="24">
        <f t="shared" ref="D13:N13" si="2">SUM(D10:D12)</f>
        <v>0</v>
      </c>
      <c r="E13" s="24">
        <f t="shared" si="2"/>
        <v>0</v>
      </c>
      <c r="F13" s="24">
        <f t="shared" si="2"/>
        <v>0</v>
      </c>
      <c r="G13" s="24">
        <f t="shared" si="2"/>
        <v>0</v>
      </c>
      <c r="H13" s="24">
        <f t="shared" si="2"/>
        <v>0</v>
      </c>
      <c r="I13" s="24">
        <f t="shared" si="2"/>
        <v>0</v>
      </c>
      <c r="J13" s="24">
        <f t="shared" si="2"/>
        <v>0</v>
      </c>
      <c r="K13" s="24">
        <f t="shared" si="2"/>
        <v>0</v>
      </c>
      <c r="L13" s="24">
        <f t="shared" si="2"/>
        <v>0</v>
      </c>
      <c r="M13" s="24">
        <f t="shared" si="2"/>
        <v>0</v>
      </c>
      <c r="N13" s="25">
        <f t="shared" si="2"/>
        <v>0</v>
      </c>
      <c r="O13" s="33" t="s">
        <v>14</v>
      </c>
    </row>
    <row r="14" spans="1:22" ht="30" x14ac:dyDescent="0.2">
      <c r="A14" s="27" t="s">
        <v>44</v>
      </c>
      <c r="B14" s="30" t="s">
        <v>45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8"/>
      <c r="O14" s="33" t="s">
        <v>14</v>
      </c>
    </row>
    <row r="15" spans="1:22" ht="28.5" x14ac:dyDescent="0.2">
      <c r="A15" s="179">
        <v>2.1</v>
      </c>
      <c r="B15" s="180" t="s">
        <v>48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f>G15+I15+K15</f>
        <v>0</v>
      </c>
      <c r="N15" s="128">
        <f t="shared" ref="N15:N20" si="3">H15+J15+L15</f>
        <v>0</v>
      </c>
      <c r="O15" s="33" t="s">
        <v>14</v>
      </c>
    </row>
    <row r="16" spans="1:22" ht="28.5" x14ac:dyDescent="0.2">
      <c r="A16" s="179">
        <v>2.2000000000000002</v>
      </c>
      <c r="B16" s="180" t="s">
        <v>49</v>
      </c>
      <c r="C16" s="107">
        <v>0</v>
      </c>
      <c r="D16" s="107">
        <v>387864</v>
      </c>
      <c r="E16" s="107">
        <v>0</v>
      </c>
      <c r="F16" s="107">
        <v>417000</v>
      </c>
      <c r="G16" s="107">
        <v>0</v>
      </c>
      <c r="H16" s="107">
        <v>417000</v>
      </c>
      <c r="I16" s="107">
        <v>0</v>
      </c>
      <c r="J16" s="107">
        <v>8750</v>
      </c>
      <c r="K16" s="107">
        <v>0</v>
      </c>
      <c r="L16" s="107">
        <v>-3250</v>
      </c>
      <c r="M16" s="107">
        <f t="shared" ref="M16:M20" si="4">G16+I16+K16</f>
        <v>0</v>
      </c>
      <c r="N16" s="128">
        <f t="shared" si="3"/>
        <v>422500</v>
      </c>
      <c r="O16" s="33" t="s">
        <v>14</v>
      </c>
    </row>
    <row r="17" spans="1:15" ht="28.5" x14ac:dyDescent="0.2">
      <c r="A17" s="179">
        <v>2.2999999999999998</v>
      </c>
      <c r="B17" s="180" t="s">
        <v>50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f t="shared" si="4"/>
        <v>0</v>
      </c>
      <c r="N17" s="128">
        <f t="shared" si="3"/>
        <v>0</v>
      </c>
      <c r="O17" s="33" t="s">
        <v>14</v>
      </c>
    </row>
    <row r="18" spans="1:15" ht="28.5" x14ac:dyDescent="0.2">
      <c r="A18" s="179">
        <v>2.4</v>
      </c>
      <c r="B18" s="180" t="s">
        <v>51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f t="shared" si="4"/>
        <v>0</v>
      </c>
      <c r="N18" s="128">
        <f t="shared" si="3"/>
        <v>0</v>
      </c>
      <c r="O18" s="33" t="s">
        <v>14</v>
      </c>
    </row>
    <row r="19" spans="1:15" x14ac:dyDescent="0.2">
      <c r="A19" s="179">
        <v>2.5</v>
      </c>
      <c r="B19" s="182" t="s">
        <v>52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f t="shared" si="4"/>
        <v>0</v>
      </c>
      <c r="N19" s="128">
        <f t="shared" si="3"/>
        <v>0</v>
      </c>
      <c r="O19" s="33" t="s">
        <v>14</v>
      </c>
    </row>
    <row r="20" spans="1:15" ht="28.5" x14ac:dyDescent="0.2">
      <c r="A20" s="179">
        <v>2.6</v>
      </c>
      <c r="B20" s="180" t="s">
        <v>53</v>
      </c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f t="shared" si="4"/>
        <v>0</v>
      </c>
      <c r="N20" s="128">
        <f t="shared" si="3"/>
        <v>0</v>
      </c>
      <c r="O20" s="33" t="s">
        <v>14</v>
      </c>
    </row>
    <row r="21" spans="1:15" ht="15" x14ac:dyDescent="0.25">
      <c r="A21" s="183"/>
      <c r="B21" s="31" t="s">
        <v>46</v>
      </c>
      <c r="C21" s="24">
        <f t="shared" ref="C21:M21" si="5">SUM(C15:C20)</f>
        <v>0</v>
      </c>
      <c r="D21" s="24">
        <f t="shared" si="5"/>
        <v>387864</v>
      </c>
      <c r="E21" s="24">
        <f t="shared" si="5"/>
        <v>0</v>
      </c>
      <c r="F21" s="24">
        <f t="shared" si="5"/>
        <v>417000</v>
      </c>
      <c r="G21" s="24">
        <f t="shared" si="5"/>
        <v>0</v>
      </c>
      <c r="H21" s="24">
        <f t="shared" si="5"/>
        <v>417000</v>
      </c>
      <c r="I21" s="24">
        <f t="shared" si="5"/>
        <v>0</v>
      </c>
      <c r="J21" s="24">
        <f t="shared" si="5"/>
        <v>8750</v>
      </c>
      <c r="K21" s="24">
        <f t="shared" si="5"/>
        <v>0</v>
      </c>
      <c r="L21" s="24">
        <f t="shared" si="5"/>
        <v>-3250</v>
      </c>
      <c r="M21" s="24">
        <f t="shared" si="5"/>
        <v>0</v>
      </c>
      <c r="N21" s="25">
        <f>SUM(N15:N20)</f>
        <v>422500</v>
      </c>
      <c r="O21" s="33" t="s">
        <v>14</v>
      </c>
    </row>
    <row r="22" spans="1:15" ht="45" x14ac:dyDescent="0.2">
      <c r="A22" s="27" t="s">
        <v>54</v>
      </c>
      <c r="B22" s="30" t="s">
        <v>55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8"/>
      <c r="O22" s="33" t="s">
        <v>14</v>
      </c>
    </row>
    <row r="23" spans="1:15" ht="42.75" x14ac:dyDescent="0.2">
      <c r="A23" s="179">
        <v>3.1</v>
      </c>
      <c r="B23" s="180" t="s">
        <v>132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f t="shared" ref="M23:N26" si="6">G23+I23+K23</f>
        <v>0</v>
      </c>
      <c r="N23" s="128">
        <f t="shared" si="6"/>
        <v>0</v>
      </c>
      <c r="O23" s="33" t="s">
        <v>14</v>
      </c>
    </row>
    <row r="24" spans="1:15" ht="57" x14ac:dyDescent="0.2">
      <c r="A24" s="179">
        <v>3.2</v>
      </c>
      <c r="B24" s="180" t="s">
        <v>133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f t="shared" si="6"/>
        <v>0</v>
      </c>
      <c r="N24" s="128">
        <f t="shared" si="6"/>
        <v>0</v>
      </c>
      <c r="O24" s="33" t="s">
        <v>14</v>
      </c>
    </row>
    <row r="25" spans="1:15" ht="42.75" x14ac:dyDescent="0.2">
      <c r="A25" s="179">
        <v>3.3</v>
      </c>
      <c r="B25" s="180" t="s">
        <v>58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f t="shared" si="6"/>
        <v>0</v>
      </c>
      <c r="N25" s="128">
        <f t="shared" si="6"/>
        <v>0</v>
      </c>
      <c r="O25" s="33" t="s">
        <v>14</v>
      </c>
    </row>
    <row r="26" spans="1:15" ht="28.5" x14ac:dyDescent="0.2">
      <c r="A26" s="179">
        <v>3.4</v>
      </c>
      <c r="B26" s="180" t="s">
        <v>59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107">
        <f t="shared" si="6"/>
        <v>0</v>
      </c>
      <c r="N26" s="128">
        <f t="shared" si="6"/>
        <v>0</v>
      </c>
      <c r="O26" s="33" t="s">
        <v>14</v>
      </c>
    </row>
    <row r="27" spans="1:15" ht="15" x14ac:dyDescent="0.25">
      <c r="A27" s="183"/>
      <c r="B27" s="26" t="s">
        <v>56</v>
      </c>
      <c r="C27" s="24">
        <f>SUM(C23:C26)</f>
        <v>0</v>
      </c>
      <c r="D27" s="24">
        <f t="shared" ref="D27:N27" si="7">SUM(D23:D26)</f>
        <v>0</v>
      </c>
      <c r="E27" s="24">
        <f t="shared" si="7"/>
        <v>0</v>
      </c>
      <c r="F27" s="24">
        <f t="shared" si="7"/>
        <v>0</v>
      </c>
      <c r="G27" s="24">
        <f t="shared" si="7"/>
        <v>0</v>
      </c>
      <c r="H27" s="24">
        <f t="shared" si="7"/>
        <v>0</v>
      </c>
      <c r="I27" s="24">
        <f t="shared" si="7"/>
        <v>0</v>
      </c>
      <c r="J27" s="24">
        <f t="shared" si="7"/>
        <v>0</v>
      </c>
      <c r="K27" s="24">
        <f t="shared" si="7"/>
        <v>0</v>
      </c>
      <c r="L27" s="24">
        <f t="shared" si="7"/>
        <v>0</v>
      </c>
      <c r="M27" s="24">
        <f t="shared" si="7"/>
        <v>0</v>
      </c>
      <c r="N27" s="25">
        <f t="shared" si="7"/>
        <v>0</v>
      </c>
      <c r="O27" s="33" t="s">
        <v>14</v>
      </c>
    </row>
    <row r="28" spans="1:15" ht="15" x14ac:dyDescent="0.25">
      <c r="A28" s="184"/>
      <c r="B28" s="185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186"/>
      <c r="O28" s="33"/>
    </row>
    <row r="29" spans="1:15" ht="15.75" thickBot="1" x14ac:dyDescent="0.3">
      <c r="A29" s="187"/>
      <c r="B29" s="28" t="s">
        <v>57</v>
      </c>
      <c r="C29" s="29">
        <f>C27+C21+C13</f>
        <v>0</v>
      </c>
      <c r="D29" s="29">
        <f t="shared" ref="D29:N29" si="8">D27+D21+D13</f>
        <v>387864</v>
      </c>
      <c r="E29" s="29">
        <f t="shared" si="8"/>
        <v>0</v>
      </c>
      <c r="F29" s="29">
        <f t="shared" si="8"/>
        <v>417000</v>
      </c>
      <c r="G29" s="29">
        <f t="shared" si="8"/>
        <v>0</v>
      </c>
      <c r="H29" s="29">
        <f t="shared" si="8"/>
        <v>417000</v>
      </c>
      <c r="I29" s="29">
        <f t="shared" si="8"/>
        <v>0</v>
      </c>
      <c r="J29" s="29">
        <f t="shared" si="8"/>
        <v>8750</v>
      </c>
      <c r="K29" s="29">
        <f t="shared" si="8"/>
        <v>0</v>
      </c>
      <c r="L29" s="29">
        <f t="shared" si="8"/>
        <v>-3250</v>
      </c>
      <c r="M29" s="29">
        <f t="shared" si="8"/>
        <v>0</v>
      </c>
      <c r="N29" s="92">
        <f t="shared" si="8"/>
        <v>422500</v>
      </c>
      <c r="O29" s="33" t="s">
        <v>14</v>
      </c>
    </row>
    <row r="30" spans="1:15" x14ac:dyDescent="0.2">
      <c r="O30" s="33" t="s">
        <v>15</v>
      </c>
    </row>
    <row r="31" spans="1:15" x14ac:dyDescent="0.2">
      <c r="A31" s="248" t="s">
        <v>234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33" t="s">
        <v>14</v>
      </c>
    </row>
    <row r="32" spans="1:15" x14ac:dyDescent="0.2">
      <c r="O32" s="33" t="s">
        <v>15</v>
      </c>
    </row>
    <row r="34" spans="1:3" x14ac:dyDescent="0.2">
      <c r="A34" s="275"/>
      <c r="B34" s="276"/>
      <c r="C34" s="276"/>
    </row>
    <row r="35" spans="1:3" x14ac:dyDescent="0.2">
      <c r="A35" s="276"/>
      <c r="B35" s="276"/>
      <c r="C35" s="276"/>
    </row>
    <row r="36" spans="1:3" x14ac:dyDescent="0.2">
      <c r="A36" s="276"/>
      <c r="B36" s="276"/>
      <c r="C36" s="276"/>
    </row>
  </sheetData>
  <mergeCells count="15">
    <mergeCell ref="M7:N7"/>
    <mergeCell ref="A31:N31"/>
    <mergeCell ref="A34:C36"/>
    <mergeCell ref="A7:B8"/>
    <mergeCell ref="C7:D7"/>
    <mergeCell ref="E7:F7"/>
    <mergeCell ref="G7:H7"/>
    <mergeCell ref="I7:J7"/>
    <mergeCell ref="K7:L7"/>
    <mergeCell ref="A6:N6"/>
    <mergeCell ref="A1:N1"/>
    <mergeCell ref="A2:N2"/>
    <mergeCell ref="A3:N3"/>
    <mergeCell ref="A4:N4"/>
    <mergeCell ref="A5:N5"/>
  </mergeCells>
  <printOptions horizontalCentered="1"/>
  <pageMargins left="0.7" right="0.7" top="0.75" bottom="0.75" header="0.3" footer="0.3"/>
  <pageSetup scale="62" orientation="landscape" r:id="rId1"/>
  <headerFooter>
    <oddHeader>&amp;L&amp;"Arial,Bold"&amp;12D. Resources by DOJ Strategic Goal and Strategic Objective</oddHeader>
    <oddFooter>&amp;C&amp;"Arial,Regular"Exhibit D - Resources by DOJ Strategic Goal and Strategic Objective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view="pageBreakPreview" zoomScale="85" zoomScaleNormal="100" zoomScaleSheetLayoutView="85" workbookViewId="0">
      <selection activeCell="A49" sqref="A49:R49"/>
    </sheetView>
  </sheetViews>
  <sheetFormatPr defaultRowHeight="14.25" x14ac:dyDescent="0.2"/>
  <cols>
    <col min="1" max="1" width="49.85546875" style="9" customWidth="1"/>
    <col min="2" max="3" width="8.28515625" style="9" customWidth="1"/>
    <col min="4" max="4" width="12.7109375" style="9" customWidth="1"/>
    <col min="5" max="5" width="7.140625" style="9" customWidth="1"/>
    <col min="6" max="6" width="8.7109375" style="9" customWidth="1"/>
    <col min="7" max="7" width="9.5703125" style="9" customWidth="1"/>
    <col min="8" max="8" width="7.140625" style="9" customWidth="1"/>
    <col min="9" max="9" width="8.7109375" style="9" customWidth="1"/>
    <col min="10" max="10" width="11" style="9" customWidth="1"/>
    <col min="11" max="12" width="8.28515625" style="9" customWidth="1"/>
    <col min="13" max="13" width="14.140625" style="9" customWidth="1"/>
    <col min="14" max="15" width="12.7109375" style="9" customWidth="1"/>
    <col min="16" max="17" width="8.28515625" style="9" customWidth="1"/>
    <col min="18" max="18" width="12.7109375" style="9" customWidth="1"/>
    <col min="19" max="19" width="14" style="4" bestFit="1" customWidth="1"/>
    <col min="20" max="20" width="4.5703125" style="9" customWidth="1"/>
    <col min="21" max="22" width="8.28515625" style="9" customWidth="1"/>
    <col min="23" max="23" width="12.7109375" style="9" customWidth="1"/>
    <col min="24" max="25" width="8.28515625" style="9" customWidth="1"/>
    <col min="26" max="26" width="12.7109375" style="9" customWidth="1"/>
    <col min="27" max="16384" width="9.140625" style="9"/>
  </cols>
  <sheetData>
    <row r="1" spans="1:26" ht="18" x14ac:dyDescent="0.25">
      <c r="A1" s="250" t="s">
        <v>64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33" t="s">
        <v>14</v>
      </c>
      <c r="T1" s="6"/>
      <c r="U1" s="6"/>
      <c r="V1" s="6"/>
      <c r="W1" s="6"/>
      <c r="X1" s="6"/>
      <c r="Y1" s="6"/>
      <c r="Z1" s="6"/>
    </row>
    <row r="2" spans="1:26" ht="15" x14ac:dyDescent="0.2">
      <c r="A2" s="251" t="str">
        <f>'B. Summ of Req.'!A2:D2</f>
        <v>Office on Violence Against Women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33" t="s">
        <v>14</v>
      </c>
      <c r="T2" s="7"/>
      <c r="U2" s="7"/>
      <c r="V2" s="7"/>
      <c r="W2" s="7"/>
      <c r="X2" s="7"/>
      <c r="Y2" s="7"/>
      <c r="Z2" s="7"/>
    </row>
    <row r="3" spans="1:26" x14ac:dyDescent="0.2">
      <c r="A3" s="280" t="str">
        <f>'B. Summ of Req.'!A3:D3</f>
        <v>Grant Programs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33" t="s">
        <v>14</v>
      </c>
      <c r="T3" s="10"/>
      <c r="U3" s="10"/>
      <c r="V3" s="10"/>
      <c r="W3" s="10"/>
      <c r="X3" s="10"/>
      <c r="Y3" s="10"/>
      <c r="Z3" s="10"/>
    </row>
    <row r="4" spans="1:26" x14ac:dyDescent="0.2">
      <c r="A4" s="281" t="s">
        <v>1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33" t="s">
        <v>14</v>
      </c>
      <c r="T4" s="8"/>
      <c r="U4" s="8"/>
      <c r="V4" s="8"/>
      <c r="W4" s="8"/>
      <c r="X4" s="8"/>
      <c r="Y4" s="8"/>
      <c r="Z4" s="8"/>
    </row>
    <row r="5" spans="1:26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33" t="s">
        <v>14</v>
      </c>
      <c r="T5" s="8"/>
      <c r="U5" s="8"/>
      <c r="V5" s="8"/>
      <c r="W5" s="8"/>
      <c r="X5" s="8"/>
      <c r="Y5" s="8"/>
      <c r="Z5" s="8"/>
    </row>
    <row r="6" spans="1:26" ht="15" thickBo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 t="s">
        <v>14</v>
      </c>
      <c r="T6" s="8"/>
      <c r="U6" s="8"/>
      <c r="V6" s="8"/>
      <c r="W6" s="8"/>
      <c r="X6" s="8"/>
      <c r="Y6" s="8"/>
      <c r="Z6" s="8"/>
    </row>
    <row r="7" spans="1:26" ht="33.75" customHeight="1" x14ac:dyDescent="0.2">
      <c r="A7" s="257" t="s">
        <v>123</v>
      </c>
      <c r="B7" s="259" t="s">
        <v>149</v>
      </c>
      <c r="C7" s="259"/>
      <c r="D7" s="259"/>
      <c r="E7" s="259" t="s">
        <v>119</v>
      </c>
      <c r="F7" s="271"/>
      <c r="G7" s="272"/>
      <c r="H7" s="259" t="s">
        <v>151</v>
      </c>
      <c r="I7" s="271"/>
      <c r="J7" s="272"/>
      <c r="K7" s="259" t="s">
        <v>61</v>
      </c>
      <c r="L7" s="259"/>
      <c r="M7" s="259"/>
      <c r="N7" s="239" t="s">
        <v>62</v>
      </c>
      <c r="O7" s="239" t="s">
        <v>125</v>
      </c>
      <c r="P7" s="259" t="s">
        <v>150</v>
      </c>
      <c r="Q7" s="259"/>
      <c r="R7" s="260"/>
      <c r="S7" s="33" t="s">
        <v>14</v>
      </c>
    </row>
    <row r="8" spans="1:26" ht="28.5" x14ac:dyDescent="0.2">
      <c r="A8" s="258"/>
      <c r="B8" s="11" t="s">
        <v>2</v>
      </c>
      <c r="C8" s="122" t="s">
        <v>118</v>
      </c>
      <c r="D8" s="11" t="s">
        <v>3</v>
      </c>
      <c r="E8" s="11" t="s">
        <v>2</v>
      </c>
      <c r="F8" s="122" t="s">
        <v>118</v>
      </c>
      <c r="G8" s="11" t="s">
        <v>3</v>
      </c>
      <c r="H8" s="11" t="s">
        <v>2</v>
      </c>
      <c r="I8" s="122" t="s">
        <v>118</v>
      </c>
      <c r="J8" s="11" t="s">
        <v>3</v>
      </c>
      <c r="K8" s="11" t="s">
        <v>2</v>
      </c>
      <c r="L8" s="122" t="s">
        <v>118</v>
      </c>
      <c r="M8" s="11" t="s">
        <v>3</v>
      </c>
      <c r="N8" s="18" t="s">
        <v>3</v>
      </c>
      <c r="O8" s="11" t="s">
        <v>3</v>
      </c>
      <c r="P8" s="11" t="s">
        <v>2</v>
      </c>
      <c r="Q8" s="122" t="s">
        <v>118</v>
      </c>
      <c r="R8" s="12" t="s">
        <v>3</v>
      </c>
      <c r="S8" s="33" t="s">
        <v>14</v>
      </c>
    </row>
    <row r="9" spans="1:26" x14ac:dyDescent="0.2">
      <c r="A9" s="127" t="s">
        <v>156</v>
      </c>
      <c r="B9" s="202"/>
      <c r="C9" s="166"/>
      <c r="D9" s="203">
        <v>185082</v>
      </c>
      <c r="E9" s="202"/>
      <c r="F9" s="166"/>
      <c r="G9" s="203">
        <v>-2663.8670000000002</v>
      </c>
      <c r="H9" s="202"/>
      <c r="I9" s="166"/>
      <c r="J9" s="203">
        <f>-9076.085</f>
        <v>-9076.0849999999991</v>
      </c>
      <c r="K9" s="202"/>
      <c r="L9" s="166"/>
      <c r="M9" s="202"/>
      <c r="N9" s="209">
        <f>4060.362+93.598+93.917</f>
        <v>4247.8770000000004</v>
      </c>
      <c r="O9" s="203">
        <f>2.216+40.242+589.747+115.648</f>
        <v>747.85299999999995</v>
      </c>
      <c r="P9" s="202"/>
      <c r="Q9" s="166"/>
      <c r="R9" s="81">
        <f>D9+M9+N9+O9+G9+J9</f>
        <v>178337.77800000002</v>
      </c>
      <c r="S9" s="33" t="s">
        <v>14</v>
      </c>
    </row>
    <row r="10" spans="1:26" x14ac:dyDescent="0.2">
      <c r="A10" s="127" t="s">
        <v>157</v>
      </c>
      <c r="B10" s="202"/>
      <c r="C10" s="166"/>
      <c r="D10" s="203">
        <v>24482</v>
      </c>
      <c r="E10" s="202"/>
      <c r="F10" s="166"/>
      <c r="G10" s="203">
        <v>-1190.5360000000001</v>
      </c>
      <c r="H10" s="202"/>
      <c r="I10" s="166"/>
      <c r="J10" s="203">
        <f>-1200.54</f>
        <v>-1200.54</v>
      </c>
      <c r="K10" s="202"/>
      <c r="L10" s="166"/>
      <c r="M10" s="202">
        <v>-400</v>
      </c>
      <c r="N10" s="209">
        <v>606.74800000000005</v>
      </c>
      <c r="O10" s="203">
        <v>1676.643</v>
      </c>
      <c r="P10" s="202"/>
      <c r="Q10" s="166"/>
      <c r="R10" s="81">
        <f t="shared" ref="R10:R34" si="0">D10+M10+N10+O10+G10+J10</f>
        <v>23974.314999999999</v>
      </c>
      <c r="S10" s="33" t="s">
        <v>14</v>
      </c>
    </row>
    <row r="11" spans="1:26" x14ac:dyDescent="0.2">
      <c r="A11" s="127" t="s">
        <v>158</v>
      </c>
      <c r="B11" s="202"/>
      <c r="C11" s="166"/>
      <c r="D11" s="203">
        <v>3427</v>
      </c>
      <c r="E11" s="202"/>
      <c r="F11" s="166"/>
      <c r="G11" s="203">
        <v>0</v>
      </c>
      <c r="H11" s="202"/>
      <c r="I11" s="166"/>
      <c r="J11" s="203">
        <f>-168.075</f>
        <v>-168.07499999999999</v>
      </c>
      <c r="K11" s="202"/>
      <c r="L11" s="166"/>
      <c r="M11" s="202"/>
      <c r="N11" s="209"/>
      <c r="O11" s="203">
        <v>1830.538</v>
      </c>
      <c r="P11" s="202"/>
      <c r="Q11" s="166"/>
      <c r="R11" s="81">
        <f t="shared" si="0"/>
        <v>5089.4630000000006</v>
      </c>
      <c r="S11" s="33" t="s">
        <v>14</v>
      </c>
    </row>
    <row r="12" spans="1:26" x14ac:dyDescent="0.2">
      <c r="A12" s="127" t="s">
        <v>159</v>
      </c>
      <c r="B12" s="202"/>
      <c r="C12" s="166"/>
      <c r="D12" s="203">
        <v>48963</v>
      </c>
      <c r="E12" s="202"/>
      <c r="F12" s="166"/>
      <c r="G12" s="203">
        <f>-2894.871-15.79</f>
        <v>-2910.6610000000001</v>
      </c>
      <c r="H12" s="202"/>
      <c r="I12" s="166"/>
      <c r="J12" s="203">
        <f>-2401.08</f>
        <v>-2401.08</v>
      </c>
      <c r="K12" s="202"/>
      <c r="L12" s="166"/>
      <c r="M12" s="202"/>
      <c r="N12" s="209">
        <f>2037.903+18.937</f>
        <v>2056.84</v>
      </c>
      <c r="O12" s="203">
        <f>3438.204+9.39</f>
        <v>3447.5940000000001</v>
      </c>
      <c r="P12" s="202"/>
      <c r="Q12" s="166"/>
      <c r="R12" s="81">
        <f t="shared" si="0"/>
        <v>49155.692999999992</v>
      </c>
      <c r="S12" s="33" t="s">
        <v>14</v>
      </c>
    </row>
    <row r="13" spans="1:26" x14ac:dyDescent="0.2">
      <c r="A13" s="127" t="s">
        <v>160</v>
      </c>
      <c r="B13" s="202"/>
      <c r="C13" s="166"/>
      <c r="D13" s="205">
        <v>24482</v>
      </c>
      <c r="E13" s="202"/>
      <c r="F13" s="166"/>
      <c r="G13" s="205">
        <f>-54.548-308.807-44.462-27.058-75.876-1.605</f>
        <v>-512.35599999999999</v>
      </c>
      <c r="H13" s="202"/>
      <c r="I13" s="166"/>
      <c r="J13" s="203">
        <f>-1200.54</f>
        <v>-1200.54</v>
      </c>
      <c r="K13" s="202"/>
      <c r="L13" s="166"/>
      <c r="M13" s="202"/>
      <c r="N13" s="209">
        <f>267.631+370.735+19.409+27.058+1.7+1.605</f>
        <v>688.13800000000003</v>
      </c>
      <c r="O13" s="203">
        <f>3.496+19.686+74.177+28.133+50.985</f>
        <v>176.477</v>
      </c>
      <c r="P13" s="202"/>
      <c r="Q13" s="166"/>
      <c r="R13" s="81">
        <f t="shared" si="0"/>
        <v>23633.718999999997</v>
      </c>
      <c r="S13" s="33" t="s">
        <v>14</v>
      </c>
    </row>
    <row r="14" spans="1:26" x14ac:dyDescent="0.2">
      <c r="A14" s="127" t="s">
        <v>161</v>
      </c>
      <c r="B14" s="202"/>
      <c r="C14" s="166"/>
      <c r="D14" s="205" t="s">
        <v>237</v>
      </c>
      <c r="E14" s="202"/>
      <c r="F14" s="166"/>
      <c r="G14" s="206">
        <v>0</v>
      </c>
      <c r="H14" s="202"/>
      <c r="I14" s="166"/>
      <c r="J14" s="206" t="s">
        <v>205</v>
      </c>
      <c r="K14" s="202"/>
      <c r="L14" s="166"/>
      <c r="M14" s="202"/>
      <c r="N14" s="209">
        <v>3810.64</v>
      </c>
      <c r="O14" s="203"/>
      <c r="P14" s="202"/>
      <c r="Q14" s="166"/>
      <c r="R14" s="81">
        <f>+N14</f>
        <v>3810.64</v>
      </c>
      <c r="S14" s="33" t="s">
        <v>14</v>
      </c>
    </row>
    <row r="15" spans="1:26" x14ac:dyDescent="0.2">
      <c r="A15" s="127" t="s">
        <v>164</v>
      </c>
      <c r="B15" s="202"/>
      <c r="C15" s="166"/>
      <c r="D15" s="203">
        <v>35743</v>
      </c>
      <c r="E15" s="202"/>
      <c r="F15" s="166"/>
      <c r="G15" s="203">
        <f>-568.077-15.79</f>
        <v>-583.86699999999996</v>
      </c>
      <c r="H15" s="202"/>
      <c r="I15" s="166"/>
      <c r="J15" s="203">
        <v>-1752.788</v>
      </c>
      <c r="K15" s="202"/>
      <c r="L15" s="166"/>
      <c r="M15" s="202"/>
      <c r="N15" s="209">
        <f>1828.883+18.937</f>
        <v>1847.82</v>
      </c>
      <c r="O15" s="203">
        <f>1189.842+9.39</f>
        <v>1199.2320000000002</v>
      </c>
      <c r="P15" s="202"/>
      <c r="Q15" s="166"/>
      <c r="R15" s="81">
        <f t="shared" si="0"/>
        <v>36453.397000000004</v>
      </c>
      <c r="S15" s="33" t="s">
        <v>14</v>
      </c>
    </row>
    <row r="16" spans="1:26" x14ac:dyDescent="0.2">
      <c r="A16" s="127" t="s">
        <v>165</v>
      </c>
      <c r="B16" s="202"/>
      <c r="C16" s="166"/>
      <c r="D16" s="203">
        <v>8813</v>
      </c>
      <c r="E16" s="202"/>
      <c r="F16" s="166"/>
      <c r="G16" s="203">
        <v>-285.26100000000002</v>
      </c>
      <c r="H16" s="202"/>
      <c r="I16" s="166"/>
      <c r="J16" s="203">
        <v>-432.19400000000002</v>
      </c>
      <c r="K16" s="202"/>
      <c r="L16" s="166"/>
      <c r="M16" s="202"/>
      <c r="N16" s="209">
        <v>185.05600000000001</v>
      </c>
      <c r="O16" s="203">
        <v>337.62200000000001</v>
      </c>
      <c r="P16" s="202"/>
      <c r="Q16" s="166"/>
      <c r="R16" s="81">
        <f t="shared" si="0"/>
        <v>8618.223</v>
      </c>
      <c r="S16" s="33" t="s">
        <v>14</v>
      </c>
    </row>
    <row r="17" spans="1:19" x14ac:dyDescent="0.2">
      <c r="A17" s="127" t="s">
        <v>166</v>
      </c>
      <c r="B17" s="202"/>
      <c r="C17" s="166"/>
      <c r="D17" s="203">
        <v>40150</v>
      </c>
      <c r="E17" s="202"/>
      <c r="F17" s="166"/>
      <c r="G17" s="203">
        <f>-1203.112-15.79</f>
        <v>-1218.902</v>
      </c>
      <c r="H17" s="202"/>
      <c r="I17" s="166"/>
      <c r="J17" s="203">
        <v>-1968.886</v>
      </c>
      <c r="K17" s="202"/>
      <c r="L17" s="166"/>
      <c r="M17" s="202"/>
      <c r="N17" s="209">
        <f>1137.305+18.937</f>
        <v>1156.242</v>
      </c>
      <c r="O17" s="203">
        <f>1388.172+9.39</f>
        <v>1397.5620000000001</v>
      </c>
      <c r="P17" s="202"/>
      <c r="Q17" s="166"/>
      <c r="R17" s="81">
        <f t="shared" si="0"/>
        <v>39516.015999999996</v>
      </c>
      <c r="S17" s="33" t="s">
        <v>14</v>
      </c>
    </row>
    <row r="18" spans="1:19" x14ac:dyDescent="0.2">
      <c r="A18" s="127" t="s">
        <v>167</v>
      </c>
      <c r="B18" s="202"/>
      <c r="C18" s="166"/>
      <c r="D18" s="203">
        <v>4162</v>
      </c>
      <c r="E18" s="202"/>
      <c r="F18" s="166"/>
      <c r="G18" s="203">
        <f>-99.958-15.79</f>
        <v>-115.74799999999999</v>
      </c>
      <c r="H18" s="202"/>
      <c r="I18" s="166"/>
      <c r="J18" s="203">
        <v>-204.09100000000001</v>
      </c>
      <c r="K18" s="202"/>
      <c r="L18" s="166"/>
      <c r="M18" s="202"/>
      <c r="N18" s="209">
        <f>341.529+18.937</f>
        <v>360.46600000000001</v>
      </c>
      <c r="O18" s="203">
        <f>586.659+9.39</f>
        <v>596.04899999999998</v>
      </c>
      <c r="P18" s="202"/>
      <c r="Q18" s="166"/>
      <c r="R18" s="81">
        <f t="shared" si="0"/>
        <v>4798.6760000000004</v>
      </c>
      <c r="S18" s="33" t="s">
        <v>14</v>
      </c>
    </row>
    <row r="19" spans="1:19" ht="28.5" x14ac:dyDescent="0.2">
      <c r="A19" s="130" t="s">
        <v>168</v>
      </c>
      <c r="B19" s="202"/>
      <c r="C19" s="166"/>
      <c r="D19" s="203">
        <v>15179</v>
      </c>
      <c r="E19" s="202"/>
      <c r="F19" s="166"/>
      <c r="G19" s="203">
        <v>-1334.0309999999999</v>
      </c>
      <c r="H19" s="202"/>
      <c r="I19" s="166"/>
      <c r="J19" s="203">
        <v>-744.33500000000004</v>
      </c>
      <c r="K19" s="202"/>
      <c r="L19" s="166"/>
      <c r="M19" s="202"/>
      <c r="N19" s="209">
        <v>350.26499999999999</v>
      </c>
      <c r="O19" s="203"/>
      <c r="P19" s="202"/>
      <c r="Q19" s="166"/>
      <c r="R19" s="81">
        <f t="shared" si="0"/>
        <v>13450.899000000001</v>
      </c>
      <c r="S19" s="33" t="s">
        <v>14</v>
      </c>
    </row>
    <row r="20" spans="1:19" x14ac:dyDescent="0.2">
      <c r="A20" s="130" t="s">
        <v>169</v>
      </c>
      <c r="B20" s="202"/>
      <c r="C20" s="166"/>
      <c r="D20" s="203"/>
      <c r="E20" s="202"/>
      <c r="F20" s="166"/>
      <c r="G20" s="203"/>
      <c r="H20" s="202"/>
      <c r="I20" s="166"/>
      <c r="J20" s="203"/>
      <c r="K20" s="202"/>
      <c r="L20" s="166"/>
      <c r="M20" s="202"/>
      <c r="N20" s="209"/>
      <c r="O20" s="203">
        <v>1367.6859999999999</v>
      </c>
      <c r="P20" s="202"/>
      <c r="Q20" s="166"/>
      <c r="R20" s="81">
        <f t="shared" si="0"/>
        <v>1367.6859999999999</v>
      </c>
      <c r="S20" s="33" t="s">
        <v>14</v>
      </c>
    </row>
    <row r="21" spans="1:19" x14ac:dyDescent="0.2">
      <c r="A21" s="127" t="s">
        <v>170</v>
      </c>
      <c r="B21" s="202"/>
      <c r="C21" s="166"/>
      <c r="D21" s="203"/>
      <c r="E21" s="202"/>
      <c r="F21" s="166"/>
      <c r="G21" s="203"/>
      <c r="H21" s="202"/>
      <c r="I21" s="166"/>
      <c r="J21" s="203"/>
      <c r="K21" s="202"/>
      <c r="L21" s="166"/>
      <c r="M21" s="202"/>
      <c r="N21" s="209"/>
      <c r="O21" s="203"/>
      <c r="P21" s="202"/>
      <c r="Q21" s="166"/>
      <c r="R21" s="81">
        <f t="shared" si="0"/>
        <v>0</v>
      </c>
      <c r="S21" s="33" t="s">
        <v>14</v>
      </c>
    </row>
    <row r="22" spans="1:19" x14ac:dyDescent="0.2">
      <c r="A22" s="127" t="s">
        <v>171</v>
      </c>
      <c r="B22" s="202"/>
      <c r="C22" s="166"/>
      <c r="D22" s="203">
        <v>5631</v>
      </c>
      <c r="E22" s="202"/>
      <c r="F22" s="166"/>
      <c r="G22" s="203">
        <f>-95.919-15.79</f>
        <v>-111.709</v>
      </c>
      <c r="H22" s="202"/>
      <c r="I22" s="166"/>
      <c r="J22" s="203">
        <v>-276.12400000000002</v>
      </c>
      <c r="K22" s="202"/>
      <c r="L22" s="166"/>
      <c r="M22" s="202"/>
      <c r="N22" s="209">
        <f>239.293+18.937</f>
        <v>258.23</v>
      </c>
      <c r="O22" s="203">
        <f>81.769+9.39</f>
        <v>91.159000000000006</v>
      </c>
      <c r="P22" s="202"/>
      <c r="Q22" s="166"/>
      <c r="R22" s="81">
        <f t="shared" si="0"/>
        <v>5592.5559999999996</v>
      </c>
      <c r="S22" s="33" t="s">
        <v>14</v>
      </c>
    </row>
    <row r="23" spans="1:19" x14ac:dyDescent="0.2">
      <c r="A23" s="127" t="s">
        <v>172</v>
      </c>
      <c r="B23" s="202"/>
      <c r="C23" s="166"/>
      <c r="D23" s="203">
        <v>9792</v>
      </c>
      <c r="E23" s="202"/>
      <c r="F23" s="166"/>
      <c r="G23" s="203">
        <v>0</v>
      </c>
      <c r="H23" s="202"/>
      <c r="I23" s="166"/>
      <c r="J23" s="203">
        <v>-480.21600000000001</v>
      </c>
      <c r="K23" s="202"/>
      <c r="L23" s="166"/>
      <c r="M23" s="202"/>
      <c r="N23" s="209">
        <v>8792.616</v>
      </c>
      <c r="O23" s="203"/>
      <c r="P23" s="202"/>
      <c r="Q23" s="166"/>
      <c r="R23" s="81">
        <f t="shared" si="0"/>
        <v>18104.400000000001</v>
      </c>
      <c r="S23" s="33" t="s">
        <v>14</v>
      </c>
    </row>
    <row r="24" spans="1:19" x14ac:dyDescent="0.2">
      <c r="A24" s="127" t="s">
        <v>173</v>
      </c>
      <c r="B24" s="202"/>
      <c r="C24" s="166"/>
      <c r="D24" s="203"/>
      <c r="E24" s="202"/>
      <c r="F24" s="166"/>
      <c r="G24" s="203"/>
      <c r="H24" s="202"/>
      <c r="I24" s="166"/>
      <c r="J24" s="203"/>
      <c r="K24" s="202"/>
      <c r="L24" s="166"/>
      <c r="M24" s="202"/>
      <c r="N24" s="209"/>
      <c r="O24" s="203"/>
      <c r="P24" s="202"/>
      <c r="Q24" s="166"/>
      <c r="R24" s="81">
        <f t="shared" si="0"/>
        <v>0</v>
      </c>
      <c r="S24" s="33" t="s">
        <v>14</v>
      </c>
    </row>
    <row r="25" spans="1:19" x14ac:dyDescent="0.2">
      <c r="A25" s="130" t="s">
        <v>174</v>
      </c>
      <c r="B25" s="202"/>
      <c r="C25" s="166"/>
      <c r="D25" s="203"/>
      <c r="E25" s="202"/>
      <c r="F25" s="166"/>
      <c r="G25" s="203"/>
      <c r="H25" s="202"/>
      <c r="I25" s="166"/>
      <c r="J25" s="203"/>
      <c r="K25" s="202"/>
      <c r="L25" s="166"/>
      <c r="M25" s="202"/>
      <c r="N25" s="209"/>
      <c r="O25" s="203"/>
      <c r="P25" s="202"/>
      <c r="Q25" s="166"/>
      <c r="R25" s="81">
        <f t="shared" si="0"/>
        <v>0</v>
      </c>
      <c r="S25" s="33" t="s">
        <v>14</v>
      </c>
    </row>
    <row r="26" spans="1:19" x14ac:dyDescent="0.2">
      <c r="A26" s="127" t="s">
        <v>175</v>
      </c>
      <c r="B26" s="202"/>
      <c r="C26" s="166"/>
      <c r="D26" s="203"/>
      <c r="E26" s="202"/>
      <c r="F26" s="166"/>
      <c r="G26" s="203"/>
      <c r="H26" s="202"/>
      <c r="I26" s="166"/>
      <c r="J26" s="203"/>
      <c r="K26" s="202"/>
      <c r="L26" s="166"/>
      <c r="M26" s="202"/>
      <c r="N26" s="209"/>
      <c r="O26" s="203">
        <v>253.56</v>
      </c>
      <c r="P26" s="202"/>
      <c r="Q26" s="166"/>
      <c r="R26" s="81">
        <f t="shared" si="0"/>
        <v>253.56</v>
      </c>
      <c r="S26" s="33" t="s">
        <v>14</v>
      </c>
    </row>
    <row r="27" spans="1:19" x14ac:dyDescent="0.2">
      <c r="A27" s="127" t="s">
        <v>176</v>
      </c>
      <c r="B27" s="202"/>
      <c r="C27" s="166"/>
      <c r="D27" s="203"/>
      <c r="E27" s="202"/>
      <c r="F27" s="166"/>
      <c r="G27" s="203"/>
      <c r="H27" s="202"/>
      <c r="I27" s="166"/>
      <c r="J27" s="203"/>
      <c r="K27" s="202"/>
      <c r="L27" s="166"/>
      <c r="M27" s="202"/>
      <c r="N27" s="209"/>
      <c r="O27" s="203"/>
      <c r="P27" s="202"/>
      <c r="Q27" s="166"/>
      <c r="R27" s="81">
        <f t="shared" si="0"/>
        <v>0</v>
      </c>
      <c r="S27" s="33" t="s">
        <v>14</v>
      </c>
    </row>
    <row r="28" spans="1:19" x14ac:dyDescent="0.2">
      <c r="A28" s="130" t="s">
        <v>177</v>
      </c>
      <c r="B28" s="202"/>
      <c r="C28" s="166"/>
      <c r="D28" s="203">
        <v>490</v>
      </c>
      <c r="E28" s="202"/>
      <c r="F28" s="166"/>
      <c r="G28" s="203">
        <v>0</v>
      </c>
      <c r="H28" s="202"/>
      <c r="I28" s="166"/>
      <c r="J28" s="203">
        <v>-24.01</v>
      </c>
      <c r="K28" s="202"/>
      <c r="L28" s="166"/>
      <c r="M28" s="202"/>
      <c r="N28" s="209"/>
      <c r="O28" s="203"/>
      <c r="P28" s="202"/>
      <c r="Q28" s="166"/>
      <c r="R28" s="81">
        <f t="shared" si="0"/>
        <v>465.99</v>
      </c>
      <c r="S28" s="33" t="s">
        <v>14</v>
      </c>
    </row>
    <row r="29" spans="1:19" x14ac:dyDescent="0.2">
      <c r="A29" s="130" t="s">
        <v>178</v>
      </c>
      <c r="B29" s="202"/>
      <c r="C29" s="166"/>
      <c r="D29" s="203">
        <v>979</v>
      </c>
      <c r="E29" s="202"/>
      <c r="F29" s="166"/>
      <c r="G29" s="203">
        <v>0</v>
      </c>
      <c r="H29" s="202"/>
      <c r="I29" s="166"/>
      <c r="J29" s="203">
        <v>-48.021000000000001</v>
      </c>
      <c r="K29" s="202"/>
      <c r="L29" s="166"/>
      <c r="M29" s="202"/>
      <c r="N29" s="209">
        <v>64.701999999999998</v>
      </c>
      <c r="O29" s="203"/>
      <c r="P29" s="202"/>
      <c r="Q29" s="166"/>
      <c r="R29" s="81">
        <f t="shared" si="0"/>
        <v>995.68100000000004</v>
      </c>
      <c r="S29" s="33" t="s">
        <v>14</v>
      </c>
    </row>
    <row r="30" spans="1:19" ht="28.5" x14ac:dyDescent="0.2">
      <c r="A30" s="130" t="s">
        <v>179</v>
      </c>
      <c r="B30" s="202"/>
      <c r="C30" s="166"/>
      <c r="D30" s="203">
        <v>490</v>
      </c>
      <c r="E30" s="202"/>
      <c r="F30" s="166"/>
      <c r="G30" s="203">
        <v>-33.796999999999997</v>
      </c>
      <c r="H30" s="202"/>
      <c r="I30" s="166"/>
      <c r="J30" s="203">
        <v>-24.01</v>
      </c>
      <c r="K30" s="202"/>
      <c r="L30" s="166"/>
      <c r="M30" s="202"/>
      <c r="N30" s="209">
        <v>33.796999999999997</v>
      </c>
      <c r="O30" s="203"/>
      <c r="P30" s="202"/>
      <c r="Q30" s="166"/>
      <c r="R30" s="81">
        <f t="shared" si="0"/>
        <v>465.99</v>
      </c>
      <c r="S30" s="33" t="s">
        <v>14</v>
      </c>
    </row>
    <row r="31" spans="1:19" x14ac:dyDescent="0.2">
      <c r="A31" s="130" t="s">
        <v>202</v>
      </c>
      <c r="B31" s="202"/>
      <c r="C31" s="166"/>
      <c r="D31" s="203">
        <v>0</v>
      </c>
      <c r="E31" s="202"/>
      <c r="F31" s="166"/>
      <c r="G31" s="203">
        <v>0</v>
      </c>
      <c r="H31" s="202"/>
      <c r="I31" s="166"/>
      <c r="J31" s="203">
        <v>0</v>
      </c>
      <c r="K31" s="202"/>
      <c r="L31" s="166"/>
      <c r="M31" s="202"/>
      <c r="N31" s="209">
        <v>3910.0010000000002</v>
      </c>
      <c r="O31" s="203"/>
      <c r="P31" s="202"/>
      <c r="Q31" s="166"/>
      <c r="R31" s="81">
        <f t="shared" si="0"/>
        <v>3910.0010000000002</v>
      </c>
      <c r="S31" s="33" t="s">
        <v>14</v>
      </c>
    </row>
    <row r="32" spans="1:19" x14ac:dyDescent="0.2">
      <c r="A32" s="127" t="s">
        <v>180</v>
      </c>
      <c r="B32" s="202"/>
      <c r="C32" s="166"/>
      <c r="D32" s="205" t="s">
        <v>246</v>
      </c>
      <c r="E32" s="202"/>
      <c r="F32" s="166"/>
      <c r="G32" s="203">
        <f>-883.668</f>
        <v>-883.66800000000001</v>
      </c>
      <c r="H32" s="202"/>
      <c r="I32" s="166"/>
      <c r="J32" s="203"/>
      <c r="K32" s="202"/>
      <c r="L32" s="166"/>
      <c r="M32" s="202"/>
      <c r="N32" s="209">
        <v>1335.605</v>
      </c>
      <c r="O32" s="203">
        <f>1206.186+68.326</f>
        <v>1274.5119999999999</v>
      </c>
      <c r="P32" s="202"/>
      <c r="Q32" s="166"/>
      <c r="R32" s="81">
        <f>M32+N32+O32+G32+J32</f>
        <v>1726.4490000000001</v>
      </c>
      <c r="S32" s="33" t="s">
        <v>14</v>
      </c>
    </row>
    <row r="33" spans="1:19" x14ac:dyDescent="0.2">
      <c r="A33" s="127" t="s">
        <v>181</v>
      </c>
      <c r="B33" s="202"/>
      <c r="C33" s="166"/>
      <c r="D33" s="205" t="s">
        <v>245</v>
      </c>
      <c r="E33" s="202"/>
      <c r="F33" s="166"/>
      <c r="G33" s="205">
        <f>-155.582</f>
        <v>-155.58199999999999</v>
      </c>
      <c r="H33" s="202"/>
      <c r="I33" s="166"/>
      <c r="J33" s="203"/>
      <c r="K33" s="202"/>
      <c r="L33" s="166"/>
      <c r="M33" s="202"/>
      <c r="N33" s="209">
        <v>170.589</v>
      </c>
      <c r="O33" s="203">
        <v>35.008000000000003</v>
      </c>
      <c r="P33" s="202"/>
      <c r="Q33" s="166"/>
      <c r="R33" s="81">
        <f>M33+N33+O33+G33+J33</f>
        <v>50.015000000000015</v>
      </c>
      <c r="S33" s="33" t="s">
        <v>14</v>
      </c>
    </row>
    <row r="34" spans="1:19" x14ac:dyDescent="0.2">
      <c r="A34" s="127" t="s">
        <v>236</v>
      </c>
      <c r="B34" s="227"/>
      <c r="C34" s="228"/>
      <c r="D34" s="229"/>
      <c r="E34" s="227"/>
      <c r="F34" s="228"/>
      <c r="G34" s="229"/>
      <c r="H34" s="227"/>
      <c r="I34" s="228"/>
      <c r="J34" s="229"/>
      <c r="K34" s="227"/>
      <c r="L34" s="228"/>
      <c r="M34" s="227"/>
      <c r="N34" s="229"/>
      <c r="O34" s="236">
        <v>227.53800000000001</v>
      </c>
      <c r="P34" s="227"/>
      <c r="Q34" s="228"/>
      <c r="R34" s="81">
        <f t="shared" si="0"/>
        <v>227.53800000000001</v>
      </c>
      <c r="S34" s="33" t="s">
        <v>14</v>
      </c>
    </row>
    <row r="35" spans="1:19" ht="15.75" customHeight="1" x14ac:dyDescent="0.2">
      <c r="A35" s="127" t="s">
        <v>222</v>
      </c>
      <c r="B35" s="80">
        <v>70</v>
      </c>
      <c r="C35" s="80">
        <v>58</v>
      </c>
      <c r="D35" s="205" t="s">
        <v>235</v>
      </c>
      <c r="E35" s="80">
        <v>0</v>
      </c>
      <c r="F35" s="80">
        <v>0</v>
      </c>
      <c r="G35" s="204">
        <v>0</v>
      </c>
      <c r="H35" s="80">
        <v>0</v>
      </c>
      <c r="I35" s="80">
        <v>0</v>
      </c>
      <c r="J35" s="204">
        <v>0</v>
      </c>
      <c r="K35" s="80">
        <v>0</v>
      </c>
      <c r="L35" s="80">
        <v>0</v>
      </c>
      <c r="M35" s="80">
        <v>0</v>
      </c>
      <c r="N35" s="150">
        <v>5129.8919999999998</v>
      </c>
      <c r="O35" s="170">
        <v>1058</v>
      </c>
      <c r="P35" s="80">
        <f t="shared" ref="P35:Q35" si="1">B35+K35</f>
        <v>70</v>
      </c>
      <c r="Q35" s="80">
        <f t="shared" si="1"/>
        <v>58</v>
      </c>
      <c r="R35" s="126">
        <f>N35+O35</f>
        <v>6187.8919999999998</v>
      </c>
      <c r="S35" s="33" t="s">
        <v>14</v>
      </c>
    </row>
    <row r="36" spans="1:19" ht="15" x14ac:dyDescent="0.25">
      <c r="A36" s="13" t="s">
        <v>120</v>
      </c>
      <c r="B36" s="83">
        <f t="shared" ref="B36:G36" si="2">SUM(B9:B35)</f>
        <v>70</v>
      </c>
      <c r="C36" s="83">
        <f t="shared" si="2"/>
        <v>58</v>
      </c>
      <c r="D36" s="84">
        <f t="shared" si="2"/>
        <v>407865</v>
      </c>
      <c r="E36" s="83">
        <f t="shared" si="2"/>
        <v>0</v>
      </c>
      <c r="F36" s="83">
        <f t="shared" si="2"/>
        <v>0</v>
      </c>
      <c r="G36" s="83">
        <f t="shared" si="2"/>
        <v>-11999.985000000001</v>
      </c>
      <c r="H36" s="83">
        <f t="shared" ref="H36:I36" si="3">SUM(H9:H35)</f>
        <v>0</v>
      </c>
      <c r="I36" s="83">
        <f t="shared" si="3"/>
        <v>0</v>
      </c>
      <c r="J36" s="83">
        <f>SUM(J9:J35)</f>
        <v>-20000.994999999995</v>
      </c>
      <c r="K36" s="83">
        <f t="shared" ref="K36:Q36" si="4">SUM(K35:K35)</f>
        <v>0</v>
      </c>
      <c r="L36" s="83">
        <f t="shared" si="4"/>
        <v>0</v>
      </c>
      <c r="M36" s="83">
        <f>SUM(M9:M35)</f>
        <v>-400</v>
      </c>
      <c r="N36" s="83">
        <f>SUM(N9:N35)</f>
        <v>35005.524000000005</v>
      </c>
      <c r="O36" s="226">
        <f>SUM(O9:O35)</f>
        <v>15717.032999999999</v>
      </c>
      <c r="P36" s="83">
        <f t="shared" si="4"/>
        <v>70</v>
      </c>
      <c r="Q36" s="83">
        <f t="shared" si="4"/>
        <v>58</v>
      </c>
      <c r="R36" s="84">
        <f>SUM(R9:R35)</f>
        <v>426186.57699999993</v>
      </c>
      <c r="S36" s="33" t="s">
        <v>14</v>
      </c>
    </row>
    <row r="37" spans="1:19" x14ac:dyDescent="0.2">
      <c r="A37" s="57" t="s">
        <v>21</v>
      </c>
      <c r="B37" s="86"/>
      <c r="C37" s="86">
        <v>0</v>
      </c>
      <c r="D37" s="86"/>
      <c r="E37" s="86"/>
      <c r="F37" s="86">
        <v>0</v>
      </c>
      <c r="G37" s="86"/>
      <c r="H37" s="86"/>
      <c r="I37" s="86">
        <v>0</v>
      </c>
      <c r="J37" s="86"/>
      <c r="K37" s="86"/>
      <c r="L37" s="86">
        <v>0</v>
      </c>
      <c r="M37" s="86"/>
      <c r="N37" s="86"/>
      <c r="O37" s="86"/>
      <c r="P37" s="86"/>
      <c r="Q37" s="86">
        <f>C37+L37+F37</f>
        <v>0</v>
      </c>
      <c r="R37" s="87"/>
      <c r="S37" s="33" t="s">
        <v>14</v>
      </c>
    </row>
    <row r="38" spans="1:19" x14ac:dyDescent="0.2">
      <c r="A38" s="63" t="s">
        <v>121</v>
      </c>
      <c r="B38" s="23"/>
      <c r="C38" s="23">
        <f>C36+C37</f>
        <v>58</v>
      </c>
      <c r="D38" s="23"/>
      <c r="E38" s="23"/>
      <c r="F38" s="23">
        <f>F36+F37</f>
        <v>0</v>
      </c>
      <c r="G38" s="23"/>
      <c r="H38" s="23"/>
      <c r="I38" s="23">
        <f>I36+I37</f>
        <v>0</v>
      </c>
      <c r="J38" s="23"/>
      <c r="K38" s="23"/>
      <c r="L38" s="23">
        <f>L36+L37</f>
        <v>0</v>
      </c>
      <c r="M38" s="23"/>
      <c r="N38" s="23"/>
      <c r="O38" s="23"/>
      <c r="P38" s="23"/>
      <c r="Q38" s="86">
        <f>Q36+Q37</f>
        <v>58</v>
      </c>
      <c r="R38" s="82"/>
      <c r="S38" s="33" t="s">
        <v>14</v>
      </c>
    </row>
    <row r="39" spans="1:19" x14ac:dyDescent="0.2">
      <c r="A39" s="14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82"/>
      <c r="S39" s="33" t="s">
        <v>14</v>
      </c>
    </row>
    <row r="40" spans="1:19" x14ac:dyDescent="0.2">
      <c r="A40" s="14" t="s">
        <v>22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82"/>
      <c r="S40" s="33" t="s">
        <v>14</v>
      </c>
    </row>
    <row r="41" spans="1:19" x14ac:dyDescent="0.2">
      <c r="A41" s="15" t="s">
        <v>23</v>
      </c>
      <c r="B41" s="23"/>
      <c r="C41" s="23">
        <v>0</v>
      </c>
      <c r="D41" s="23"/>
      <c r="E41" s="23"/>
      <c r="F41" s="23">
        <v>0</v>
      </c>
      <c r="G41" s="23"/>
      <c r="H41" s="23"/>
      <c r="I41" s="23">
        <v>0</v>
      </c>
      <c r="J41" s="23"/>
      <c r="K41" s="23"/>
      <c r="L41" s="23">
        <v>0</v>
      </c>
      <c r="M41" s="23"/>
      <c r="N41" s="23"/>
      <c r="O41" s="23"/>
      <c r="P41" s="23"/>
      <c r="Q41" s="23">
        <f>C41+L41+F41</f>
        <v>0</v>
      </c>
      <c r="R41" s="82"/>
      <c r="S41" s="33" t="s">
        <v>14</v>
      </c>
    </row>
    <row r="42" spans="1:19" x14ac:dyDescent="0.2">
      <c r="A42" s="16" t="s">
        <v>24</v>
      </c>
      <c r="B42" s="88"/>
      <c r="C42" s="88">
        <v>0</v>
      </c>
      <c r="D42" s="88"/>
      <c r="E42" s="88"/>
      <c r="F42" s="88">
        <v>0</v>
      </c>
      <c r="G42" s="88"/>
      <c r="H42" s="88"/>
      <c r="I42" s="88">
        <v>0</v>
      </c>
      <c r="J42" s="88"/>
      <c r="K42" s="88"/>
      <c r="L42" s="88">
        <v>0</v>
      </c>
      <c r="M42" s="88"/>
      <c r="N42" s="88"/>
      <c r="O42" s="88"/>
      <c r="P42" s="88"/>
      <c r="Q42" s="23">
        <f>C42+L42+F41</f>
        <v>0</v>
      </c>
      <c r="R42" s="89"/>
      <c r="S42" s="33" t="s">
        <v>14</v>
      </c>
    </row>
    <row r="43" spans="1:19" ht="15" thickBot="1" x14ac:dyDescent="0.25">
      <c r="A43" s="64" t="s">
        <v>122</v>
      </c>
      <c r="B43" s="90"/>
      <c r="C43" s="90">
        <f>C38+C41+C42</f>
        <v>58</v>
      </c>
      <c r="D43" s="90"/>
      <c r="E43" s="90"/>
      <c r="F43" s="90">
        <f>F38+F41+F42</f>
        <v>0</v>
      </c>
      <c r="G43" s="90"/>
      <c r="H43" s="90"/>
      <c r="I43" s="90">
        <f>I38+I41+I42</f>
        <v>0</v>
      </c>
      <c r="J43" s="90"/>
      <c r="K43" s="90"/>
      <c r="L43" s="90">
        <f>L38+L41+L42</f>
        <v>0</v>
      </c>
      <c r="M43" s="90"/>
      <c r="N43" s="90"/>
      <c r="O43" s="90"/>
      <c r="P43" s="90"/>
      <c r="Q43" s="90">
        <f>SUM(Q38,Q41:Q42)</f>
        <v>58</v>
      </c>
      <c r="R43" s="91"/>
      <c r="S43" s="33" t="s">
        <v>14</v>
      </c>
    </row>
    <row r="44" spans="1:19" x14ac:dyDescent="0.2">
      <c r="S44" s="33" t="s">
        <v>14</v>
      </c>
    </row>
    <row r="45" spans="1:19" ht="15" x14ac:dyDescent="0.25">
      <c r="A45" s="5" t="s">
        <v>61</v>
      </c>
      <c r="S45" s="33" t="s">
        <v>14</v>
      </c>
    </row>
    <row r="46" spans="1:19" x14ac:dyDescent="0.2">
      <c r="A46" s="283" t="s">
        <v>240</v>
      </c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33" t="s">
        <v>14</v>
      </c>
    </row>
    <row r="47" spans="1:19" x14ac:dyDescent="0.2">
      <c r="A47" s="282"/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33" t="s">
        <v>14</v>
      </c>
    </row>
    <row r="48" spans="1:19" ht="15" x14ac:dyDescent="0.25">
      <c r="A48" s="5" t="s">
        <v>137</v>
      </c>
      <c r="S48" s="33" t="s">
        <v>14</v>
      </c>
    </row>
    <row r="49" spans="1:19" x14ac:dyDescent="0.2">
      <c r="A49" s="285" t="s">
        <v>239</v>
      </c>
      <c r="B49" s="284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33" t="s">
        <v>14</v>
      </c>
    </row>
    <row r="50" spans="1:19" x14ac:dyDescent="0.2">
      <c r="A50" s="282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33" t="s">
        <v>14</v>
      </c>
    </row>
    <row r="51" spans="1:19" ht="15" x14ac:dyDescent="0.25">
      <c r="A51" s="5" t="s">
        <v>138</v>
      </c>
      <c r="S51" s="33" t="s">
        <v>14</v>
      </c>
    </row>
    <row r="52" spans="1:19" ht="27" customHeight="1" x14ac:dyDescent="0.2">
      <c r="A52" s="283" t="s">
        <v>244</v>
      </c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33" t="s">
        <v>14</v>
      </c>
    </row>
    <row r="53" spans="1:19" x14ac:dyDescent="0.2">
      <c r="A53" s="282"/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33" t="s">
        <v>14</v>
      </c>
    </row>
    <row r="55" spans="1:19" x14ac:dyDescent="0.2">
      <c r="S55" s="4" t="s">
        <v>15</v>
      </c>
    </row>
    <row r="63" spans="1:19" x14ac:dyDescent="0.2">
      <c r="N63" s="100"/>
      <c r="O63" s="100"/>
    </row>
  </sheetData>
  <mergeCells count="16">
    <mergeCell ref="A53:R53"/>
    <mergeCell ref="A46:R46"/>
    <mergeCell ref="A47:R47"/>
    <mergeCell ref="A49:R49"/>
    <mergeCell ref="A50:R50"/>
    <mergeCell ref="A52:R52"/>
    <mergeCell ref="A7:A8"/>
    <mergeCell ref="B7:D7"/>
    <mergeCell ref="K7:M7"/>
    <mergeCell ref="P7:R7"/>
    <mergeCell ref="A1:R1"/>
    <mergeCell ref="A2:R2"/>
    <mergeCell ref="A3:R3"/>
    <mergeCell ref="A4:R4"/>
    <mergeCell ref="E7:G7"/>
    <mergeCell ref="H7:J7"/>
  </mergeCells>
  <printOptions horizontalCentered="1"/>
  <pageMargins left="0.7" right="0.7" top="0.64" bottom="0.61" header="0.3" footer="0.3"/>
  <pageSetup scale="56" orientation="landscape" r:id="rId1"/>
  <headerFooter>
    <oddHeader>&amp;L&amp;"Arial,Bold"&amp;12F. Crosswalk of 2013 Availability</oddHeader>
    <oddFooter>&amp;C&amp;"Arial,Regular"Exhibit F - Crosswalk of 2013 Availability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view="pageBreakPreview" topLeftCell="A16" zoomScale="80" zoomScaleNormal="100" zoomScaleSheetLayoutView="80" workbookViewId="0">
      <selection activeCell="O54" sqref="O54"/>
    </sheetView>
  </sheetViews>
  <sheetFormatPr defaultRowHeight="14.25" x14ac:dyDescent="0.2"/>
  <cols>
    <col min="1" max="1" width="45" style="100" customWidth="1"/>
    <col min="2" max="3" width="8.28515625" style="100" customWidth="1"/>
    <col min="4" max="4" width="12.7109375" style="100" customWidth="1"/>
    <col min="5" max="5" width="15" style="100" customWidth="1"/>
    <col min="6" max="6" width="8.28515625" style="100" customWidth="1"/>
    <col min="7" max="7" width="9.85546875" style="100" customWidth="1"/>
    <col min="8" max="10" width="12.7109375" style="100" customWidth="1"/>
    <col min="11" max="11" width="8.28515625" style="100" customWidth="1"/>
    <col min="12" max="12" width="9.85546875" style="100" customWidth="1"/>
    <col min="13" max="13" width="12.7109375" style="100" customWidth="1"/>
    <col min="14" max="14" width="14" style="4" bestFit="1" customWidth="1"/>
    <col min="15" max="15" width="4.5703125" style="100" customWidth="1"/>
    <col min="16" max="16" width="116.7109375" style="100" customWidth="1"/>
    <col min="17" max="18" width="8.28515625" style="100" customWidth="1"/>
    <col min="19" max="19" width="12.7109375" style="100" customWidth="1"/>
    <col min="20" max="21" width="8.28515625" style="100" customWidth="1"/>
    <col min="22" max="22" width="12.7109375" style="100" customWidth="1"/>
    <col min="23" max="16384" width="9.140625" style="100"/>
  </cols>
  <sheetData>
    <row r="1" spans="1:22" ht="18" x14ac:dyDescent="0.25">
      <c r="A1" s="250" t="s">
        <v>214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33" t="s">
        <v>14</v>
      </c>
      <c r="O1" s="6"/>
      <c r="P1" s="66" t="s">
        <v>16</v>
      </c>
      <c r="Q1" s="6"/>
      <c r="R1" s="6"/>
      <c r="S1" s="6"/>
      <c r="T1" s="6"/>
      <c r="U1" s="6"/>
      <c r="V1" s="6"/>
    </row>
    <row r="2" spans="1:22" ht="15" x14ac:dyDescent="0.2">
      <c r="A2" s="251" t="str">
        <f>'B. Summ of Req.'!A2:D2</f>
        <v>Office on Violence Against Women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33" t="s">
        <v>14</v>
      </c>
      <c r="O2" s="7"/>
      <c r="P2" s="67"/>
      <c r="Q2" s="7"/>
      <c r="R2" s="7"/>
      <c r="S2" s="7"/>
      <c r="T2" s="7"/>
      <c r="U2" s="7"/>
      <c r="V2" s="7"/>
    </row>
    <row r="3" spans="1:22" ht="15" x14ac:dyDescent="0.25">
      <c r="A3" s="252" t="str">
        <f>'B. Summ of Req.'!A3:D3</f>
        <v>Grant Programs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33" t="s">
        <v>14</v>
      </c>
      <c r="O3" s="119"/>
      <c r="P3" s="67" t="s">
        <v>131</v>
      </c>
      <c r="Q3" s="119"/>
      <c r="R3" s="119"/>
      <c r="S3" s="119"/>
      <c r="T3" s="119"/>
      <c r="U3" s="119"/>
      <c r="V3" s="119"/>
    </row>
    <row r="4" spans="1:22" x14ac:dyDescent="0.2">
      <c r="A4" s="261" t="s">
        <v>1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33" t="s">
        <v>14</v>
      </c>
      <c r="O4" s="118"/>
      <c r="P4" s="67" t="s">
        <v>130</v>
      </c>
      <c r="Q4" s="118"/>
      <c r="R4" s="118"/>
      <c r="S4" s="118"/>
      <c r="T4" s="118"/>
      <c r="U4" s="118"/>
      <c r="V4" s="118"/>
    </row>
    <row r="5" spans="1:22" ht="15.75" thickBot="1" x14ac:dyDescent="0.3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33" t="s">
        <v>14</v>
      </c>
      <c r="O5" s="118"/>
      <c r="P5" s="68"/>
      <c r="Q5" s="118"/>
      <c r="R5" s="118"/>
      <c r="S5" s="118"/>
      <c r="T5" s="118"/>
      <c r="U5" s="118"/>
      <c r="V5" s="118"/>
    </row>
    <row r="6" spans="1:22" ht="15" thickBot="1" x14ac:dyDescent="0.25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33" t="s">
        <v>14</v>
      </c>
      <c r="O6" s="118"/>
      <c r="P6" s="118"/>
      <c r="Q6" s="118"/>
      <c r="R6" s="118"/>
      <c r="S6" s="118"/>
      <c r="T6" s="118"/>
      <c r="U6" s="118"/>
      <c r="V6" s="118"/>
    </row>
    <row r="7" spans="1:22" ht="47.25" customHeight="1" x14ac:dyDescent="0.25">
      <c r="A7" s="257" t="s">
        <v>123</v>
      </c>
      <c r="B7" s="259" t="s">
        <v>215</v>
      </c>
      <c r="C7" s="259"/>
      <c r="D7" s="259"/>
      <c r="E7" s="259" t="s">
        <v>61</v>
      </c>
      <c r="F7" s="259"/>
      <c r="G7" s="259"/>
      <c r="H7" s="208" t="s">
        <v>62</v>
      </c>
      <c r="I7" s="208" t="s">
        <v>125</v>
      </c>
      <c r="J7" s="259" t="s">
        <v>216</v>
      </c>
      <c r="K7" s="259"/>
      <c r="L7" s="260"/>
      <c r="M7" s="33" t="s">
        <v>14</v>
      </c>
      <c r="N7" s="100"/>
      <c r="O7" s="5" t="s">
        <v>217</v>
      </c>
    </row>
    <row r="8" spans="1:22" ht="28.5" x14ac:dyDescent="0.25">
      <c r="A8" s="258"/>
      <c r="B8" s="122" t="s">
        <v>2</v>
      </c>
      <c r="C8" s="122" t="s">
        <v>118</v>
      </c>
      <c r="D8" s="122" t="s">
        <v>3</v>
      </c>
      <c r="E8" s="122" t="s">
        <v>2</v>
      </c>
      <c r="F8" s="122" t="s">
        <v>118</v>
      </c>
      <c r="G8" s="122" t="s">
        <v>3</v>
      </c>
      <c r="H8" s="122" t="s">
        <v>3</v>
      </c>
      <c r="I8" s="122" t="s">
        <v>3</v>
      </c>
      <c r="J8" s="122" t="s">
        <v>2</v>
      </c>
      <c r="K8" s="122" t="s">
        <v>118</v>
      </c>
      <c r="L8" s="123" t="s">
        <v>3</v>
      </c>
      <c r="M8" s="33" t="s">
        <v>14</v>
      </c>
      <c r="N8" s="100"/>
      <c r="O8" s="5" t="s">
        <v>218</v>
      </c>
    </row>
    <row r="9" spans="1:22" x14ac:dyDescent="0.2">
      <c r="A9" s="127" t="s">
        <v>156</v>
      </c>
      <c r="B9" s="125">
        <v>0</v>
      </c>
      <c r="C9" s="125">
        <v>0</v>
      </c>
      <c r="D9" s="125">
        <v>193000</v>
      </c>
      <c r="E9" s="125">
        <v>0</v>
      </c>
      <c r="F9" s="125">
        <v>0</v>
      </c>
      <c r="G9" s="125">
        <v>0</v>
      </c>
      <c r="H9" s="125">
        <f>205.387+1.337+38.394</f>
        <v>245.11799999999999</v>
      </c>
      <c r="I9" s="125">
        <f>3950.538-10.982</f>
        <v>3939.556</v>
      </c>
      <c r="J9" s="125">
        <f t="shared" ref="J9:K9" si="0">B9+E9</f>
        <v>0</v>
      </c>
      <c r="K9" s="125">
        <f t="shared" si="0"/>
        <v>0</v>
      </c>
      <c r="L9" s="126">
        <f t="shared" ref="L9:L38" si="1">D9+G9+H9+I9</f>
        <v>197184.674</v>
      </c>
      <c r="M9" s="33" t="s">
        <v>14</v>
      </c>
      <c r="N9" s="100"/>
      <c r="O9" s="212" t="s">
        <v>63</v>
      </c>
    </row>
    <row r="10" spans="1:22" x14ac:dyDescent="0.2">
      <c r="A10" s="127" t="s">
        <v>157</v>
      </c>
      <c r="B10" s="141"/>
      <c r="C10" s="141"/>
      <c r="D10" s="141">
        <v>24750</v>
      </c>
      <c r="E10" s="141"/>
      <c r="F10" s="141"/>
      <c r="G10" s="141"/>
      <c r="H10" s="141">
        <v>441.07799999999997</v>
      </c>
      <c r="I10" s="141">
        <f>518.826</f>
        <v>518.82600000000002</v>
      </c>
      <c r="J10" s="141"/>
      <c r="K10" s="141"/>
      <c r="L10" s="142">
        <f t="shared" si="1"/>
        <v>25709.904000000002</v>
      </c>
      <c r="M10" s="33" t="s">
        <v>14</v>
      </c>
      <c r="N10" s="100"/>
      <c r="O10" s="212"/>
    </row>
    <row r="11" spans="1:22" x14ac:dyDescent="0.2">
      <c r="A11" s="127" t="s">
        <v>158</v>
      </c>
      <c r="B11" s="141"/>
      <c r="C11" s="141"/>
      <c r="D11" s="141">
        <v>3250</v>
      </c>
      <c r="E11" s="141"/>
      <c r="F11" s="141"/>
      <c r="G11" s="141">
        <v>-3250</v>
      </c>
      <c r="H11" s="141"/>
      <c r="I11" s="141"/>
      <c r="J11" s="141"/>
      <c r="K11" s="141"/>
      <c r="L11" s="142">
        <f t="shared" si="1"/>
        <v>0</v>
      </c>
      <c r="M11" s="33" t="s">
        <v>14</v>
      </c>
      <c r="N11" s="100"/>
      <c r="O11" s="212"/>
    </row>
    <row r="12" spans="1:22" x14ac:dyDescent="0.2">
      <c r="A12" s="127" t="s">
        <v>159</v>
      </c>
      <c r="B12" s="141"/>
      <c r="C12" s="141"/>
      <c r="D12" s="141">
        <v>50000</v>
      </c>
      <c r="E12" s="141"/>
      <c r="F12" s="141"/>
      <c r="G12" s="141"/>
      <c r="H12" s="141">
        <f>2.319+1163.385</f>
        <v>1165.704</v>
      </c>
      <c r="I12" s="141">
        <f>1.374+714.407</f>
        <v>715.78100000000006</v>
      </c>
      <c r="J12" s="141"/>
      <c r="K12" s="141"/>
      <c r="L12" s="142">
        <f t="shared" si="1"/>
        <v>51881.485000000001</v>
      </c>
      <c r="M12" s="33" t="s">
        <v>14</v>
      </c>
      <c r="N12" s="100"/>
      <c r="O12" s="212"/>
    </row>
    <row r="13" spans="1:22" x14ac:dyDescent="0.2">
      <c r="A13" s="127" t="s">
        <v>160</v>
      </c>
      <c r="B13" s="141"/>
      <c r="C13" s="141"/>
      <c r="D13" s="141">
        <v>27000</v>
      </c>
      <c r="E13" s="141"/>
      <c r="F13" s="141"/>
      <c r="G13" s="141"/>
      <c r="H13" s="141">
        <f>27.472+0.003+25.398+561.528+0.004+1.724</f>
        <v>616.12900000000013</v>
      </c>
      <c r="I13" s="141">
        <f>429.645</f>
        <v>429.64499999999998</v>
      </c>
      <c r="J13" s="141"/>
      <c r="K13" s="141"/>
      <c r="L13" s="142">
        <f t="shared" si="1"/>
        <v>28045.774000000001</v>
      </c>
      <c r="M13" s="33" t="s">
        <v>14</v>
      </c>
      <c r="N13" s="100"/>
      <c r="O13" s="212"/>
    </row>
    <row r="14" spans="1:22" x14ac:dyDescent="0.2">
      <c r="A14" s="127" t="s">
        <v>161</v>
      </c>
      <c r="B14" s="141"/>
      <c r="C14" s="141"/>
      <c r="D14" s="172" t="s">
        <v>163</v>
      </c>
      <c r="E14" s="141"/>
      <c r="F14" s="141"/>
      <c r="G14" s="141"/>
      <c r="H14" s="141">
        <f>1827.964</f>
        <v>1827.9639999999999</v>
      </c>
      <c r="I14" s="141"/>
      <c r="J14" s="141"/>
      <c r="K14" s="141"/>
      <c r="L14" s="142">
        <f>+G14+H14+I14</f>
        <v>1827.9639999999999</v>
      </c>
      <c r="M14" s="33" t="s">
        <v>14</v>
      </c>
      <c r="N14" s="100"/>
      <c r="O14" s="212"/>
    </row>
    <row r="15" spans="1:22" x14ac:dyDescent="0.2">
      <c r="A15" s="127" t="s">
        <v>164</v>
      </c>
      <c r="B15" s="141"/>
      <c r="C15" s="141"/>
      <c r="D15" s="141">
        <v>36000</v>
      </c>
      <c r="E15" s="141"/>
      <c r="F15" s="141"/>
      <c r="G15" s="141"/>
      <c r="H15" s="141">
        <f>2.319+3319.301</f>
        <v>3321.62</v>
      </c>
      <c r="I15" s="141">
        <f>1.374+346.503</f>
        <v>347.87700000000001</v>
      </c>
      <c r="J15" s="141"/>
      <c r="K15" s="141"/>
      <c r="L15" s="142">
        <f t="shared" si="1"/>
        <v>39669.497000000003</v>
      </c>
      <c r="M15" s="33" t="s">
        <v>14</v>
      </c>
      <c r="N15" s="100"/>
      <c r="O15" s="212"/>
    </row>
    <row r="16" spans="1:22" x14ac:dyDescent="0.2">
      <c r="A16" s="127" t="s">
        <v>165</v>
      </c>
      <c r="B16" s="141"/>
      <c r="C16" s="141"/>
      <c r="D16" s="141">
        <v>9000</v>
      </c>
      <c r="E16" s="141"/>
      <c r="F16" s="141"/>
      <c r="G16" s="141"/>
      <c r="H16" s="141">
        <f>129.319</f>
        <v>129.31899999999999</v>
      </c>
      <c r="I16" s="141">
        <f>24.854</f>
        <v>24.853999999999999</v>
      </c>
      <c r="J16" s="141"/>
      <c r="K16" s="141"/>
      <c r="L16" s="142">
        <f t="shared" si="1"/>
        <v>9154.1729999999989</v>
      </c>
      <c r="M16" s="33" t="s">
        <v>14</v>
      </c>
      <c r="N16" s="100"/>
      <c r="O16" s="212"/>
    </row>
    <row r="17" spans="1:15" x14ac:dyDescent="0.2">
      <c r="A17" s="127" t="s">
        <v>166</v>
      </c>
      <c r="B17" s="141"/>
      <c r="C17" s="141"/>
      <c r="D17" s="141">
        <v>37000</v>
      </c>
      <c r="E17" s="141"/>
      <c r="F17" s="141"/>
      <c r="G17" s="141"/>
      <c r="H17" s="141">
        <f>2.319+427.159</f>
        <v>429.47800000000001</v>
      </c>
      <c r="I17" s="141">
        <f>1.374+113.11</f>
        <v>114.48399999999999</v>
      </c>
      <c r="J17" s="141"/>
      <c r="K17" s="141"/>
      <c r="L17" s="142">
        <f t="shared" si="1"/>
        <v>37543.962</v>
      </c>
      <c r="M17" s="33" t="s">
        <v>14</v>
      </c>
      <c r="N17" s="100"/>
      <c r="O17" s="212"/>
    </row>
    <row r="18" spans="1:15" x14ac:dyDescent="0.2">
      <c r="A18" s="127" t="s">
        <v>167</v>
      </c>
      <c r="B18" s="141"/>
      <c r="C18" s="141"/>
      <c r="D18" s="141">
        <v>4250</v>
      </c>
      <c r="E18" s="141"/>
      <c r="F18" s="141"/>
      <c r="G18" s="141"/>
      <c r="H18" s="141">
        <f>2.319+451.818</f>
        <v>454.137</v>
      </c>
      <c r="I18" s="141">
        <f>1.374+267.58</f>
        <v>268.95400000000001</v>
      </c>
      <c r="J18" s="141"/>
      <c r="K18" s="141"/>
      <c r="L18" s="142">
        <f t="shared" si="1"/>
        <v>4973.0909999999994</v>
      </c>
      <c r="M18" s="33" t="s">
        <v>14</v>
      </c>
      <c r="N18" s="100"/>
      <c r="O18" s="212"/>
    </row>
    <row r="19" spans="1:15" ht="28.5" x14ac:dyDescent="0.2">
      <c r="A19" s="130" t="s">
        <v>168</v>
      </c>
      <c r="B19" s="141"/>
      <c r="C19" s="141"/>
      <c r="D19" s="141">
        <v>15000</v>
      </c>
      <c r="E19" s="141"/>
      <c r="F19" s="141"/>
      <c r="G19" s="141"/>
      <c r="H19" s="141"/>
      <c r="I19" s="141">
        <f>634.114</f>
        <v>634.11400000000003</v>
      </c>
      <c r="J19" s="141"/>
      <c r="K19" s="141"/>
      <c r="L19" s="142">
        <f t="shared" si="1"/>
        <v>15634.114</v>
      </c>
      <c r="M19" s="33" t="s">
        <v>14</v>
      </c>
      <c r="N19" s="100"/>
      <c r="O19" s="212"/>
    </row>
    <row r="20" spans="1:15" ht="28.5" x14ac:dyDescent="0.2">
      <c r="A20" s="130" t="s">
        <v>169</v>
      </c>
      <c r="B20" s="141"/>
      <c r="C20" s="141"/>
      <c r="D20" s="141">
        <v>0</v>
      </c>
      <c r="E20" s="141"/>
      <c r="F20" s="141"/>
      <c r="G20" s="141"/>
      <c r="H20" s="141">
        <v>73.016999999999996</v>
      </c>
      <c r="I20" s="141"/>
      <c r="J20" s="141"/>
      <c r="K20" s="141"/>
      <c r="L20" s="142">
        <f t="shared" si="1"/>
        <v>73.016999999999996</v>
      </c>
      <c r="M20" s="33" t="s">
        <v>14</v>
      </c>
      <c r="N20" s="100"/>
      <c r="O20" s="212"/>
    </row>
    <row r="21" spans="1:15" x14ac:dyDescent="0.2">
      <c r="A21" s="127" t="s">
        <v>170</v>
      </c>
      <c r="B21" s="141"/>
      <c r="C21" s="141"/>
      <c r="D21" s="141">
        <v>0</v>
      </c>
      <c r="E21" s="141"/>
      <c r="F21" s="141"/>
      <c r="G21" s="141"/>
      <c r="H21" s="141">
        <v>41.856000000000002</v>
      </c>
      <c r="I21" s="141"/>
      <c r="J21" s="141"/>
      <c r="K21" s="141"/>
      <c r="L21" s="142">
        <f t="shared" si="1"/>
        <v>41.856000000000002</v>
      </c>
      <c r="M21" s="33" t="s">
        <v>14</v>
      </c>
      <c r="N21" s="100"/>
      <c r="O21" s="212"/>
    </row>
    <row r="22" spans="1:15" x14ac:dyDescent="0.2">
      <c r="A22" s="127" t="s">
        <v>171</v>
      </c>
      <c r="B22" s="141"/>
      <c r="C22" s="141"/>
      <c r="D22" s="141">
        <v>5750</v>
      </c>
      <c r="E22" s="141"/>
      <c r="F22" s="141"/>
      <c r="G22" s="141"/>
      <c r="H22" s="141">
        <f>2.319+4.462</f>
        <v>6.7809999999999997</v>
      </c>
      <c r="I22" s="141">
        <f>1.374+172.547</f>
        <v>173.92099999999999</v>
      </c>
      <c r="J22" s="141"/>
      <c r="K22" s="141"/>
      <c r="L22" s="142">
        <f t="shared" si="1"/>
        <v>5930.7020000000002</v>
      </c>
      <c r="M22" s="33" t="s">
        <v>14</v>
      </c>
      <c r="N22" s="100"/>
      <c r="O22" s="212"/>
    </row>
    <row r="23" spans="1:15" x14ac:dyDescent="0.2">
      <c r="A23" s="127" t="s">
        <v>172</v>
      </c>
      <c r="B23" s="141"/>
      <c r="C23" s="141"/>
      <c r="D23" s="141">
        <v>10000</v>
      </c>
      <c r="E23" s="141"/>
      <c r="F23" s="141"/>
      <c r="G23" s="141"/>
      <c r="H23" s="141">
        <v>1282.9459999999999</v>
      </c>
      <c r="I23" s="141">
        <f>28.816</f>
        <v>28.815999999999999</v>
      </c>
      <c r="J23" s="141"/>
      <c r="K23" s="141"/>
      <c r="L23" s="142">
        <f t="shared" si="1"/>
        <v>11311.762000000001</v>
      </c>
      <c r="M23" s="33" t="s">
        <v>14</v>
      </c>
      <c r="N23" s="100"/>
      <c r="O23" s="212"/>
    </row>
    <row r="24" spans="1:15" x14ac:dyDescent="0.2">
      <c r="A24" s="127" t="s">
        <v>173</v>
      </c>
      <c r="B24" s="141"/>
      <c r="C24" s="141"/>
      <c r="D24" s="141">
        <v>0</v>
      </c>
      <c r="E24" s="141"/>
      <c r="F24" s="141"/>
      <c r="G24" s="141"/>
      <c r="H24" s="141"/>
      <c r="I24" s="141"/>
      <c r="J24" s="141"/>
      <c r="K24" s="141"/>
      <c r="L24" s="142">
        <f t="shared" si="1"/>
        <v>0</v>
      </c>
      <c r="M24" s="33" t="s">
        <v>14</v>
      </c>
      <c r="N24" s="100"/>
      <c r="O24" s="212"/>
    </row>
    <row r="25" spans="1:15" x14ac:dyDescent="0.2">
      <c r="A25" s="130" t="s">
        <v>174</v>
      </c>
      <c r="B25" s="141"/>
      <c r="C25" s="141"/>
      <c r="D25" s="141">
        <v>0</v>
      </c>
      <c r="E25" s="141"/>
      <c r="F25" s="141"/>
      <c r="G25" s="141"/>
      <c r="H25" s="141"/>
      <c r="I25" s="141"/>
      <c r="J25" s="141"/>
      <c r="K25" s="141"/>
      <c r="L25" s="142">
        <f t="shared" si="1"/>
        <v>0</v>
      </c>
      <c r="M25" s="33" t="s">
        <v>14</v>
      </c>
      <c r="N25" s="100"/>
      <c r="O25" s="212"/>
    </row>
    <row r="26" spans="1:15" x14ac:dyDescent="0.2">
      <c r="A26" s="127" t="s">
        <v>175</v>
      </c>
      <c r="B26" s="141"/>
      <c r="C26" s="141"/>
      <c r="D26" s="141">
        <v>0</v>
      </c>
      <c r="E26" s="141"/>
      <c r="F26" s="141"/>
      <c r="G26" s="141"/>
      <c r="H26" s="141"/>
      <c r="I26" s="141"/>
      <c r="J26" s="141"/>
      <c r="K26" s="141"/>
      <c r="L26" s="142">
        <f t="shared" si="1"/>
        <v>0</v>
      </c>
      <c r="M26" s="33" t="s">
        <v>14</v>
      </c>
      <c r="N26" s="100"/>
      <c r="O26" s="212"/>
    </row>
    <row r="27" spans="1:15" x14ac:dyDescent="0.2">
      <c r="A27" s="127" t="s">
        <v>176</v>
      </c>
      <c r="B27" s="141"/>
      <c r="C27" s="141"/>
      <c r="D27" s="141">
        <v>0</v>
      </c>
      <c r="E27" s="141"/>
      <c r="F27" s="141"/>
      <c r="G27" s="141"/>
      <c r="H27" s="141"/>
      <c r="I27" s="141"/>
      <c r="J27" s="141"/>
      <c r="K27" s="141"/>
      <c r="L27" s="142">
        <f t="shared" si="1"/>
        <v>0</v>
      </c>
      <c r="M27" s="33" t="s">
        <v>14</v>
      </c>
      <c r="N27" s="100"/>
      <c r="O27" s="212"/>
    </row>
    <row r="28" spans="1:15" ht="28.5" x14ac:dyDescent="0.2">
      <c r="A28" s="130" t="s">
        <v>177</v>
      </c>
      <c r="B28" s="141"/>
      <c r="C28" s="141"/>
      <c r="D28" s="141">
        <v>500</v>
      </c>
      <c r="E28" s="141"/>
      <c r="F28" s="141"/>
      <c r="G28" s="141"/>
      <c r="H28" s="141">
        <v>2.3E-2</v>
      </c>
      <c r="I28" s="141"/>
      <c r="J28" s="141"/>
      <c r="K28" s="141"/>
      <c r="L28" s="142">
        <f t="shared" si="1"/>
        <v>500.02300000000002</v>
      </c>
      <c r="M28" s="33" t="s">
        <v>14</v>
      </c>
      <c r="N28" s="100"/>
      <c r="O28" s="212"/>
    </row>
    <row r="29" spans="1:15" x14ac:dyDescent="0.2">
      <c r="A29" s="130" t="s">
        <v>178</v>
      </c>
      <c r="B29" s="141"/>
      <c r="C29" s="141"/>
      <c r="D29" s="141">
        <v>1000</v>
      </c>
      <c r="E29" s="141"/>
      <c r="F29" s="141"/>
      <c r="G29" s="141"/>
      <c r="H29" s="141"/>
      <c r="I29" s="141"/>
      <c r="J29" s="141"/>
      <c r="K29" s="141"/>
      <c r="L29" s="142">
        <f t="shared" si="1"/>
        <v>1000</v>
      </c>
      <c r="M29" s="33" t="s">
        <v>14</v>
      </c>
      <c r="N29" s="100"/>
      <c r="O29" s="212"/>
    </row>
    <row r="30" spans="1:15" ht="28.5" x14ac:dyDescent="0.2">
      <c r="A30" s="130" t="s">
        <v>179</v>
      </c>
      <c r="B30" s="141"/>
      <c r="C30" s="141"/>
      <c r="D30" s="141">
        <v>500</v>
      </c>
      <c r="E30" s="141"/>
      <c r="F30" s="141"/>
      <c r="G30" s="141"/>
      <c r="H30" s="141">
        <v>0.623</v>
      </c>
      <c r="I30" s="141"/>
      <c r="J30" s="141"/>
      <c r="K30" s="141"/>
      <c r="L30" s="142">
        <f t="shared" si="1"/>
        <v>500.62299999999999</v>
      </c>
      <c r="M30" s="33" t="s">
        <v>14</v>
      </c>
      <c r="N30" s="100"/>
      <c r="O30" s="212"/>
    </row>
    <row r="31" spans="1:15" x14ac:dyDescent="0.2">
      <c r="A31" s="130" t="s">
        <v>219</v>
      </c>
      <c r="B31" s="141"/>
      <c r="C31" s="141"/>
      <c r="D31" s="141">
        <v>0</v>
      </c>
      <c r="E31" s="141"/>
      <c r="F31" s="141"/>
      <c r="G31" s="141"/>
      <c r="H31" s="141">
        <v>3910.0010000000002</v>
      </c>
      <c r="I31" s="141"/>
      <c r="J31" s="141"/>
      <c r="K31" s="141"/>
      <c r="L31" s="142">
        <f t="shared" si="1"/>
        <v>3910.0010000000002</v>
      </c>
      <c r="M31" s="33" t="s">
        <v>14</v>
      </c>
      <c r="N31" s="100"/>
      <c r="O31" s="212"/>
    </row>
    <row r="32" spans="1:15" x14ac:dyDescent="0.2">
      <c r="A32" s="127" t="s">
        <v>180</v>
      </c>
      <c r="B32" s="141"/>
      <c r="C32" s="141"/>
      <c r="D32" s="172" t="s">
        <v>210</v>
      </c>
      <c r="E32" s="141"/>
      <c r="F32" s="141"/>
      <c r="G32" s="141"/>
      <c r="H32" s="141">
        <v>389.654</v>
      </c>
      <c r="I32" s="141">
        <f>1170.241</f>
        <v>1170.241</v>
      </c>
      <c r="J32" s="141"/>
      <c r="K32" s="141"/>
      <c r="L32" s="142">
        <f>+G32+H32+I32</f>
        <v>1559.895</v>
      </c>
      <c r="M32" s="33" t="s">
        <v>14</v>
      </c>
      <c r="N32" s="100"/>
      <c r="O32" s="212"/>
    </row>
    <row r="33" spans="1:18" x14ac:dyDescent="0.2">
      <c r="A33" s="127" t="s">
        <v>181</v>
      </c>
      <c r="B33" s="141"/>
      <c r="C33" s="141"/>
      <c r="D33" s="172" t="s">
        <v>212</v>
      </c>
      <c r="E33" s="141"/>
      <c r="F33" s="141"/>
      <c r="G33" s="141"/>
      <c r="H33" s="141">
        <f>1.11</f>
        <v>1.1100000000000001</v>
      </c>
      <c r="I33" s="141">
        <f>107.118</f>
        <v>107.11799999999999</v>
      </c>
      <c r="J33" s="141"/>
      <c r="K33" s="141"/>
      <c r="L33" s="142">
        <f>+G33+H33+I33</f>
        <v>108.22799999999999</v>
      </c>
      <c r="M33" s="33" t="s">
        <v>14</v>
      </c>
      <c r="N33" s="100"/>
      <c r="O33" s="212"/>
    </row>
    <row r="34" spans="1:18" x14ac:dyDescent="0.2">
      <c r="A34" s="127" t="s">
        <v>236</v>
      </c>
      <c r="B34" s="141"/>
      <c r="C34" s="141"/>
      <c r="D34" s="172">
        <v>0</v>
      </c>
      <c r="E34" s="141"/>
      <c r="F34" s="141"/>
      <c r="G34" s="141"/>
      <c r="H34" s="141">
        <v>227.53899999999999</v>
      </c>
      <c r="I34" s="141"/>
      <c r="J34" s="141"/>
      <c r="K34" s="141"/>
      <c r="L34" s="142"/>
      <c r="M34" s="33" t="s">
        <v>14</v>
      </c>
      <c r="N34" s="100"/>
      <c r="O34" s="212"/>
    </row>
    <row r="35" spans="1:18" x14ac:dyDescent="0.2">
      <c r="A35" s="127" t="s">
        <v>222</v>
      </c>
      <c r="B35" s="141"/>
      <c r="C35" s="141"/>
      <c r="D35" s="172" t="s">
        <v>238</v>
      </c>
      <c r="E35" s="141"/>
      <c r="F35" s="141"/>
      <c r="G35" s="141"/>
      <c r="H35" s="141">
        <v>5222.8059999999996</v>
      </c>
      <c r="I35" s="141">
        <v>-107.571</v>
      </c>
      <c r="J35" s="141"/>
      <c r="K35" s="141"/>
      <c r="L35" s="142">
        <f>+G35+H35+I35</f>
        <v>5115.2349999999997</v>
      </c>
      <c r="M35" s="33" t="s">
        <v>14</v>
      </c>
      <c r="N35" s="100"/>
      <c r="O35" s="212"/>
    </row>
    <row r="36" spans="1:18" ht="15" x14ac:dyDescent="0.25">
      <c r="A36" s="13" t="s">
        <v>120</v>
      </c>
      <c r="B36" s="83">
        <f t="shared" ref="B36:K36" si="2">SUM(B9:B35)</f>
        <v>0</v>
      </c>
      <c r="C36" s="83">
        <f t="shared" si="2"/>
        <v>0</v>
      </c>
      <c r="D36" s="83">
        <f t="shared" si="2"/>
        <v>417000</v>
      </c>
      <c r="E36" s="83">
        <f t="shared" si="2"/>
        <v>0</v>
      </c>
      <c r="F36" s="83">
        <f t="shared" si="2"/>
        <v>0</v>
      </c>
      <c r="G36" s="83">
        <f t="shared" si="2"/>
        <v>-3250</v>
      </c>
      <c r="H36" s="83">
        <f t="shared" si="2"/>
        <v>19786.903000000002</v>
      </c>
      <c r="I36" s="83">
        <f t="shared" si="2"/>
        <v>8366.616</v>
      </c>
      <c r="J36" s="83">
        <f t="shared" si="2"/>
        <v>0</v>
      </c>
      <c r="K36" s="83">
        <f t="shared" si="2"/>
        <v>0</v>
      </c>
      <c r="L36" s="84">
        <f t="shared" si="1"/>
        <v>441903.51899999997</v>
      </c>
      <c r="M36" s="33" t="s">
        <v>14</v>
      </c>
      <c r="N36" s="100"/>
      <c r="O36" s="5"/>
    </row>
    <row r="37" spans="1:18" x14ac:dyDescent="0.2">
      <c r="A37" s="213" t="s">
        <v>119</v>
      </c>
      <c r="B37" s="125"/>
      <c r="C37" s="125"/>
      <c r="D37" s="125">
        <v>-12200</v>
      </c>
      <c r="E37" s="125"/>
      <c r="F37" s="125"/>
      <c r="G37" s="125"/>
      <c r="H37" s="125"/>
      <c r="I37" s="125"/>
      <c r="J37" s="125"/>
      <c r="K37" s="125"/>
      <c r="L37" s="126">
        <f t="shared" si="1"/>
        <v>-12200</v>
      </c>
      <c r="M37" s="33" t="s">
        <v>14</v>
      </c>
      <c r="N37" s="100"/>
    </row>
    <row r="38" spans="1:18" ht="15" x14ac:dyDescent="0.25">
      <c r="A38" s="214" t="s">
        <v>135</v>
      </c>
      <c r="B38" s="138"/>
      <c r="C38" s="138"/>
      <c r="D38" s="138">
        <f>SUM(D36:D37)</f>
        <v>404800</v>
      </c>
      <c r="E38" s="138"/>
      <c r="F38" s="138"/>
      <c r="G38" s="138"/>
      <c r="H38" s="138"/>
      <c r="I38" s="138"/>
      <c r="J38" s="138"/>
      <c r="K38" s="138"/>
      <c r="L38" s="139">
        <f t="shared" si="1"/>
        <v>404800</v>
      </c>
      <c r="M38" s="33" t="s">
        <v>14</v>
      </c>
      <c r="N38" s="100"/>
      <c r="O38" s="19"/>
    </row>
    <row r="39" spans="1:18" x14ac:dyDescent="0.2">
      <c r="A39" s="140" t="s">
        <v>21</v>
      </c>
      <c r="B39" s="141"/>
      <c r="C39" s="141">
        <v>0</v>
      </c>
      <c r="D39" s="141"/>
      <c r="E39" s="141"/>
      <c r="F39" s="141">
        <v>0</v>
      </c>
      <c r="G39" s="141"/>
      <c r="H39" s="141">
        <v>0</v>
      </c>
      <c r="I39" s="141"/>
      <c r="J39" s="141"/>
      <c r="K39" s="141">
        <f>C39+F39</f>
        <v>0</v>
      </c>
      <c r="L39" s="142"/>
      <c r="M39" s="33" t="s">
        <v>14</v>
      </c>
      <c r="N39" s="100"/>
    </row>
    <row r="40" spans="1:18" x14ac:dyDescent="0.2">
      <c r="A40" s="127" t="s">
        <v>121</v>
      </c>
      <c r="B40" s="107"/>
      <c r="C40" s="107">
        <f>C36+C39</f>
        <v>0</v>
      </c>
      <c r="D40" s="107"/>
      <c r="E40" s="107"/>
      <c r="F40" s="107">
        <f>F36+F39</f>
        <v>0</v>
      </c>
      <c r="G40" s="107"/>
      <c r="H40" s="107">
        <f>H36+H39</f>
        <v>19786.903000000002</v>
      </c>
      <c r="I40" s="107"/>
      <c r="J40" s="107"/>
      <c r="K40" s="107">
        <f>K36+K39</f>
        <v>0</v>
      </c>
      <c r="L40" s="128"/>
      <c r="M40" s="33" t="s">
        <v>14</v>
      </c>
      <c r="N40" s="100"/>
    </row>
    <row r="41" spans="1:18" x14ac:dyDescent="0.2">
      <c r="A41" s="12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28"/>
      <c r="M41" s="33" t="s">
        <v>14</v>
      </c>
      <c r="N41" s="100"/>
    </row>
    <row r="42" spans="1:18" x14ac:dyDescent="0.2">
      <c r="A42" s="127" t="s">
        <v>22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28"/>
      <c r="M42" s="33" t="s">
        <v>14</v>
      </c>
      <c r="N42" s="100"/>
    </row>
    <row r="43" spans="1:18" x14ac:dyDescent="0.2">
      <c r="A43" s="143" t="s">
        <v>23</v>
      </c>
      <c r="B43" s="107"/>
      <c r="C43" s="107">
        <v>0</v>
      </c>
      <c r="D43" s="107"/>
      <c r="E43" s="107"/>
      <c r="F43" s="107">
        <v>0</v>
      </c>
      <c r="G43" s="107"/>
      <c r="H43" s="107">
        <v>0</v>
      </c>
      <c r="I43" s="107"/>
      <c r="J43" s="107"/>
      <c r="K43" s="107">
        <f>C43+F43</f>
        <v>0</v>
      </c>
      <c r="L43" s="128"/>
      <c r="M43" s="33" t="s">
        <v>14</v>
      </c>
      <c r="N43" s="100"/>
    </row>
    <row r="44" spans="1:18" x14ac:dyDescent="0.2">
      <c r="A44" s="144" t="s">
        <v>24</v>
      </c>
      <c r="B44" s="145"/>
      <c r="C44" s="145">
        <v>0</v>
      </c>
      <c r="D44" s="145"/>
      <c r="E44" s="145"/>
      <c r="F44" s="145">
        <v>0</v>
      </c>
      <c r="G44" s="145"/>
      <c r="H44" s="145">
        <v>0</v>
      </c>
      <c r="I44" s="145"/>
      <c r="J44" s="145"/>
      <c r="K44" s="145">
        <f>C44+F44</f>
        <v>0</v>
      </c>
      <c r="L44" s="146"/>
      <c r="M44" s="33" t="s">
        <v>14</v>
      </c>
      <c r="N44" s="100"/>
    </row>
    <row r="45" spans="1:18" ht="15" thickBot="1" x14ac:dyDescent="0.25">
      <c r="A45" s="147" t="s">
        <v>122</v>
      </c>
      <c r="B45" s="148"/>
      <c r="C45" s="148">
        <f>C40+C43+C44</f>
        <v>0</v>
      </c>
      <c r="D45" s="148"/>
      <c r="E45" s="148"/>
      <c r="F45" s="148">
        <f>F40+F43+F44</f>
        <v>0</v>
      </c>
      <c r="G45" s="148"/>
      <c r="H45" s="148">
        <f>H40+H43+H44</f>
        <v>19786.903000000002</v>
      </c>
      <c r="I45" s="148"/>
      <c r="J45" s="148"/>
      <c r="K45" s="148">
        <f>SUM(K40,K43:K44)</f>
        <v>0</v>
      </c>
      <c r="L45" s="149"/>
      <c r="M45" s="33" t="s">
        <v>14</v>
      </c>
      <c r="N45" s="100"/>
    </row>
    <row r="46" spans="1:18" x14ac:dyDescent="0.2">
      <c r="M46" s="33" t="s">
        <v>14</v>
      </c>
    </row>
    <row r="47" spans="1:18" ht="15" x14ac:dyDescent="0.25">
      <c r="A47" s="5" t="s">
        <v>61</v>
      </c>
      <c r="M47" s="33" t="s">
        <v>14</v>
      </c>
    </row>
    <row r="48" spans="1:18" x14ac:dyDescent="0.2">
      <c r="A48" s="286" t="s">
        <v>241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33" t="s">
        <v>14</v>
      </c>
      <c r="N48" s="247"/>
      <c r="O48" s="247"/>
      <c r="P48" s="247"/>
      <c r="Q48" s="247"/>
      <c r="R48" s="247"/>
    </row>
    <row r="49" spans="1:18" x14ac:dyDescent="0.2">
      <c r="A49" s="215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33" t="s">
        <v>14</v>
      </c>
    </row>
    <row r="50" spans="1:18" ht="15" x14ac:dyDescent="0.25">
      <c r="A50" s="5" t="s">
        <v>137</v>
      </c>
      <c r="M50" s="33" t="s">
        <v>14</v>
      </c>
    </row>
    <row r="51" spans="1:18" ht="14.25" customHeight="1" x14ac:dyDescent="0.2">
      <c r="A51" s="285" t="s">
        <v>242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33" t="s">
        <v>14</v>
      </c>
      <c r="N51" s="247"/>
      <c r="O51" s="247"/>
      <c r="P51" s="247"/>
      <c r="Q51" s="247"/>
      <c r="R51" s="247"/>
    </row>
    <row r="52" spans="1:18" x14ac:dyDescent="0.2">
      <c r="A52" s="216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33" t="s">
        <v>14</v>
      </c>
    </row>
    <row r="53" spans="1:18" ht="15" x14ac:dyDescent="0.25">
      <c r="A53" s="5" t="s">
        <v>138</v>
      </c>
      <c r="M53" s="33" t="s">
        <v>14</v>
      </c>
    </row>
    <row r="54" spans="1:18" ht="14.25" customHeight="1" x14ac:dyDescent="0.2">
      <c r="A54" s="285" t="s">
        <v>253</v>
      </c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4" t="s">
        <v>15</v>
      </c>
      <c r="N54" s="247"/>
      <c r="O54" s="247"/>
      <c r="P54" s="247"/>
      <c r="Q54" s="247"/>
      <c r="R54" s="247"/>
    </row>
    <row r="56" spans="1:18" x14ac:dyDescent="0.2">
      <c r="M56" s="4"/>
      <c r="N56" s="33"/>
    </row>
  </sheetData>
  <mergeCells count="11">
    <mergeCell ref="A1:L1"/>
    <mergeCell ref="A2:L2"/>
    <mergeCell ref="A3:L3"/>
    <mergeCell ref="A4:L4"/>
    <mergeCell ref="A48:L48"/>
    <mergeCell ref="A51:L51"/>
    <mergeCell ref="A54:L54"/>
    <mergeCell ref="A7:A8"/>
    <mergeCell ref="B7:D7"/>
    <mergeCell ref="E7:G7"/>
    <mergeCell ref="J7:L7"/>
  </mergeCells>
  <printOptions horizontalCentered="1"/>
  <pageMargins left="0.7" right="0.7" top="0.66" bottom="0.66" header="0.3" footer="0.3"/>
  <pageSetup scale="60" orientation="landscape" r:id="rId1"/>
  <headerFooter>
    <oddHeader>&amp;L&amp;"Arial,Bold"&amp;12G. Crosswalk of 2014 Availability</oddHeader>
    <oddFooter>&amp;C&amp;"Arial,Regular"Exhibit G - Crosswalk of 2014 Availability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5"/>
  <sheetViews>
    <sheetView zoomScaleNormal="100" zoomScaleSheetLayoutView="80" workbookViewId="0">
      <selection activeCell="J91" sqref="J91"/>
    </sheetView>
  </sheetViews>
  <sheetFormatPr defaultRowHeight="14.25" x14ac:dyDescent="0.2"/>
  <cols>
    <col min="1" max="1" width="45.5703125" style="100" customWidth="1"/>
    <col min="2" max="2" width="8.7109375" style="100" customWidth="1"/>
    <col min="3" max="3" width="12.7109375" style="100" customWidth="1"/>
    <col min="4" max="4" width="8.7109375" style="100" customWidth="1"/>
    <col min="5" max="11" width="12.7109375" style="100" customWidth="1"/>
    <col min="12" max="12" width="8.7109375" style="100" customWidth="1"/>
    <col min="13" max="13" width="15.85546875" style="100" customWidth="1"/>
    <col min="14" max="14" width="8.7109375" style="100" hidden="1" customWidth="1"/>
    <col min="15" max="15" width="12.7109375" style="100" hidden="1" customWidth="1"/>
    <col min="16" max="16" width="8.7109375" style="100" hidden="1" customWidth="1"/>
    <col min="17" max="17" width="12.7109375" style="100" hidden="1" customWidth="1"/>
    <col min="18" max="18" width="8.7109375" style="100" hidden="1" customWidth="1"/>
    <col min="19" max="19" width="1.28515625" style="100" hidden="1" customWidth="1"/>
    <col min="20" max="21" width="12.7109375" style="100" customWidth="1"/>
    <col min="22" max="22" width="14" style="4" bestFit="1" customWidth="1"/>
    <col min="23" max="23" width="4.5703125" style="100" customWidth="1"/>
    <col min="24" max="25" width="8.28515625" style="100" customWidth="1"/>
    <col min="26" max="26" width="12.7109375" style="100" customWidth="1"/>
    <col min="27" max="28" width="8.28515625" style="100" customWidth="1"/>
    <col min="29" max="29" width="12.7109375" style="100" customWidth="1"/>
    <col min="30" max="16384" width="9.140625" style="100"/>
  </cols>
  <sheetData>
    <row r="1" spans="1:29" ht="18" x14ac:dyDescent="0.25">
      <c r="A1" s="250" t="s">
        <v>97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33" t="s">
        <v>14</v>
      </c>
      <c r="W1" s="6"/>
      <c r="X1" s="6"/>
      <c r="Y1" s="6"/>
      <c r="Z1" s="6"/>
      <c r="AA1" s="6"/>
      <c r="AB1" s="6"/>
      <c r="AC1" s="6"/>
    </row>
    <row r="2" spans="1:29" ht="15" x14ac:dyDescent="0.2">
      <c r="A2" s="251" t="str">
        <f>'[3]B. Summ of Req.'!A2:D2</f>
        <v>Office on Violence Against Women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33" t="s">
        <v>14</v>
      </c>
      <c r="W2" s="7"/>
      <c r="X2" s="7"/>
      <c r="Y2" s="7"/>
      <c r="Z2" s="7"/>
      <c r="AA2" s="7"/>
      <c r="AB2" s="7"/>
      <c r="AC2" s="7"/>
    </row>
    <row r="3" spans="1:29" x14ac:dyDescent="0.2">
      <c r="A3" s="252" t="str">
        <f>'[3]B. Summ of Req.'!A3:D3</f>
        <v>Grant Programs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33" t="s">
        <v>14</v>
      </c>
      <c r="W3" s="119"/>
      <c r="X3" s="119"/>
      <c r="Y3" s="119"/>
      <c r="Z3" s="119"/>
      <c r="AA3" s="119"/>
      <c r="AB3" s="119"/>
      <c r="AC3" s="119"/>
    </row>
    <row r="4" spans="1:29" x14ac:dyDescent="0.2">
      <c r="A4" s="261" t="s">
        <v>1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33" t="s">
        <v>14</v>
      </c>
      <c r="W4" s="118"/>
      <c r="X4" s="118"/>
      <c r="Y4" s="118"/>
      <c r="Z4" s="118"/>
      <c r="AA4" s="118"/>
      <c r="AB4" s="118"/>
      <c r="AC4" s="118"/>
    </row>
    <row r="5" spans="1:29" x14ac:dyDescent="0.2">
      <c r="A5" s="261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157"/>
      <c r="U5" s="157"/>
      <c r="V5" s="33" t="s">
        <v>14</v>
      </c>
      <c r="W5" s="118"/>
      <c r="X5" s="118"/>
      <c r="Y5" s="118"/>
      <c r="Z5" s="118"/>
      <c r="AA5" s="118"/>
      <c r="AB5" s="118"/>
      <c r="AC5" s="118"/>
    </row>
    <row r="6" spans="1:29" ht="15" hidden="1" x14ac:dyDescent="0.2">
      <c r="A6" s="289" t="s">
        <v>98</v>
      </c>
      <c r="B6" s="287" t="s">
        <v>17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87" t="s">
        <v>18</v>
      </c>
      <c r="O6" s="292"/>
      <c r="P6" s="292"/>
      <c r="Q6" s="292"/>
      <c r="R6" s="292"/>
      <c r="S6" s="288"/>
      <c r="T6" s="34"/>
      <c r="U6" s="34"/>
      <c r="V6" s="33" t="s">
        <v>14</v>
      </c>
    </row>
    <row r="7" spans="1:29" ht="15" hidden="1" customHeight="1" x14ac:dyDescent="0.2">
      <c r="A7" s="290"/>
      <c r="B7" s="287" t="s">
        <v>99</v>
      </c>
      <c r="C7" s="288"/>
      <c r="D7" s="287" t="s">
        <v>100</v>
      </c>
      <c r="E7" s="288"/>
      <c r="F7" s="233"/>
      <c r="G7" s="233"/>
      <c r="H7" s="233"/>
      <c r="I7" s="233"/>
      <c r="J7" s="233"/>
      <c r="K7" s="233"/>
      <c r="L7" s="287" t="s">
        <v>30</v>
      </c>
      <c r="M7" s="288"/>
      <c r="N7" s="287" t="s">
        <v>99</v>
      </c>
      <c r="O7" s="288"/>
      <c r="P7" s="287" t="s">
        <v>100</v>
      </c>
      <c r="Q7" s="288"/>
      <c r="R7" s="287" t="s">
        <v>30</v>
      </c>
      <c r="S7" s="288"/>
      <c r="T7" s="34"/>
      <c r="U7" s="34"/>
      <c r="V7" s="33" t="s">
        <v>14</v>
      </c>
    </row>
    <row r="8" spans="1:29" ht="85.5" hidden="1" x14ac:dyDescent="0.2">
      <c r="A8" s="291"/>
      <c r="B8" s="122" t="s">
        <v>2</v>
      </c>
      <c r="C8" s="122" t="s">
        <v>3</v>
      </c>
      <c r="D8" s="122" t="s">
        <v>2</v>
      </c>
      <c r="E8" s="122" t="s">
        <v>3</v>
      </c>
      <c r="F8" s="122"/>
      <c r="G8" s="122"/>
      <c r="H8" s="122"/>
      <c r="I8" s="122"/>
      <c r="J8" s="122"/>
      <c r="K8" s="122"/>
      <c r="L8" s="122" t="s">
        <v>2</v>
      </c>
      <c r="M8" s="122" t="s">
        <v>3</v>
      </c>
      <c r="N8" s="122" t="s">
        <v>2</v>
      </c>
      <c r="O8" s="122" t="s">
        <v>3</v>
      </c>
      <c r="P8" s="122" t="s">
        <v>2</v>
      </c>
      <c r="Q8" s="122" t="s">
        <v>3</v>
      </c>
      <c r="R8" s="122" t="s">
        <v>2</v>
      </c>
      <c r="S8" s="122" t="s">
        <v>3</v>
      </c>
      <c r="T8" s="158"/>
      <c r="U8" s="158"/>
      <c r="V8" s="33" t="s">
        <v>14</v>
      </c>
    </row>
    <row r="9" spans="1:29" hidden="1" x14ac:dyDescent="0.2">
      <c r="A9" s="188" t="s">
        <v>101</v>
      </c>
      <c r="B9" s="125">
        <v>0</v>
      </c>
      <c r="C9" s="125">
        <v>0</v>
      </c>
      <c r="D9" s="125">
        <v>0</v>
      </c>
      <c r="E9" s="125">
        <v>0</v>
      </c>
      <c r="F9" s="125"/>
      <c r="G9" s="125"/>
      <c r="H9" s="125"/>
      <c r="I9" s="125"/>
      <c r="J9" s="125"/>
      <c r="K9" s="125"/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  <c r="T9" s="161"/>
      <c r="U9" s="161"/>
      <c r="V9" s="33" t="s">
        <v>14</v>
      </c>
    </row>
    <row r="10" spans="1:29" hidden="1" x14ac:dyDescent="0.2">
      <c r="A10" s="189" t="s">
        <v>102</v>
      </c>
      <c r="B10" s="141">
        <v>0</v>
      </c>
      <c r="C10" s="141">
        <v>0</v>
      </c>
      <c r="D10" s="141">
        <v>0</v>
      </c>
      <c r="E10" s="141">
        <v>0</v>
      </c>
      <c r="F10" s="141"/>
      <c r="G10" s="141"/>
      <c r="H10" s="141"/>
      <c r="I10" s="141"/>
      <c r="J10" s="141"/>
      <c r="K10" s="141"/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0</v>
      </c>
      <c r="R10" s="141">
        <v>0</v>
      </c>
      <c r="S10" s="141">
        <v>0</v>
      </c>
      <c r="T10" s="161"/>
      <c r="U10" s="161"/>
      <c r="V10" s="33" t="s">
        <v>14</v>
      </c>
    </row>
    <row r="11" spans="1:29" hidden="1" x14ac:dyDescent="0.2">
      <c r="A11" s="189" t="s">
        <v>103</v>
      </c>
      <c r="B11" s="141">
        <v>0</v>
      </c>
      <c r="C11" s="141">
        <v>0</v>
      </c>
      <c r="D11" s="141">
        <v>0</v>
      </c>
      <c r="E11" s="141">
        <v>0</v>
      </c>
      <c r="F11" s="141"/>
      <c r="G11" s="141"/>
      <c r="H11" s="141"/>
      <c r="I11" s="141"/>
      <c r="J11" s="141"/>
      <c r="K11" s="141"/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141">
        <v>0</v>
      </c>
      <c r="R11" s="141">
        <v>0</v>
      </c>
      <c r="S11" s="141">
        <v>0</v>
      </c>
      <c r="T11" s="161"/>
      <c r="U11" s="161"/>
      <c r="V11" s="33" t="s">
        <v>14</v>
      </c>
    </row>
    <row r="12" spans="1:29" hidden="1" x14ac:dyDescent="0.2">
      <c r="A12" s="189" t="s">
        <v>104</v>
      </c>
      <c r="B12" s="141">
        <v>0</v>
      </c>
      <c r="C12" s="141">
        <v>0</v>
      </c>
      <c r="D12" s="141">
        <v>0</v>
      </c>
      <c r="E12" s="141">
        <v>0</v>
      </c>
      <c r="F12" s="141"/>
      <c r="G12" s="141"/>
      <c r="H12" s="141"/>
      <c r="I12" s="141"/>
      <c r="J12" s="141"/>
      <c r="K12" s="141"/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41">
        <v>0</v>
      </c>
      <c r="R12" s="141">
        <v>0</v>
      </c>
      <c r="S12" s="141">
        <v>0</v>
      </c>
      <c r="T12" s="161"/>
      <c r="U12" s="161"/>
      <c r="V12" s="33" t="s">
        <v>14</v>
      </c>
    </row>
    <row r="13" spans="1:29" hidden="1" x14ac:dyDescent="0.2">
      <c r="A13" s="189" t="s">
        <v>105</v>
      </c>
      <c r="B13" s="141">
        <v>0</v>
      </c>
      <c r="C13" s="141">
        <v>0</v>
      </c>
      <c r="D13" s="141">
        <v>0</v>
      </c>
      <c r="E13" s="141">
        <v>0</v>
      </c>
      <c r="F13" s="141"/>
      <c r="G13" s="141"/>
      <c r="H13" s="141"/>
      <c r="I13" s="141"/>
      <c r="J13" s="141"/>
      <c r="K13" s="141"/>
      <c r="L13" s="141">
        <v>0</v>
      </c>
      <c r="M13" s="141">
        <v>0</v>
      </c>
      <c r="N13" s="141">
        <v>0</v>
      </c>
      <c r="O13" s="141">
        <v>0</v>
      </c>
      <c r="P13" s="141">
        <v>0</v>
      </c>
      <c r="Q13" s="141">
        <v>0</v>
      </c>
      <c r="R13" s="141">
        <v>0</v>
      </c>
      <c r="S13" s="141">
        <v>0</v>
      </c>
      <c r="T13" s="161"/>
      <c r="U13" s="161"/>
      <c r="V13" s="33" t="s">
        <v>14</v>
      </c>
    </row>
    <row r="14" spans="1:29" hidden="1" x14ac:dyDescent="0.2">
      <c r="A14" s="189" t="s">
        <v>106</v>
      </c>
      <c r="B14" s="141">
        <v>0</v>
      </c>
      <c r="C14" s="141">
        <v>0</v>
      </c>
      <c r="D14" s="141">
        <v>0</v>
      </c>
      <c r="E14" s="141">
        <v>0</v>
      </c>
      <c r="F14" s="141"/>
      <c r="G14" s="141"/>
      <c r="H14" s="141"/>
      <c r="I14" s="141"/>
      <c r="J14" s="141"/>
      <c r="K14" s="141"/>
      <c r="L14" s="141">
        <v>0</v>
      </c>
      <c r="M14" s="141">
        <v>0</v>
      </c>
      <c r="N14" s="141">
        <v>0</v>
      </c>
      <c r="O14" s="141">
        <v>0</v>
      </c>
      <c r="P14" s="141">
        <v>0</v>
      </c>
      <c r="Q14" s="141">
        <v>0</v>
      </c>
      <c r="R14" s="141">
        <v>0</v>
      </c>
      <c r="S14" s="141">
        <v>0</v>
      </c>
      <c r="T14" s="161"/>
      <c r="U14" s="161"/>
      <c r="V14" s="33" t="s">
        <v>14</v>
      </c>
    </row>
    <row r="15" spans="1:29" hidden="1" x14ac:dyDescent="0.2">
      <c r="A15" s="189" t="s">
        <v>107</v>
      </c>
      <c r="B15" s="141">
        <v>0</v>
      </c>
      <c r="C15" s="141">
        <v>0</v>
      </c>
      <c r="D15" s="141">
        <v>0</v>
      </c>
      <c r="E15" s="141">
        <v>0</v>
      </c>
      <c r="F15" s="141"/>
      <c r="G15" s="141"/>
      <c r="H15" s="141"/>
      <c r="I15" s="141"/>
      <c r="J15" s="141"/>
      <c r="K15" s="141"/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0</v>
      </c>
      <c r="R15" s="141">
        <v>0</v>
      </c>
      <c r="S15" s="141">
        <v>0</v>
      </c>
      <c r="T15" s="161"/>
      <c r="U15" s="161"/>
      <c r="V15" s="33" t="s">
        <v>14</v>
      </c>
    </row>
    <row r="16" spans="1:29" hidden="1" x14ac:dyDescent="0.2">
      <c r="A16" s="189" t="s">
        <v>108</v>
      </c>
      <c r="B16" s="141">
        <v>0</v>
      </c>
      <c r="C16" s="141">
        <v>0</v>
      </c>
      <c r="D16" s="141">
        <v>0</v>
      </c>
      <c r="E16" s="141">
        <v>0</v>
      </c>
      <c r="F16" s="141"/>
      <c r="G16" s="141"/>
      <c r="H16" s="141"/>
      <c r="I16" s="141"/>
      <c r="J16" s="141"/>
      <c r="K16" s="141"/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41">
        <v>0</v>
      </c>
      <c r="S16" s="141">
        <v>0</v>
      </c>
      <c r="T16" s="161"/>
      <c r="U16" s="161"/>
      <c r="V16" s="33" t="s">
        <v>14</v>
      </c>
    </row>
    <row r="17" spans="1:22" hidden="1" x14ac:dyDescent="0.2">
      <c r="A17" s="189" t="s">
        <v>109</v>
      </c>
      <c r="B17" s="141">
        <v>0</v>
      </c>
      <c r="C17" s="141">
        <v>0</v>
      </c>
      <c r="D17" s="141">
        <v>0</v>
      </c>
      <c r="E17" s="141">
        <v>0</v>
      </c>
      <c r="F17" s="141"/>
      <c r="G17" s="141"/>
      <c r="H17" s="141"/>
      <c r="I17" s="141"/>
      <c r="J17" s="141"/>
      <c r="K17" s="141"/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0</v>
      </c>
      <c r="R17" s="141">
        <v>0</v>
      </c>
      <c r="S17" s="141">
        <v>0</v>
      </c>
      <c r="T17" s="161"/>
      <c r="U17" s="161"/>
      <c r="V17" s="33" t="s">
        <v>14</v>
      </c>
    </row>
    <row r="18" spans="1:22" hidden="1" x14ac:dyDescent="0.2">
      <c r="A18" s="189" t="s">
        <v>110</v>
      </c>
      <c r="B18" s="141">
        <v>0</v>
      </c>
      <c r="C18" s="141">
        <v>0</v>
      </c>
      <c r="D18" s="141">
        <v>0</v>
      </c>
      <c r="E18" s="141">
        <v>0</v>
      </c>
      <c r="F18" s="141"/>
      <c r="G18" s="141"/>
      <c r="H18" s="141"/>
      <c r="I18" s="141"/>
      <c r="J18" s="141"/>
      <c r="K18" s="141"/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0</v>
      </c>
      <c r="T18" s="161"/>
      <c r="U18" s="161"/>
      <c r="V18" s="33" t="s">
        <v>14</v>
      </c>
    </row>
    <row r="19" spans="1:22" hidden="1" x14ac:dyDescent="0.2">
      <c r="A19" s="189" t="s">
        <v>111</v>
      </c>
      <c r="B19" s="141">
        <v>0</v>
      </c>
      <c r="C19" s="141">
        <v>0</v>
      </c>
      <c r="D19" s="141">
        <v>0</v>
      </c>
      <c r="E19" s="141">
        <v>0</v>
      </c>
      <c r="F19" s="141"/>
      <c r="G19" s="141"/>
      <c r="H19" s="141"/>
      <c r="I19" s="141"/>
      <c r="J19" s="141"/>
      <c r="K19" s="141"/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0</v>
      </c>
      <c r="R19" s="141">
        <v>0</v>
      </c>
      <c r="S19" s="141">
        <v>0</v>
      </c>
      <c r="T19" s="161"/>
      <c r="U19" s="161"/>
      <c r="V19" s="33" t="s">
        <v>14</v>
      </c>
    </row>
    <row r="20" spans="1:22" hidden="1" x14ac:dyDescent="0.2">
      <c r="A20" s="190" t="s">
        <v>112</v>
      </c>
      <c r="B20" s="138">
        <v>0</v>
      </c>
      <c r="C20" s="138">
        <v>0</v>
      </c>
      <c r="D20" s="138">
        <v>0</v>
      </c>
      <c r="E20" s="138">
        <v>0</v>
      </c>
      <c r="F20" s="138"/>
      <c r="G20" s="138"/>
      <c r="H20" s="138"/>
      <c r="I20" s="138"/>
      <c r="J20" s="138"/>
      <c r="K20" s="138"/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38">
        <v>0</v>
      </c>
      <c r="R20" s="138">
        <v>0</v>
      </c>
      <c r="S20" s="138">
        <v>0</v>
      </c>
      <c r="T20" s="161"/>
      <c r="U20" s="161"/>
      <c r="V20" s="33" t="s">
        <v>14</v>
      </c>
    </row>
    <row r="21" spans="1:22" hidden="1" x14ac:dyDescent="0.2">
      <c r="A21" s="188" t="s">
        <v>113</v>
      </c>
      <c r="B21" s="125">
        <f>SUM(B9:B20)</f>
        <v>0</v>
      </c>
      <c r="C21" s="125">
        <f>SUM(C9:C20)</f>
        <v>0</v>
      </c>
      <c r="D21" s="125">
        <f>SUM(D9:D20)</f>
        <v>0</v>
      </c>
      <c r="E21" s="125">
        <f>SUM(E9:E20)</f>
        <v>0</v>
      </c>
      <c r="F21" s="125"/>
      <c r="G21" s="125"/>
      <c r="H21" s="125"/>
      <c r="I21" s="125"/>
      <c r="J21" s="125"/>
      <c r="K21" s="125"/>
      <c r="L21" s="125">
        <f>SUM(L9:L20)</f>
        <v>0</v>
      </c>
      <c r="M21" s="125">
        <f t="shared" ref="M21" si="0">SUM(M9:M20)</f>
        <v>0</v>
      </c>
      <c r="N21" s="125">
        <f>SUM(N9:N20)</f>
        <v>0</v>
      </c>
      <c r="O21" s="125">
        <f t="shared" ref="O21" si="1">SUM(O9:O20)</f>
        <v>0</v>
      </c>
      <c r="P21" s="125">
        <f>SUM(P9:P20)</f>
        <v>0</v>
      </c>
      <c r="Q21" s="125">
        <f t="shared" ref="Q21" si="2">SUM(Q9:Q20)</f>
        <v>0</v>
      </c>
      <c r="R21" s="125">
        <f>SUM(R9:R20)</f>
        <v>0</v>
      </c>
      <c r="S21" s="125">
        <f t="shared" ref="S21" si="3">SUM(S9:S20)</f>
        <v>0</v>
      </c>
      <c r="T21" s="161"/>
      <c r="U21" s="161"/>
      <c r="V21" s="33" t="s">
        <v>14</v>
      </c>
    </row>
    <row r="22" spans="1:22" hidden="1" x14ac:dyDescent="0.2">
      <c r="A22" s="191" t="s">
        <v>114</v>
      </c>
      <c r="B22" s="141">
        <f>-B21*0.5</f>
        <v>0</v>
      </c>
      <c r="C22" s="141">
        <f t="shared" ref="C22:R22" si="4">-C21*0.5</f>
        <v>0</v>
      </c>
      <c r="D22" s="141">
        <f t="shared" si="4"/>
        <v>0</v>
      </c>
      <c r="E22" s="141">
        <f t="shared" si="4"/>
        <v>0</v>
      </c>
      <c r="F22" s="141"/>
      <c r="G22" s="141"/>
      <c r="H22" s="141"/>
      <c r="I22" s="141"/>
      <c r="J22" s="141"/>
      <c r="K22" s="141"/>
      <c r="L22" s="141">
        <f t="shared" si="4"/>
        <v>0</v>
      </c>
      <c r="M22" s="141"/>
      <c r="N22" s="141">
        <f t="shared" si="4"/>
        <v>0</v>
      </c>
      <c r="O22" s="141">
        <f t="shared" si="4"/>
        <v>0</v>
      </c>
      <c r="P22" s="141">
        <f t="shared" si="4"/>
        <v>0</v>
      </c>
      <c r="Q22" s="141">
        <f t="shared" si="4"/>
        <v>0</v>
      </c>
      <c r="R22" s="141">
        <f t="shared" si="4"/>
        <v>0</v>
      </c>
      <c r="S22" s="141"/>
      <c r="T22" s="161"/>
      <c r="U22" s="161"/>
      <c r="V22" s="33" t="s">
        <v>14</v>
      </c>
    </row>
    <row r="23" spans="1:22" hidden="1" x14ac:dyDescent="0.2">
      <c r="A23" s="189" t="s">
        <v>127</v>
      </c>
      <c r="B23" s="141"/>
      <c r="C23" s="141">
        <v>0</v>
      </c>
      <c r="D23" s="141"/>
      <c r="E23" s="141">
        <v>0</v>
      </c>
      <c r="F23" s="141"/>
      <c r="G23" s="141"/>
      <c r="H23" s="141"/>
      <c r="I23" s="141"/>
      <c r="J23" s="141"/>
      <c r="K23" s="141"/>
      <c r="L23" s="141"/>
      <c r="M23" s="141">
        <v>0</v>
      </c>
      <c r="N23" s="141"/>
      <c r="O23" s="141">
        <v>0</v>
      </c>
      <c r="P23" s="141"/>
      <c r="Q23" s="141">
        <v>0</v>
      </c>
      <c r="R23" s="141"/>
      <c r="S23" s="141">
        <v>0</v>
      </c>
      <c r="T23" s="161"/>
      <c r="U23" s="161"/>
      <c r="V23" s="33" t="s">
        <v>14</v>
      </c>
    </row>
    <row r="24" spans="1:22" hidden="1" x14ac:dyDescent="0.2">
      <c r="A24" s="190" t="s">
        <v>115</v>
      </c>
      <c r="B24" s="138">
        <f>SUM(B21:B23)</f>
        <v>0</v>
      </c>
      <c r="C24" s="138">
        <f t="shared" ref="C24:S24" si="5">SUM(C21:C23)</f>
        <v>0</v>
      </c>
      <c r="D24" s="138">
        <f t="shared" si="5"/>
        <v>0</v>
      </c>
      <c r="E24" s="138">
        <f t="shared" si="5"/>
        <v>0</v>
      </c>
      <c r="F24" s="138"/>
      <c r="G24" s="138"/>
      <c r="H24" s="138"/>
      <c r="I24" s="138"/>
      <c r="J24" s="138"/>
      <c r="K24" s="138"/>
      <c r="L24" s="138">
        <f t="shared" si="5"/>
        <v>0</v>
      </c>
      <c r="M24" s="138">
        <f t="shared" si="5"/>
        <v>0</v>
      </c>
      <c r="N24" s="138">
        <f t="shared" si="5"/>
        <v>0</v>
      </c>
      <c r="O24" s="138">
        <f t="shared" si="5"/>
        <v>0</v>
      </c>
      <c r="P24" s="138">
        <f t="shared" si="5"/>
        <v>0</v>
      </c>
      <c r="Q24" s="138">
        <f t="shared" si="5"/>
        <v>0</v>
      </c>
      <c r="R24" s="138">
        <f t="shared" si="5"/>
        <v>0</v>
      </c>
      <c r="S24" s="138">
        <f t="shared" si="5"/>
        <v>0</v>
      </c>
      <c r="T24" s="161"/>
      <c r="U24" s="161"/>
      <c r="V24" s="33" t="s">
        <v>14</v>
      </c>
    </row>
    <row r="25" spans="1:22" hidden="1" x14ac:dyDescent="0.2">
      <c r="A25" s="189" t="s">
        <v>73</v>
      </c>
      <c r="B25" s="141"/>
      <c r="C25" s="141">
        <v>0</v>
      </c>
      <c r="D25" s="141"/>
      <c r="E25" s="141">
        <v>0</v>
      </c>
      <c r="F25" s="141"/>
      <c r="G25" s="141"/>
      <c r="H25" s="141"/>
      <c r="I25" s="141"/>
      <c r="J25" s="141"/>
      <c r="K25" s="141"/>
      <c r="L25" s="141"/>
      <c r="M25" s="141">
        <v>0</v>
      </c>
      <c r="N25" s="141"/>
      <c r="O25" s="141">
        <v>0</v>
      </c>
      <c r="P25" s="141"/>
      <c r="Q25" s="141">
        <v>0</v>
      </c>
      <c r="R25" s="141"/>
      <c r="S25" s="141">
        <v>0</v>
      </c>
      <c r="T25" s="161"/>
      <c r="U25" s="161"/>
      <c r="V25" s="33" t="s">
        <v>14</v>
      </c>
    </row>
    <row r="26" spans="1:22" hidden="1" x14ac:dyDescent="0.2">
      <c r="A26" s="189" t="s">
        <v>74</v>
      </c>
      <c r="B26" s="141"/>
      <c r="C26" s="141">
        <v>0</v>
      </c>
      <c r="D26" s="141"/>
      <c r="E26" s="141">
        <v>0</v>
      </c>
      <c r="F26" s="141"/>
      <c r="G26" s="141"/>
      <c r="H26" s="141"/>
      <c r="I26" s="141"/>
      <c r="J26" s="141"/>
      <c r="K26" s="141"/>
      <c r="L26" s="141"/>
      <c r="M26" s="141">
        <v>0</v>
      </c>
      <c r="N26" s="141"/>
      <c r="O26" s="141">
        <v>0</v>
      </c>
      <c r="P26" s="141"/>
      <c r="Q26" s="141">
        <v>0</v>
      </c>
      <c r="R26" s="141"/>
      <c r="S26" s="141">
        <v>0</v>
      </c>
      <c r="T26" s="161"/>
      <c r="U26" s="161"/>
      <c r="V26" s="33" t="s">
        <v>14</v>
      </c>
    </row>
    <row r="27" spans="1:22" hidden="1" x14ac:dyDescent="0.2">
      <c r="A27" s="189" t="s">
        <v>128</v>
      </c>
      <c r="B27" s="141"/>
      <c r="C27" s="141">
        <v>0</v>
      </c>
      <c r="D27" s="141"/>
      <c r="E27" s="141">
        <v>0</v>
      </c>
      <c r="F27" s="141"/>
      <c r="G27" s="141"/>
      <c r="H27" s="141"/>
      <c r="I27" s="141"/>
      <c r="J27" s="141"/>
      <c r="K27" s="141"/>
      <c r="L27" s="141"/>
      <c r="M27" s="141">
        <v>0</v>
      </c>
      <c r="N27" s="141"/>
      <c r="O27" s="141">
        <v>0</v>
      </c>
      <c r="P27" s="141"/>
      <c r="Q27" s="141">
        <v>0</v>
      </c>
      <c r="R27" s="141"/>
      <c r="S27" s="141">
        <v>0</v>
      </c>
      <c r="T27" s="161"/>
      <c r="U27" s="161"/>
      <c r="V27" s="33" t="s">
        <v>14</v>
      </c>
    </row>
    <row r="28" spans="1:22" hidden="1" x14ac:dyDescent="0.2">
      <c r="A28" s="189" t="s">
        <v>75</v>
      </c>
      <c r="B28" s="141"/>
      <c r="C28" s="141">
        <v>0</v>
      </c>
      <c r="D28" s="141"/>
      <c r="E28" s="141">
        <v>0</v>
      </c>
      <c r="F28" s="141"/>
      <c r="G28" s="141"/>
      <c r="H28" s="141"/>
      <c r="I28" s="141"/>
      <c r="J28" s="141"/>
      <c r="K28" s="141"/>
      <c r="L28" s="141"/>
      <c r="M28" s="141">
        <v>0</v>
      </c>
      <c r="N28" s="141"/>
      <c r="O28" s="141">
        <v>0</v>
      </c>
      <c r="P28" s="141"/>
      <c r="Q28" s="141">
        <v>0</v>
      </c>
      <c r="R28" s="141"/>
      <c r="S28" s="141">
        <v>0</v>
      </c>
      <c r="T28" s="161"/>
      <c r="U28" s="161"/>
      <c r="V28" s="33" t="s">
        <v>14</v>
      </c>
    </row>
    <row r="29" spans="1:22" hidden="1" x14ac:dyDescent="0.2">
      <c r="A29" s="189" t="s">
        <v>77</v>
      </c>
      <c r="B29" s="141"/>
      <c r="C29" s="141">
        <v>0</v>
      </c>
      <c r="D29" s="141"/>
      <c r="E29" s="141">
        <v>0</v>
      </c>
      <c r="F29" s="141"/>
      <c r="G29" s="141"/>
      <c r="H29" s="141"/>
      <c r="I29" s="141"/>
      <c r="J29" s="141"/>
      <c r="K29" s="141"/>
      <c r="L29" s="141"/>
      <c r="M29" s="141">
        <v>0</v>
      </c>
      <c r="N29" s="141"/>
      <c r="O29" s="141">
        <v>0</v>
      </c>
      <c r="P29" s="141"/>
      <c r="Q29" s="141">
        <v>0</v>
      </c>
      <c r="R29" s="141"/>
      <c r="S29" s="141">
        <v>0</v>
      </c>
      <c r="T29" s="161"/>
      <c r="U29" s="161"/>
      <c r="V29" s="33" t="s">
        <v>14</v>
      </c>
    </row>
    <row r="30" spans="1:22" hidden="1" x14ac:dyDescent="0.2">
      <c r="A30" s="189" t="s">
        <v>78</v>
      </c>
      <c r="B30" s="141"/>
      <c r="C30" s="141">
        <v>0</v>
      </c>
      <c r="D30" s="141"/>
      <c r="E30" s="141">
        <v>0</v>
      </c>
      <c r="F30" s="141"/>
      <c r="G30" s="141"/>
      <c r="H30" s="141"/>
      <c r="I30" s="141"/>
      <c r="J30" s="141"/>
      <c r="K30" s="141"/>
      <c r="L30" s="141"/>
      <c r="M30" s="141">
        <v>0</v>
      </c>
      <c r="N30" s="141"/>
      <c r="O30" s="141">
        <v>0</v>
      </c>
      <c r="P30" s="141"/>
      <c r="Q30" s="141">
        <v>0</v>
      </c>
      <c r="R30" s="141"/>
      <c r="S30" s="141">
        <v>0</v>
      </c>
      <c r="T30" s="161"/>
      <c r="U30" s="161"/>
      <c r="V30" s="33" t="s">
        <v>14</v>
      </c>
    </row>
    <row r="31" spans="1:22" hidden="1" x14ac:dyDescent="0.2">
      <c r="A31" s="189" t="s">
        <v>79</v>
      </c>
      <c r="B31" s="141"/>
      <c r="C31" s="141">
        <v>0</v>
      </c>
      <c r="D31" s="141"/>
      <c r="E31" s="141">
        <v>0</v>
      </c>
      <c r="F31" s="141"/>
      <c r="G31" s="141"/>
      <c r="H31" s="141"/>
      <c r="I31" s="141"/>
      <c r="J31" s="141"/>
      <c r="K31" s="141"/>
      <c r="L31" s="141"/>
      <c r="M31" s="141">
        <v>0</v>
      </c>
      <c r="N31" s="141"/>
      <c r="O31" s="141">
        <v>0</v>
      </c>
      <c r="P31" s="141"/>
      <c r="Q31" s="141">
        <v>0</v>
      </c>
      <c r="R31" s="141"/>
      <c r="S31" s="141">
        <v>0</v>
      </c>
      <c r="T31" s="161"/>
      <c r="U31" s="161"/>
      <c r="V31" s="33" t="s">
        <v>14</v>
      </c>
    </row>
    <row r="32" spans="1:22" hidden="1" x14ac:dyDescent="0.2">
      <c r="A32" s="189" t="s">
        <v>80</v>
      </c>
      <c r="B32" s="141"/>
      <c r="C32" s="141">
        <v>0</v>
      </c>
      <c r="D32" s="141"/>
      <c r="E32" s="141">
        <v>0</v>
      </c>
      <c r="F32" s="141"/>
      <c r="G32" s="141"/>
      <c r="H32" s="141"/>
      <c r="I32" s="141"/>
      <c r="J32" s="141"/>
      <c r="K32" s="141"/>
      <c r="L32" s="141"/>
      <c r="M32" s="141">
        <v>0</v>
      </c>
      <c r="N32" s="141"/>
      <c r="O32" s="141">
        <v>0</v>
      </c>
      <c r="P32" s="141"/>
      <c r="Q32" s="141">
        <v>0</v>
      </c>
      <c r="R32" s="141"/>
      <c r="S32" s="141">
        <v>0</v>
      </c>
      <c r="T32" s="161"/>
      <c r="U32" s="161"/>
      <c r="V32" s="33" t="s">
        <v>14</v>
      </c>
    </row>
    <row r="33" spans="1:22" hidden="1" x14ac:dyDescent="0.2">
      <c r="A33" s="189" t="s">
        <v>81</v>
      </c>
      <c r="B33" s="141"/>
      <c r="C33" s="141">
        <v>0</v>
      </c>
      <c r="D33" s="141"/>
      <c r="E33" s="141">
        <v>0</v>
      </c>
      <c r="F33" s="141"/>
      <c r="G33" s="141"/>
      <c r="H33" s="141"/>
      <c r="I33" s="141"/>
      <c r="J33" s="141"/>
      <c r="K33" s="141"/>
      <c r="L33" s="141"/>
      <c r="M33" s="141">
        <v>0</v>
      </c>
      <c r="N33" s="141"/>
      <c r="O33" s="141">
        <v>0</v>
      </c>
      <c r="P33" s="141"/>
      <c r="Q33" s="141">
        <v>0</v>
      </c>
      <c r="R33" s="141"/>
      <c r="S33" s="141">
        <v>0</v>
      </c>
      <c r="T33" s="161"/>
      <c r="U33" s="161"/>
      <c r="V33" s="33" t="s">
        <v>14</v>
      </c>
    </row>
    <row r="34" spans="1:22" hidden="1" x14ac:dyDescent="0.2">
      <c r="A34" s="189" t="s">
        <v>83</v>
      </c>
      <c r="B34" s="141"/>
      <c r="C34" s="141">
        <v>0</v>
      </c>
      <c r="D34" s="141"/>
      <c r="E34" s="141">
        <v>0</v>
      </c>
      <c r="F34" s="141"/>
      <c r="G34" s="141"/>
      <c r="H34" s="141"/>
      <c r="I34" s="141"/>
      <c r="J34" s="141"/>
      <c r="K34" s="141"/>
      <c r="L34" s="141"/>
      <c r="M34" s="141">
        <v>0</v>
      </c>
      <c r="N34" s="141"/>
      <c r="O34" s="141">
        <v>0</v>
      </c>
      <c r="P34" s="141"/>
      <c r="Q34" s="141">
        <v>0</v>
      </c>
      <c r="R34" s="141"/>
      <c r="S34" s="141">
        <v>0</v>
      </c>
      <c r="T34" s="161"/>
      <c r="U34" s="161"/>
      <c r="V34" s="33" t="s">
        <v>14</v>
      </c>
    </row>
    <row r="35" spans="1:22" hidden="1" x14ac:dyDescent="0.2">
      <c r="A35" s="189" t="s">
        <v>84</v>
      </c>
      <c r="B35" s="141"/>
      <c r="C35" s="141">
        <v>0</v>
      </c>
      <c r="D35" s="141"/>
      <c r="E35" s="141">
        <v>0</v>
      </c>
      <c r="F35" s="141"/>
      <c r="G35" s="141"/>
      <c r="H35" s="141"/>
      <c r="I35" s="141"/>
      <c r="J35" s="141"/>
      <c r="K35" s="141"/>
      <c r="L35" s="141"/>
      <c r="M35" s="141">
        <v>0</v>
      </c>
      <c r="N35" s="141"/>
      <c r="O35" s="141">
        <v>0</v>
      </c>
      <c r="P35" s="141"/>
      <c r="Q35" s="141">
        <v>0</v>
      </c>
      <c r="R35" s="141"/>
      <c r="S35" s="141">
        <v>0</v>
      </c>
      <c r="T35" s="161"/>
      <c r="U35" s="161"/>
      <c r="V35" s="33" t="s">
        <v>14</v>
      </c>
    </row>
    <row r="36" spans="1:22" hidden="1" x14ac:dyDescent="0.2">
      <c r="A36" s="189" t="s">
        <v>86</v>
      </c>
      <c r="B36" s="141"/>
      <c r="C36" s="141">
        <v>0</v>
      </c>
      <c r="D36" s="141"/>
      <c r="E36" s="141">
        <v>0</v>
      </c>
      <c r="F36" s="141"/>
      <c r="G36" s="141"/>
      <c r="H36" s="141"/>
      <c r="I36" s="141"/>
      <c r="J36" s="141"/>
      <c r="K36" s="141"/>
      <c r="L36" s="141"/>
      <c r="M36" s="141">
        <v>0</v>
      </c>
      <c r="N36" s="141"/>
      <c r="O36" s="141">
        <v>0</v>
      </c>
      <c r="P36" s="141"/>
      <c r="Q36" s="141">
        <v>0</v>
      </c>
      <c r="R36" s="141"/>
      <c r="S36" s="141">
        <v>0</v>
      </c>
      <c r="T36" s="161"/>
      <c r="U36" s="161"/>
      <c r="V36" s="33" t="s">
        <v>14</v>
      </c>
    </row>
    <row r="37" spans="1:22" hidden="1" x14ac:dyDescent="0.2">
      <c r="A37" s="192" t="s">
        <v>87</v>
      </c>
      <c r="B37" s="120"/>
      <c r="C37" s="120">
        <v>0</v>
      </c>
      <c r="D37" s="120"/>
      <c r="E37" s="120">
        <v>0</v>
      </c>
      <c r="F37" s="120"/>
      <c r="G37" s="120"/>
      <c r="H37" s="120"/>
      <c r="I37" s="120"/>
      <c r="J37" s="120"/>
      <c r="K37" s="120"/>
      <c r="L37" s="120"/>
      <c r="M37" s="120">
        <v>0</v>
      </c>
      <c r="N37" s="120"/>
      <c r="O37" s="120">
        <v>0</v>
      </c>
      <c r="P37" s="120"/>
      <c r="Q37" s="120">
        <v>0</v>
      </c>
      <c r="R37" s="120"/>
      <c r="S37" s="120">
        <v>0</v>
      </c>
      <c r="T37" s="161"/>
      <c r="U37" s="161"/>
      <c r="V37" s="33" t="s">
        <v>14</v>
      </c>
    </row>
    <row r="38" spans="1:22" ht="15" hidden="1" x14ac:dyDescent="0.25">
      <c r="A38" s="41" t="s">
        <v>126</v>
      </c>
      <c r="B38" s="83">
        <f>SUM(B24:B37)</f>
        <v>0</v>
      </c>
      <c r="C38" s="83">
        <f t="shared" ref="C38:S38" si="6">SUM(C24:C37)</f>
        <v>0</v>
      </c>
      <c r="D38" s="83">
        <f t="shared" si="6"/>
        <v>0</v>
      </c>
      <c r="E38" s="83">
        <f t="shared" si="6"/>
        <v>0</v>
      </c>
      <c r="F38" s="83"/>
      <c r="G38" s="83"/>
      <c r="H38" s="83"/>
      <c r="I38" s="83"/>
      <c r="J38" s="83"/>
      <c r="K38" s="83"/>
      <c r="L38" s="83">
        <f t="shared" si="6"/>
        <v>0</v>
      </c>
      <c r="M38" s="83">
        <f t="shared" si="6"/>
        <v>0</v>
      </c>
      <c r="N38" s="83">
        <f t="shared" si="6"/>
        <v>0</v>
      </c>
      <c r="O38" s="83">
        <f t="shared" si="6"/>
        <v>0</v>
      </c>
      <c r="P38" s="83">
        <f t="shared" si="6"/>
        <v>0</v>
      </c>
      <c r="Q38" s="83">
        <f t="shared" si="6"/>
        <v>0</v>
      </c>
      <c r="R38" s="83">
        <f t="shared" si="6"/>
        <v>0</v>
      </c>
      <c r="S38" s="83">
        <f t="shared" si="6"/>
        <v>0</v>
      </c>
      <c r="T38" s="39"/>
      <c r="U38" s="39"/>
      <c r="V38" s="33" t="s">
        <v>14</v>
      </c>
    </row>
    <row r="39" spans="1:22" ht="15" hidden="1" x14ac:dyDescent="0.25">
      <c r="A39" s="40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3" t="s">
        <v>14</v>
      </c>
    </row>
    <row r="40" spans="1:22" x14ac:dyDescent="0.2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V40" s="33" t="s">
        <v>14</v>
      </c>
    </row>
    <row r="41" spans="1:22" ht="30" customHeight="1" x14ac:dyDescent="0.2">
      <c r="A41" s="289" t="s">
        <v>153</v>
      </c>
      <c r="B41" s="287" t="s">
        <v>195</v>
      </c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88"/>
      <c r="N41" s="287" t="s">
        <v>19</v>
      </c>
      <c r="O41" s="292"/>
      <c r="P41" s="292"/>
      <c r="Q41" s="292"/>
      <c r="R41" s="292"/>
      <c r="S41" s="288"/>
      <c r="T41" s="295" t="s">
        <v>13</v>
      </c>
      <c r="U41" s="296"/>
      <c r="V41" s="33" t="s">
        <v>14</v>
      </c>
    </row>
    <row r="42" spans="1:22" ht="15" customHeight="1" x14ac:dyDescent="0.2">
      <c r="A42" s="290"/>
      <c r="B42" s="287" t="s">
        <v>249</v>
      </c>
      <c r="C42" s="288"/>
      <c r="D42" s="287" t="s">
        <v>250</v>
      </c>
      <c r="E42" s="288"/>
      <c r="F42" s="287" t="s">
        <v>250</v>
      </c>
      <c r="G42" s="288"/>
      <c r="H42" s="287" t="s">
        <v>250</v>
      </c>
      <c r="I42" s="288"/>
      <c r="J42" s="287" t="s">
        <v>252</v>
      </c>
      <c r="K42" s="288"/>
      <c r="L42" s="287" t="s">
        <v>252</v>
      </c>
      <c r="M42" s="288"/>
      <c r="N42" s="287" t="s">
        <v>99</v>
      </c>
      <c r="O42" s="288"/>
      <c r="P42" s="287" t="s">
        <v>100</v>
      </c>
      <c r="Q42" s="288"/>
      <c r="R42" s="287" t="s">
        <v>30</v>
      </c>
      <c r="S42" s="288"/>
      <c r="T42" s="265"/>
      <c r="U42" s="269"/>
      <c r="V42" s="33" t="s">
        <v>14</v>
      </c>
    </row>
    <row r="43" spans="1:22" ht="44.25" customHeight="1" x14ac:dyDescent="0.2">
      <c r="A43" s="290"/>
      <c r="B43" s="293" t="s">
        <v>157</v>
      </c>
      <c r="C43" s="294"/>
      <c r="D43" s="293" t="s">
        <v>165</v>
      </c>
      <c r="E43" s="294"/>
      <c r="F43" s="293" t="s">
        <v>251</v>
      </c>
      <c r="G43" s="294"/>
      <c r="H43" s="293" t="s">
        <v>168</v>
      </c>
      <c r="I43" s="294"/>
      <c r="J43" s="293" t="s">
        <v>158</v>
      </c>
      <c r="K43" s="294"/>
      <c r="L43" s="293" t="s">
        <v>158</v>
      </c>
      <c r="M43" s="294"/>
      <c r="N43" s="242"/>
      <c r="O43" s="243"/>
      <c r="P43" s="242"/>
      <c r="Q43" s="243"/>
      <c r="R43" s="242"/>
      <c r="S43" s="243"/>
      <c r="T43" s="241"/>
      <c r="U43" s="240"/>
      <c r="V43" s="33"/>
    </row>
    <row r="44" spans="1:22" ht="37.5" customHeight="1" x14ac:dyDescent="0.2">
      <c r="A44" s="291"/>
      <c r="B44" s="122" t="s">
        <v>2</v>
      </c>
      <c r="C44" s="122" t="s">
        <v>3</v>
      </c>
      <c r="D44" s="122" t="s">
        <v>2</v>
      </c>
      <c r="E44" s="122" t="s">
        <v>3</v>
      </c>
      <c r="F44" s="122" t="s">
        <v>2</v>
      </c>
      <c r="G44" s="122" t="s">
        <v>3</v>
      </c>
      <c r="H44" s="122" t="s">
        <v>2</v>
      </c>
      <c r="I44" s="122" t="s">
        <v>3</v>
      </c>
      <c r="J44" s="122" t="s">
        <v>2</v>
      </c>
      <c r="K44" s="122" t="s">
        <v>3</v>
      </c>
      <c r="L44" s="122" t="s">
        <v>2</v>
      </c>
      <c r="M44" s="122" t="s">
        <v>3</v>
      </c>
      <c r="N44" s="122" t="s">
        <v>2</v>
      </c>
      <c r="O44" s="122" t="s">
        <v>3</v>
      </c>
      <c r="P44" s="122" t="s">
        <v>2</v>
      </c>
      <c r="Q44" s="122" t="s">
        <v>3</v>
      </c>
      <c r="R44" s="122" t="s">
        <v>2</v>
      </c>
      <c r="S44" s="122" t="s">
        <v>3</v>
      </c>
      <c r="T44" s="122" t="s">
        <v>2</v>
      </c>
      <c r="U44" s="122" t="s">
        <v>3</v>
      </c>
      <c r="V44" s="33" t="s">
        <v>14</v>
      </c>
    </row>
    <row r="45" spans="1:22" hidden="1" x14ac:dyDescent="0.2">
      <c r="A45" s="188" t="s">
        <v>101</v>
      </c>
      <c r="B45" s="125">
        <v>0</v>
      </c>
      <c r="C45" s="125">
        <v>0</v>
      </c>
      <c r="D45" s="125">
        <v>0</v>
      </c>
      <c r="E45" s="125">
        <v>0</v>
      </c>
      <c r="F45" s="125"/>
      <c r="G45" s="125"/>
      <c r="H45" s="125"/>
      <c r="I45" s="125"/>
      <c r="J45" s="125"/>
      <c r="K45" s="125"/>
      <c r="L45" s="125">
        <v>0</v>
      </c>
      <c r="M45" s="125">
        <v>0</v>
      </c>
      <c r="N45" s="125">
        <v>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f t="shared" ref="T45:T58" si="7">B9+D9+L9+N9+P9+R9+B45+D45+L45+N45+P45+R45</f>
        <v>0</v>
      </c>
      <c r="U45" s="125">
        <f t="shared" ref="U45:U58" si="8">C9+E9+M9+O9+Q9+S9+C45+E45+M45+O45+Q45+S45</f>
        <v>0</v>
      </c>
      <c r="V45" s="33" t="s">
        <v>14</v>
      </c>
    </row>
    <row r="46" spans="1:22" hidden="1" x14ac:dyDescent="0.2">
      <c r="A46" s="189" t="s">
        <v>102</v>
      </c>
      <c r="B46" s="141">
        <v>0</v>
      </c>
      <c r="C46" s="141">
        <v>0</v>
      </c>
      <c r="D46" s="141">
        <v>0</v>
      </c>
      <c r="E46" s="141">
        <v>0</v>
      </c>
      <c r="F46" s="141"/>
      <c r="G46" s="141"/>
      <c r="H46" s="141"/>
      <c r="I46" s="141"/>
      <c r="J46" s="141"/>
      <c r="K46" s="141"/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f t="shared" si="7"/>
        <v>0</v>
      </c>
      <c r="U46" s="141">
        <f t="shared" si="8"/>
        <v>0</v>
      </c>
      <c r="V46" s="33" t="s">
        <v>14</v>
      </c>
    </row>
    <row r="47" spans="1:22" hidden="1" x14ac:dyDescent="0.2">
      <c r="A47" s="189" t="s">
        <v>103</v>
      </c>
      <c r="B47" s="141">
        <v>0</v>
      </c>
      <c r="C47" s="141">
        <v>0</v>
      </c>
      <c r="D47" s="141">
        <v>0</v>
      </c>
      <c r="E47" s="141">
        <v>0</v>
      </c>
      <c r="F47" s="141"/>
      <c r="G47" s="141"/>
      <c r="H47" s="141"/>
      <c r="I47" s="141"/>
      <c r="J47" s="141"/>
      <c r="K47" s="141"/>
      <c r="L47" s="141">
        <v>0</v>
      </c>
      <c r="M47" s="141">
        <v>0</v>
      </c>
      <c r="N47" s="141">
        <v>0</v>
      </c>
      <c r="O47" s="141">
        <v>0</v>
      </c>
      <c r="P47" s="141">
        <v>0</v>
      </c>
      <c r="Q47" s="141">
        <v>0</v>
      </c>
      <c r="R47" s="141">
        <v>0</v>
      </c>
      <c r="S47" s="141">
        <v>0</v>
      </c>
      <c r="T47" s="141">
        <f t="shared" si="7"/>
        <v>0</v>
      </c>
      <c r="U47" s="141">
        <f t="shared" si="8"/>
        <v>0</v>
      </c>
      <c r="V47" s="33" t="s">
        <v>14</v>
      </c>
    </row>
    <row r="48" spans="1:22" hidden="1" x14ac:dyDescent="0.2">
      <c r="A48" s="189" t="s">
        <v>104</v>
      </c>
      <c r="B48" s="141">
        <v>0</v>
      </c>
      <c r="C48" s="141">
        <v>0</v>
      </c>
      <c r="D48" s="141">
        <v>0</v>
      </c>
      <c r="E48" s="141">
        <v>0</v>
      </c>
      <c r="F48" s="141"/>
      <c r="G48" s="141"/>
      <c r="H48" s="141"/>
      <c r="I48" s="141"/>
      <c r="J48" s="141"/>
      <c r="K48" s="141"/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0</v>
      </c>
      <c r="T48" s="141">
        <f t="shared" si="7"/>
        <v>0</v>
      </c>
      <c r="U48" s="141">
        <f t="shared" si="8"/>
        <v>0</v>
      </c>
      <c r="V48" s="33" t="s">
        <v>14</v>
      </c>
    </row>
    <row r="49" spans="1:22" hidden="1" x14ac:dyDescent="0.2">
      <c r="A49" s="189" t="s">
        <v>105</v>
      </c>
      <c r="B49" s="141">
        <v>0</v>
      </c>
      <c r="C49" s="141">
        <v>0</v>
      </c>
      <c r="D49" s="141">
        <v>0</v>
      </c>
      <c r="E49" s="141">
        <v>0</v>
      </c>
      <c r="F49" s="141"/>
      <c r="G49" s="141"/>
      <c r="H49" s="141"/>
      <c r="I49" s="141"/>
      <c r="J49" s="141"/>
      <c r="K49" s="141"/>
      <c r="L49" s="141">
        <v>0</v>
      </c>
      <c r="M49" s="141">
        <v>0</v>
      </c>
      <c r="N49" s="141">
        <v>0</v>
      </c>
      <c r="O49" s="141">
        <v>0</v>
      </c>
      <c r="P49" s="141">
        <v>0</v>
      </c>
      <c r="Q49" s="141">
        <v>0</v>
      </c>
      <c r="R49" s="141">
        <v>0</v>
      </c>
      <c r="S49" s="141">
        <v>0</v>
      </c>
      <c r="T49" s="141">
        <f t="shared" si="7"/>
        <v>0</v>
      </c>
      <c r="U49" s="141">
        <f t="shared" si="8"/>
        <v>0</v>
      </c>
      <c r="V49" s="33" t="s">
        <v>14</v>
      </c>
    </row>
    <row r="50" spans="1:22" hidden="1" x14ac:dyDescent="0.2">
      <c r="A50" s="189" t="s">
        <v>106</v>
      </c>
      <c r="B50" s="141">
        <v>0</v>
      </c>
      <c r="C50" s="141">
        <v>0</v>
      </c>
      <c r="D50" s="141">
        <v>0</v>
      </c>
      <c r="E50" s="141">
        <v>0</v>
      </c>
      <c r="F50" s="141"/>
      <c r="G50" s="141"/>
      <c r="H50" s="141"/>
      <c r="I50" s="141"/>
      <c r="J50" s="141"/>
      <c r="K50" s="141"/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  <c r="T50" s="141">
        <f t="shared" si="7"/>
        <v>0</v>
      </c>
      <c r="U50" s="141">
        <f t="shared" si="8"/>
        <v>0</v>
      </c>
      <c r="V50" s="33" t="s">
        <v>14</v>
      </c>
    </row>
    <row r="51" spans="1:22" hidden="1" x14ac:dyDescent="0.2">
      <c r="A51" s="189" t="s">
        <v>107</v>
      </c>
      <c r="B51" s="141">
        <v>0</v>
      </c>
      <c r="C51" s="141">
        <v>0</v>
      </c>
      <c r="D51" s="141">
        <v>0</v>
      </c>
      <c r="E51" s="141">
        <v>0</v>
      </c>
      <c r="F51" s="141"/>
      <c r="G51" s="141"/>
      <c r="H51" s="141"/>
      <c r="I51" s="141"/>
      <c r="J51" s="141"/>
      <c r="K51" s="141"/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141">
        <v>0</v>
      </c>
      <c r="R51" s="141">
        <v>0</v>
      </c>
      <c r="S51" s="141">
        <v>0</v>
      </c>
      <c r="T51" s="141">
        <f t="shared" si="7"/>
        <v>0</v>
      </c>
      <c r="U51" s="141">
        <f t="shared" si="8"/>
        <v>0</v>
      </c>
      <c r="V51" s="33" t="s">
        <v>14</v>
      </c>
    </row>
    <row r="52" spans="1:22" hidden="1" x14ac:dyDescent="0.2">
      <c r="A52" s="189" t="s">
        <v>108</v>
      </c>
      <c r="B52" s="141">
        <v>0</v>
      </c>
      <c r="C52" s="141">
        <v>0</v>
      </c>
      <c r="D52" s="141">
        <v>0</v>
      </c>
      <c r="E52" s="141">
        <v>0</v>
      </c>
      <c r="F52" s="141"/>
      <c r="G52" s="141"/>
      <c r="H52" s="141"/>
      <c r="I52" s="141"/>
      <c r="J52" s="141"/>
      <c r="K52" s="141"/>
      <c r="L52" s="141">
        <v>0</v>
      </c>
      <c r="M52" s="141">
        <v>0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  <c r="S52" s="141">
        <v>0</v>
      </c>
      <c r="T52" s="141">
        <f t="shared" si="7"/>
        <v>0</v>
      </c>
      <c r="U52" s="141">
        <f t="shared" si="8"/>
        <v>0</v>
      </c>
      <c r="V52" s="33" t="s">
        <v>14</v>
      </c>
    </row>
    <row r="53" spans="1:22" hidden="1" x14ac:dyDescent="0.2">
      <c r="A53" s="189" t="s">
        <v>109</v>
      </c>
      <c r="B53" s="141">
        <v>0</v>
      </c>
      <c r="C53" s="141">
        <v>0</v>
      </c>
      <c r="D53" s="141">
        <v>0</v>
      </c>
      <c r="E53" s="141">
        <v>0</v>
      </c>
      <c r="F53" s="141"/>
      <c r="G53" s="141"/>
      <c r="H53" s="141"/>
      <c r="I53" s="141"/>
      <c r="J53" s="141"/>
      <c r="K53" s="141"/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141">
        <v>0</v>
      </c>
      <c r="R53" s="141">
        <v>0</v>
      </c>
      <c r="S53" s="141">
        <v>0</v>
      </c>
      <c r="T53" s="141">
        <f t="shared" si="7"/>
        <v>0</v>
      </c>
      <c r="U53" s="141">
        <f t="shared" si="8"/>
        <v>0</v>
      </c>
      <c r="V53" s="33" t="s">
        <v>14</v>
      </c>
    </row>
    <row r="54" spans="1:22" hidden="1" x14ac:dyDescent="0.2">
      <c r="A54" s="189" t="s">
        <v>110</v>
      </c>
      <c r="B54" s="141">
        <v>0</v>
      </c>
      <c r="C54" s="141">
        <v>0</v>
      </c>
      <c r="D54" s="141">
        <v>0</v>
      </c>
      <c r="E54" s="141">
        <v>0</v>
      </c>
      <c r="F54" s="141"/>
      <c r="G54" s="141"/>
      <c r="H54" s="141"/>
      <c r="I54" s="141"/>
      <c r="J54" s="141"/>
      <c r="K54" s="141"/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41">
        <v>0</v>
      </c>
      <c r="R54" s="141">
        <v>0</v>
      </c>
      <c r="S54" s="141">
        <v>0</v>
      </c>
      <c r="T54" s="141">
        <f t="shared" si="7"/>
        <v>0</v>
      </c>
      <c r="U54" s="141">
        <f t="shared" si="8"/>
        <v>0</v>
      </c>
      <c r="V54" s="33" t="s">
        <v>14</v>
      </c>
    </row>
    <row r="55" spans="1:22" hidden="1" x14ac:dyDescent="0.2">
      <c r="A55" s="189" t="s">
        <v>111</v>
      </c>
      <c r="B55" s="141">
        <v>0</v>
      </c>
      <c r="C55" s="141">
        <v>0</v>
      </c>
      <c r="D55" s="141">
        <v>0</v>
      </c>
      <c r="E55" s="141">
        <v>0</v>
      </c>
      <c r="F55" s="141"/>
      <c r="G55" s="141"/>
      <c r="H55" s="141"/>
      <c r="I55" s="141"/>
      <c r="J55" s="141"/>
      <c r="K55" s="141"/>
      <c r="L55" s="141">
        <v>0</v>
      </c>
      <c r="M55" s="141">
        <v>0</v>
      </c>
      <c r="N55" s="141">
        <v>0</v>
      </c>
      <c r="O55" s="141">
        <v>0</v>
      </c>
      <c r="P55" s="141">
        <v>0</v>
      </c>
      <c r="Q55" s="141">
        <v>0</v>
      </c>
      <c r="R55" s="141">
        <v>0</v>
      </c>
      <c r="S55" s="141">
        <v>0</v>
      </c>
      <c r="T55" s="141">
        <f t="shared" si="7"/>
        <v>0</v>
      </c>
      <c r="U55" s="141">
        <f t="shared" si="8"/>
        <v>0</v>
      </c>
      <c r="V55" s="33" t="s">
        <v>14</v>
      </c>
    </row>
    <row r="56" spans="1:22" hidden="1" x14ac:dyDescent="0.2">
      <c r="A56" s="190" t="s">
        <v>112</v>
      </c>
      <c r="B56" s="138">
        <v>0</v>
      </c>
      <c r="C56" s="138">
        <v>0</v>
      </c>
      <c r="D56" s="138">
        <v>0</v>
      </c>
      <c r="E56" s="138">
        <v>0</v>
      </c>
      <c r="F56" s="138"/>
      <c r="G56" s="138"/>
      <c r="H56" s="138"/>
      <c r="I56" s="138"/>
      <c r="J56" s="138"/>
      <c r="K56" s="138"/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f t="shared" si="7"/>
        <v>0</v>
      </c>
      <c r="U56" s="138">
        <f t="shared" si="8"/>
        <v>0</v>
      </c>
      <c r="V56" s="33" t="s">
        <v>14</v>
      </c>
    </row>
    <row r="57" spans="1:22" hidden="1" x14ac:dyDescent="0.2">
      <c r="A57" s="188" t="s">
        <v>113</v>
      </c>
      <c r="B57" s="125">
        <f>SUM(B45:B56)</f>
        <v>0</v>
      </c>
      <c r="C57" s="125">
        <f>SUM(C45:C56)</f>
        <v>0</v>
      </c>
      <c r="D57" s="125">
        <f>SUM(D45:D56)</f>
        <v>0</v>
      </c>
      <c r="E57" s="125">
        <f>SUM(E45:E56)</f>
        <v>0</v>
      </c>
      <c r="F57" s="125"/>
      <c r="G57" s="125"/>
      <c r="H57" s="125"/>
      <c r="I57" s="125"/>
      <c r="J57" s="125"/>
      <c r="K57" s="125"/>
      <c r="L57" s="125">
        <f>SUM(L45:L56)</f>
        <v>0</v>
      </c>
      <c r="M57" s="125">
        <f t="shared" ref="M57" si="9">SUM(M45:M56)</f>
        <v>0</v>
      </c>
      <c r="N57" s="125">
        <f>SUM(N45:N56)</f>
        <v>0</v>
      </c>
      <c r="O57" s="125">
        <f t="shared" ref="O57" si="10">SUM(O45:O56)</f>
        <v>0</v>
      </c>
      <c r="P57" s="125">
        <f>SUM(P45:P56)</f>
        <v>0</v>
      </c>
      <c r="Q57" s="125">
        <f t="shared" ref="Q57" si="11">SUM(Q45:Q56)</f>
        <v>0</v>
      </c>
      <c r="R57" s="125">
        <f>SUM(R45:R56)</f>
        <v>0</v>
      </c>
      <c r="S57" s="125">
        <f t="shared" ref="S57" si="12">SUM(S45:S56)</f>
        <v>0</v>
      </c>
      <c r="T57" s="125">
        <f t="shared" si="7"/>
        <v>0</v>
      </c>
      <c r="U57" s="125">
        <f t="shared" si="8"/>
        <v>0</v>
      </c>
      <c r="V57" s="33" t="s">
        <v>14</v>
      </c>
    </row>
    <row r="58" spans="1:22" hidden="1" x14ac:dyDescent="0.2">
      <c r="A58" s="191" t="s">
        <v>114</v>
      </c>
      <c r="B58" s="141">
        <f>-B57*0.5</f>
        <v>0</v>
      </c>
      <c r="C58" s="141">
        <f t="shared" ref="C58:R58" si="13">-C57*0.5</f>
        <v>0</v>
      </c>
      <c r="D58" s="141">
        <f t="shared" si="13"/>
        <v>0</v>
      </c>
      <c r="E58" s="141">
        <f t="shared" si="13"/>
        <v>0</v>
      </c>
      <c r="F58" s="141"/>
      <c r="G58" s="141"/>
      <c r="H58" s="141"/>
      <c r="I58" s="141"/>
      <c r="J58" s="141"/>
      <c r="K58" s="141"/>
      <c r="L58" s="141">
        <f t="shared" si="13"/>
        <v>0</v>
      </c>
      <c r="M58" s="141"/>
      <c r="N58" s="141">
        <f t="shared" si="13"/>
        <v>0</v>
      </c>
      <c r="O58" s="141">
        <f t="shared" si="13"/>
        <v>0</v>
      </c>
      <c r="P58" s="141">
        <f t="shared" si="13"/>
        <v>0</v>
      </c>
      <c r="Q58" s="141">
        <f t="shared" si="13"/>
        <v>0</v>
      </c>
      <c r="R58" s="141">
        <f t="shared" si="13"/>
        <v>0</v>
      </c>
      <c r="S58" s="141"/>
      <c r="T58" s="141">
        <f t="shared" si="7"/>
        <v>0</v>
      </c>
      <c r="U58" s="141">
        <f t="shared" si="8"/>
        <v>0</v>
      </c>
      <c r="V58" s="33" t="s">
        <v>14</v>
      </c>
    </row>
    <row r="59" spans="1:22" hidden="1" x14ac:dyDescent="0.2">
      <c r="A59" s="189" t="s">
        <v>127</v>
      </c>
      <c r="B59" s="141"/>
      <c r="C59" s="141">
        <v>0</v>
      </c>
      <c r="D59" s="141"/>
      <c r="E59" s="141">
        <v>0</v>
      </c>
      <c r="F59" s="141"/>
      <c r="G59" s="141"/>
      <c r="H59" s="141"/>
      <c r="I59" s="141"/>
      <c r="J59" s="141"/>
      <c r="K59" s="141"/>
      <c r="L59" s="141"/>
      <c r="M59" s="141">
        <v>0</v>
      </c>
      <c r="N59" s="141"/>
      <c r="O59" s="141">
        <v>0</v>
      </c>
      <c r="P59" s="141"/>
      <c r="Q59" s="141">
        <v>0</v>
      </c>
      <c r="R59" s="141"/>
      <c r="S59" s="141">
        <v>0</v>
      </c>
      <c r="T59" s="141"/>
      <c r="U59" s="141">
        <f>C23+E23+M23+O23+Q23+S23+C59+E59+M59+O59+Q59+S59</f>
        <v>0</v>
      </c>
      <c r="V59" s="33" t="s">
        <v>14</v>
      </c>
    </row>
    <row r="60" spans="1:22" hidden="1" x14ac:dyDescent="0.2">
      <c r="A60" s="190" t="s">
        <v>115</v>
      </c>
      <c r="B60" s="138">
        <f>SUM(B57:B59)</f>
        <v>0</v>
      </c>
      <c r="C60" s="138">
        <f t="shared" ref="C60:S60" si="14">SUM(C57:C59)</f>
        <v>0</v>
      </c>
      <c r="D60" s="138">
        <f t="shared" si="14"/>
        <v>0</v>
      </c>
      <c r="E60" s="138">
        <f t="shared" si="14"/>
        <v>0</v>
      </c>
      <c r="F60" s="138"/>
      <c r="G60" s="138"/>
      <c r="H60" s="138"/>
      <c r="I60" s="138"/>
      <c r="J60" s="138"/>
      <c r="K60" s="138"/>
      <c r="L60" s="138">
        <f t="shared" si="14"/>
        <v>0</v>
      </c>
      <c r="M60" s="138">
        <f t="shared" si="14"/>
        <v>0</v>
      </c>
      <c r="N60" s="138">
        <f t="shared" si="14"/>
        <v>0</v>
      </c>
      <c r="O60" s="138">
        <f t="shared" si="14"/>
        <v>0</v>
      </c>
      <c r="P60" s="138">
        <f t="shared" si="14"/>
        <v>0</v>
      </c>
      <c r="Q60" s="138">
        <f t="shared" si="14"/>
        <v>0</v>
      </c>
      <c r="R60" s="138">
        <f t="shared" si="14"/>
        <v>0</v>
      </c>
      <c r="S60" s="138">
        <f t="shared" si="14"/>
        <v>0</v>
      </c>
      <c r="T60" s="138">
        <f>B24+D24+L24+N24+P24+R24+B60+D60+L60+N60+P60+R60</f>
        <v>0</v>
      </c>
      <c r="U60" s="138">
        <f>C24+E24+M24+O24+Q24+S24+C60+E60+M60+O60+Q60+S60</f>
        <v>0</v>
      </c>
      <c r="V60" s="33" t="s">
        <v>14</v>
      </c>
    </row>
    <row r="61" spans="1:22" x14ac:dyDescent="0.2">
      <c r="A61" s="189" t="s">
        <v>196</v>
      </c>
      <c r="B61" s="141"/>
      <c r="C61" s="141">
        <v>250</v>
      </c>
      <c r="D61" s="141"/>
      <c r="E61" s="141">
        <v>2000</v>
      </c>
      <c r="F61" s="141"/>
      <c r="G61" s="141">
        <v>5500</v>
      </c>
      <c r="H61" s="141"/>
      <c r="I61" s="141">
        <v>1000</v>
      </c>
      <c r="J61" s="141"/>
      <c r="K61" s="141">
        <v>-250</v>
      </c>
      <c r="L61" s="141"/>
      <c r="M61" s="141">
        <v>-3000</v>
      </c>
      <c r="N61" s="141"/>
      <c r="O61" s="141">
        <v>0</v>
      </c>
      <c r="P61" s="141"/>
      <c r="Q61" s="141">
        <v>0</v>
      </c>
      <c r="R61" s="141"/>
      <c r="S61" s="141">
        <v>0</v>
      </c>
      <c r="T61" s="141"/>
      <c r="U61" s="141">
        <f>C25+E25+G25+M25+O25+Q25+S25+C61+E61+M61+O61+Q61+S61+G61+I61+K61</f>
        <v>5500</v>
      </c>
      <c r="V61" s="33" t="s">
        <v>14</v>
      </c>
    </row>
    <row r="62" spans="1:22" hidden="1" x14ac:dyDescent="0.2">
      <c r="A62" s="189" t="s">
        <v>74</v>
      </c>
      <c r="B62" s="141"/>
      <c r="C62" s="141">
        <v>0</v>
      </c>
      <c r="D62" s="141"/>
      <c r="E62" s="141">
        <v>0</v>
      </c>
      <c r="F62" s="141"/>
      <c r="G62" s="141"/>
      <c r="H62" s="141"/>
      <c r="I62" s="141"/>
      <c r="J62" s="141"/>
      <c r="K62" s="141"/>
      <c r="L62" s="141"/>
      <c r="M62" s="141">
        <v>0</v>
      </c>
      <c r="N62" s="141"/>
      <c r="O62" s="141">
        <v>0</v>
      </c>
      <c r="P62" s="141"/>
      <c r="Q62" s="141">
        <v>0</v>
      </c>
      <c r="R62" s="141"/>
      <c r="S62" s="141">
        <v>0</v>
      </c>
      <c r="T62" s="141"/>
      <c r="U62" s="141">
        <f t="shared" ref="U62:U73" si="15">C26+E26+M26+O26+Q26+S26+C62+E62+M62+O62+Q62+S62</f>
        <v>0</v>
      </c>
      <c r="V62" s="33" t="s">
        <v>14</v>
      </c>
    </row>
    <row r="63" spans="1:22" hidden="1" x14ac:dyDescent="0.2">
      <c r="A63" s="189" t="s">
        <v>128</v>
      </c>
      <c r="B63" s="141"/>
      <c r="C63" s="141">
        <v>0</v>
      </c>
      <c r="D63" s="141"/>
      <c r="E63" s="141">
        <v>0</v>
      </c>
      <c r="F63" s="141"/>
      <c r="G63" s="141"/>
      <c r="H63" s="141"/>
      <c r="I63" s="141"/>
      <c r="J63" s="141"/>
      <c r="K63" s="141"/>
      <c r="L63" s="141"/>
      <c r="M63" s="141">
        <v>0</v>
      </c>
      <c r="N63" s="141"/>
      <c r="O63" s="141">
        <v>0</v>
      </c>
      <c r="P63" s="141"/>
      <c r="Q63" s="141">
        <v>0</v>
      </c>
      <c r="R63" s="141"/>
      <c r="S63" s="141">
        <v>0</v>
      </c>
      <c r="T63" s="141"/>
      <c r="U63" s="141">
        <f t="shared" si="15"/>
        <v>0</v>
      </c>
      <c r="V63" s="33" t="s">
        <v>14</v>
      </c>
    </row>
    <row r="64" spans="1:22" hidden="1" x14ac:dyDescent="0.2">
      <c r="A64" s="189" t="s">
        <v>75</v>
      </c>
      <c r="B64" s="141"/>
      <c r="C64" s="141">
        <v>0</v>
      </c>
      <c r="D64" s="141"/>
      <c r="E64" s="141">
        <v>0</v>
      </c>
      <c r="F64" s="141"/>
      <c r="G64" s="141"/>
      <c r="H64" s="141"/>
      <c r="I64" s="141"/>
      <c r="J64" s="141"/>
      <c r="K64" s="141"/>
      <c r="L64" s="141"/>
      <c r="M64" s="141">
        <v>0</v>
      </c>
      <c r="N64" s="141"/>
      <c r="O64" s="141">
        <v>0</v>
      </c>
      <c r="P64" s="141"/>
      <c r="Q64" s="141">
        <v>0</v>
      </c>
      <c r="R64" s="141"/>
      <c r="S64" s="141">
        <v>0</v>
      </c>
      <c r="T64" s="141"/>
      <c r="U64" s="141">
        <f t="shared" si="15"/>
        <v>0</v>
      </c>
      <c r="V64" s="33" t="s">
        <v>14</v>
      </c>
    </row>
    <row r="65" spans="1:22" hidden="1" x14ac:dyDescent="0.2">
      <c r="A65" s="189" t="s">
        <v>77</v>
      </c>
      <c r="B65" s="141"/>
      <c r="C65" s="141">
        <v>0</v>
      </c>
      <c r="D65" s="141"/>
      <c r="E65" s="141">
        <v>0</v>
      </c>
      <c r="F65" s="141"/>
      <c r="G65" s="141"/>
      <c r="H65" s="141"/>
      <c r="I65" s="141"/>
      <c r="J65" s="141"/>
      <c r="K65" s="141"/>
      <c r="L65" s="141"/>
      <c r="M65" s="141">
        <v>0</v>
      </c>
      <c r="N65" s="141"/>
      <c r="O65" s="141">
        <v>0</v>
      </c>
      <c r="P65" s="141"/>
      <c r="Q65" s="141">
        <v>0</v>
      </c>
      <c r="R65" s="141"/>
      <c r="S65" s="141">
        <v>0</v>
      </c>
      <c r="T65" s="141"/>
      <c r="U65" s="141">
        <f t="shared" si="15"/>
        <v>0</v>
      </c>
      <c r="V65" s="33" t="s">
        <v>14</v>
      </c>
    </row>
    <row r="66" spans="1:22" hidden="1" x14ac:dyDescent="0.2">
      <c r="A66" s="189" t="s">
        <v>78</v>
      </c>
      <c r="B66" s="141"/>
      <c r="C66" s="141">
        <v>0</v>
      </c>
      <c r="D66" s="141"/>
      <c r="E66" s="141">
        <v>0</v>
      </c>
      <c r="F66" s="141"/>
      <c r="G66" s="141"/>
      <c r="H66" s="141"/>
      <c r="I66" s="141"/>
      <c r="J66" s="141"/>
      <c r="K66" s="141"/>
      <c r="L66" s="141"/>
      <c r="M66" s="141">
        <v>0</v>
      </c>
      <c r="N66" s="141"/>
      <c r="O66" s="141">
        <v>0</v>
      </c>
      <c r="P66" s="141"/>
      <c r="Q66" s="141">
        <v>0</v>
      </c>
      <c r="R66" s="141"/>
      <c r="S66" s="141">
        <v>0</v>
      </c>
      <c r="T66" s="141"/>
      <c r="U66" s="141">
        <f t="shared" si="15"/>
        <v>0</v>
      </c>
      <c r="V66" s="33" t="s">
        <v>14</v>
      </c>
    </row>
    <row r="67" spans="1:22" hidden="1" x14ac:dyDescent="0.2">
      <c r="A67" s="189" t="s">
        <v>79</v>
      </c>
      <c r="B67" s="141"/>
      <c r="C67" s="141">
        <v>0</v>
      </c>
      <c r="D67" s="141"/>
      <c r="E67" s="141">
        <v>0</v>
      </c>
      <c r="F67" s="141"/>
      <c r="G67" s="141"/>
      <c r="H67" s="141"/>
      <c r="I67" s="141"/>
      <c r="J67" s="141"/>
      <c r="K67" s="141"/>
      <c r="L67" s="141"/>
      <c r="M67" s="141">
        <v>0</v>
      </c>
      <c r="N67" s="141"/>
      <c r="O67" s="141">
        <v>0</v>
      </c>
      <c r="P67" s="141"/>
      <c r="Q67" s="141">
        <v>0</v>
      </c>
      <c r="R67" s="141"/>
      <c r="S67" s="141">
        <v>0</v>
      </c>
      <c r="T67" s="141"/>
      <c r="U67" s="141">
        <f t="shared" si="15"/>
        <v>0</v>
      </c>
      <c r="V67" s="33" t="s">
        <v>14</v>
      </c>
    </row>
    <row r="68" spans="1:22" hidden="1" x14ac:dyDescent="0.2">
      <c r="A68" s="189" t="s">
        <v>80</v>
      </c>
      <c r="B68" s="141"/>
      <c r="C68" s="141">
        <v>0</v>
      </c>
      <c r="D68" s="141"/>
      <c r="E68" s="141">
        <v>0</v>
      </c>
      <c r="F68" s="141"/>
      <c r="G68" s="141"/>
      <c r="H68" s="141"/>
      <c r="I68" s="141"/>
      <c r="J68" s="141"/>
      <c r="K68" s="141"/>
      <c r="L68" s="141"/>
      <c r="M68" s="141">
        <v>0</v>
      </c>
      <c r="N68" s="141"/>
      <c r="O68" s="141">
        <v>0</v>
      </c>
      <c r="P68" s="141"/>
      <c r="Q68" s="141">
        <v>0</v>
      </c>
      <c r="R68" s="141"/>
      <c r="S68" s="141">
        <v>0</v>
      </c>
      <c r="T68" s="141"/>
      <c r="U68" s="141">
        <f t="shared" si="15"/>
        <v>0</v>
      </c>
      <c r="V68" s="33" t="s">
        <v>14</v>
      </c>
    </row>
    <row r="69" spans="1:22" hidden="1" x14ac:dyDescent="0.2">
      <c r="A69" s="189" t="s">
        <v>81</v>
      </c>
      <c r="B69" s="141"/>
      <c r="C69" s="141">
        <v>0</v>
      </c>
      <c r="D69" s="141"/>
      <c r="E69" s="141">
        <v>0</v>
      </c>
      <c r="F69" s="141"/>
      <c r="G69" s="141"/>
      <c r="H69" s="141"/>
      <c r="I69" s="141"/>
      <c r="J69" s="141"/>
      <c r="K69" s="141"/>
      <c r="L69" s="141"/>
      <c r="M69" s="141">
        <v>0</v>
      </c>
      <c r="N69" s="141"/>
      <c r="O69" s="141">
        <v>0</v>
      </c>
      <c r="P69" s="141"/>
      <c r="Q69" s="141">
        <v>0</v>
      </c>
      <c r="R69" s="141"/>
      <c r="S69" s="141">
        <v>0</v>
      </c>
      <c r="T69" s="141"/>
      <c r="U69" s="141">
        <f t="shared" si="15"/>
        <v>0</v>
      </c>
      <c r="V69" s="33" t="s">
        <v>14</v>
      </c>
    </row>
    <row r="70" spans="1:22" hidden="1" x14ac:dyDescent="0.2">
      <c r="A70" s="189" t="s">
        <v>83</v>
      </c>
      <c r="B70" s="141"/>
      <c r="C70" s="141">
        <v>0</v>
      </c>
      <c r="D70" s="141"/>
      <c r="E70" s="141">
        <v>0</v>
      </c>
      <c r="F70" s="141"/>
      <c r="G70" s="141"/>
      <c r="H70" s="141"/>
      <c r="I70" s="141"/>
      <c r="J70" s="141"/>
      <c r="K70" s="141"/>
      <c r="L70" s="141"/>
      <c r="M70" s="141">
        <v>0</v>
      </c>
      <c r="N70" s="141"/>
      <c r="O70" s="141">
        <v>0</v>
      </c>
      <c r="P70" s="141"/>
      <c r="Q70" s="141">
        <v>0</v>
      </c>
      <c r="R70" s="141"/>
      <c r="S70" s="141">
        <v>0</v>
      </c>
      <c r="T70" s="141"/>
      <c r="U70" s="141">
        <f t="shared" si="15"/>
        <v>0</v>
      </c>
      <c r="V70" s="33" t="s">
        <v>14</v>
      </c>
    </row>
    <row r="71" spans="1:22" hidden="1" x14ac:dyDescent="0.2">
      <c r="A71" s="189" t="s">
        <v>84</v>
      </c>
      <c r="B71" s="141"/>
      <c r="C71" s="141">
        <v>0</v>
      </c>
      <c r="D71" s="141"/>
      <c r="E71" s="141">
        <v>0</v>
      </c>
      <c r="F71" s="141"/>
      <c r="G71" s="141"/>
      <c r="H71" s="141"/>
      <c r="I71" s="141"/>
      <c r="J71" s="141"/>
      <c r="K71" s="141"/>
      <c r="L71" s="141"/>
      <c r="M71" s="141">
        <v>0</v>
      </c>
      <c r="N71" s="141"/>
      <c r="O71" s="141">
        <v>0</v>
      </c>
      <c r="P71" s="141"/>
      <c r="Q71" s="141">
        <v>0</v>
      </c>
      <c r="R71" s="141"/>
      <c r="S71" s="141">
        <v>0</v>
      </c>
      <c r="T71" s="141"/>
      <c r="U71" s="141">
        <f t="shared" si="15"/>
        <v>0</v>
      </c>
      <c r="V71" s="33" t="s">
        <v>14</v>
      </c>
    </row>
    <row r="72" spans="1:22" hidden="1" x14ac:dyDescent="0.2">
      <c r="A72" s="189" t="s">
        <v>86</v>
      </c>
      <c r="B72" s="141"/>
      <c r="C72" s="141">
        <v>0</v>
      </c>
      <c r="D72" s="141"/>
      <c r="E72" s="141">
        <v>0</v>
      </c>
      <c r="F72" s="141"/>
      <c r="G72" s="141"/>
      <c r="H72" s="141"/>
      <c r="I72" s="141"/>
      <c r="J72" s="141"/>
      <c r="K72" s="141"/>
      <c r="L72" s="141"/>
      <c r="M72" s="141">
        <v>0</v>
      </c>
      <c r="N72" s="141"/>
      <c r="O72" s="141">
        <v>0</v>
      </c>
      <c r="P72" s="141"/>
      <c r="Q72" s="141">
        <v>0</v>
      </c>
      <c r="R72" s="141"/>
      <c r="S72" s="141">
        <v>0</v>
      </c>
      <c r="T72" s="141"/>
      <c r="U72" s="141">
        <f t="shared" si="15"/>
        <v>0</v>
      </c>
      <c r="V72" s="33" t="s">
        <v>14</v>
      </c>
    </row>
    <row r="73" spans="1:22" hidden="1" x14ac:dyDescent="0.2">
      <c r="A73" s="192" t="s">
        <v>87</v>
      </c>
      <c r="B73" s="120"/>
      <c r="C73" s="120">
        <v>0</v>
      </c>
      <c r="D73" s="120"/>
      <c r="E73" s="120">
        <v>0</v>
      </c>
      <c r="F73" s="120"/>
      <c r="G73" s="120"/>
      <c r="H73" s="120"/>
      <c r="I73" s="120"/>
      <c r="J73" s="120"/>
      <c r="K73" s="120"/>
      <c r="L73" s="120"/>
      <c r="M73" s="120">
        <v>0</v>
      </c>
      <c r="N73" s="120"/>
      <c r="O73" s="120">
        <v>0</v>
      </c>
      <c r="P73" s="120"/>
      <c r="Q73" s="120">
        <v>0</v>
      </c>
      <c r="R73" s="120"/>
      <c r="S73" s="120">
        <v>0</v>
      </c>
      <c r="T73" s="120"/>
      <c r="U73" s="120">
        <f t="shared" si="15"/>
        <v>0</v>
      </c>
      <c r="V73" s="33" t="s">
        <v>14</v>
      </c>
    </row>
    <row r="74" spans="1:22" ht="15" x14ac:dyDescent="0.25">
      <c r="A74" s="41" t="s">
        <v>126</v>
      </c>
      <c r="B74" s="83">
        <f>SUM(B60:B73)</f>
        <v>0</v>
      </c>
      <c r="C74" s="83">
        <f t="shared" ref="C74:U74" si="16">SUM(C60:C73)</f>
        <v>250</v>
      </c>
      <c r="D74" s="83">
        <f t="shared" si="16"/>
        <v>0</v>
      </c>
      <c r="E74" s="83">
        <f t="shared" si="16"/>
        <v>2000</v>
      </c>
      <c r="F74" s="83">
        <f t="shared" si="16"/>
        <v>0</v>
      </c>
      <c r="G74" s="83">
        <f t="shared" si="16"/>
        <v>5500</v>
      </c>
      <c r="H74" s="83">
        <f t="shared" si="16"/>
        <v>0</v>
      </c>
      <c r="I74" s="83">
        <f t="shared" si="16"/>
        <v>1000</v>
      </c>
      <c r="J74" s="83">
        <f t="shared" si="16"/>
        <v>0</v>
      </c>
      <c r="K74" s="83">
        <f t="shared" si="16"/>
        <v>-250</v>
      </c>
      <c r="L74" s="83">
        <f t="shared" si="16"/>
        <v>0</v>
      </c>
      <c r="M74" s="83">
        <f t="shared" si="16"/>
        <v>-3000</v>
      </c>
      <c r="N74" s="83">
        <f t="shared" si="16"/>
        <v>0</v>
      </c>
      <c r="O74" s="83">
        <f t="shared" si="16"/>
        <v>0</v>
      </c>
      <c r="P74" s="83">
        <f t="shared" si="16"/>
        <v>0</v>
      </c>
      <c r="Q74" s="83">
        <f t="shared" si="16"/>
        <v>0</v>
      </c>
      <c r="R74" s="83">
        <f t="shared" si="16"/>
        <v>0</v>
      </c>
      <c r="S74" s="83">
        <f t="shared" si="16"/>
        <v>0</v>
      </c>
      <c r="T74" s="83">
        <f t="shared" si="16"/>
        <v>0</v>
      </c>
      <c r="U74" s="83">
        <f t="shared" si="16"/>
        <v>5500</v>
      </c>
      <c r="V74" s="33" t="s">
        <v>14</v>
      </c>
    </row>
    <row r="75" spans="1:22" x14ac:dyDescent="0.2">
      <c r="V75" s="33" t="s">
        <v>15</v>
      </c>
    </row>
  </sheetData>
  <mergeCells count="33">
    <mergeCell ref="J43:K43"/>
    <mergeCell ref="L43:M43"/>
    <mergeCell ref="T41:U42"/>
    <mergeCell ref="B42:C42"/>
    <mergeCell ref="D42:E42"/>
    <mergeCell ref="L42:M42"/>
    <mergeCell ref="N42:O42"/>
    <mergeCell ref="P42:Q42"/>
    <mergeCell ref="R42:S42"/>
    <mergeCell ref="F42:G42"/>
    <mergeCell ref="H42:I42"/>
    <mergeCell ref="J42:K42"/>
    <mergeCell ref="L7:M7"/>
    <mergeCell ref="N7:O7"/>
    <mergeCell ref="P7:Q7"/>
    <mergeCell ref="R7:S7"/>
    <mergeCell ref="A41:A44"/>
    <mergeCell ref="B41:M41"/>
    <mergeCell ref="N41:S41"/>
    <mergeCell ref="A6:A8"/>
    <mergeCell ref="B6:M6"/>
    <mergeCell ref="N6:S6"/>
    <mergeCell ref="B7:C7"/>
    <mergeCell ref="D7:E7"/>
    <mergeCell ref="B43:C43"/>
    <mergeCell ref="D43:E43"/>
    <mergeCell ref="F43:G43"/>
    <mergeCell ref="H43:I43"/>
    <mergeCell ref="A1:U1"/>
    <mergeCell ref="A2:U2"/>
    <mergeCell ref="A3:U3"/>
    <mergeCell ref="A4:U4"/>
    <mergeCell ref="A5:S5"/>
  </mergeCells>
  <printOptions horizontalCentered="1"/>
  <pageMargins left="0.7" right="0.7" top="0.52" bottom="0.39" header="0.3" footer="0.23"/>
  <pageSetup scale="56" orientation="landscape" r:id="rId1"/>
  <headerFooter>
    <oddHeader xml:space="preserve">&amp;L&amp;"Arial,Bold"&amp;12J. Financial Analysis of Program Changes
</oddHeader>
    <oddFooter>&amp;C&amp;"Arial,Regular"Exhibit J - Financial Analysis of Program Changes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Normal="100" zoomScaleSheetLayoutView="90" workbookViewId="0">
      <pane xSplit="1" ySplit="7" topLeftCell="B25" activePane="bottomRight" state="frozen"/>
      <selection activeCell="A2" sqref="A2:N2"/>
      <selection pane="topRight" activeCell="A2" sqref="A2:N2"/>
      <selection pane="bottomLeft" activeCell="A2" sqref="A2:N2"/>
      <selection pane="bottomRight" activeCell="E41" sqref="E41"/>
    </sheetView>
  </sheetViews>
  <sheetFormatPr defaultRowHeight="14.25" x14ac:dyDescent="0.2"/>
  <cols>
    <col min="1" max="1" width="86.5703125" style="100" customWidth="1"/>
    <col min="2" max="2" width="8.28515625" style="100" customWidth="1"/>
    <col min="3" max="3" width="12.7109375" style="100" customWidth="1"/>
    <col min="4" max="4" width="8.28515625" style="100" customWidth="1"/>
    <col min="5" max="5" width="12.7109375" style="100" customWidth="1"/>
    <col min="6" max="6" width="8.28515625" style="100" customWidth="1"/>
    <col min="7" max="7" width="12.7109375" style="100" customWidth="1"/>
    <col min="8" max="8" width="8.28515625" style="100" customWidth="1"/>
    <col min="9" max="9" width="12.7109375" style="100" customWidth="1"/>
    <col min="10" max="10" width="14" style="4" bestFit="1" customWidth="1"/>
    <col min="11" max="11" width="4.5703125" style="100" customWidth="1"/>
    <col min="12" max="13" width="8.28515625" style="100" customWidth="1"/>
    <col min="14" max="14" width="12.7109375" style="100" customWidth="1"/>
    <col min="15" max="16" width="8.28515625" style="100" customWidth="1"/>
    <col min="17" max="17" width="12.7109375" style="100" customWidth="1"/>
    <col min="18" max="16384" width="9.140625" style="100"/>
  </cols>
  <sheetData>
    <row r="1" spans="1:17" ht="18" x14ac:dyDescent="0.25">
      <c r="A1" s="250" t="s">
        <v>66</v>
      </c>
      <c r="B1" s="250"/>
      <c r="C1" s="250"/>
      <c r="D1" s="250"/>
      <c r="E1" s="250"/>
      <c r="F1" s="250"/>
      <c r="G1" s="250"/>
      <c r="H1" s="250"/>
      <c r="I1" s="250"/>
      <c r="J1" s="33" t="s">
        <v>14</v>
      </c>
      <c r="K1" s="6"/>
      <c r="L1" s="6"/>
      <c r="M1" s="6"/>
      <c r="N1" s="6"/>
      <c r="O1" s="6"/>
      <c r="P1" s="6"/>
      <c r="Q1" s="6"/>
    </row>
    <row r="2" spans="1:17" ht="15" x14ac:dyDescent="0.2">
      <c r="A2" s="251" t="str">
        <f>'[3]B. Summ of Req.'!A2:D2</f>
        <v>Office on Violence Against Women</v>
      </c>
      <c r="B2" s="251"/>
      <c r="C2" s="251"/>
      <c r="D2" s="251"/>
      <c r="E2" s="251"/>
      <c r="F2" s="251"/>
      <c r="G2" s="251"/>
      <c r="H2" s="251"/>
      <c r="I2" s="251"/>
      <c r="J2" s="33" t="s">
        <v>14</v>
      </c>
      <c r="K2" s="7"/>
      <c r="L2" s="7"/>
      <c r="M2" s="7"/>
      <c r="N2" s="7"/>
      <c r="O2" s="7"/>
      <c r="P2" s="7"/>
      <c r="Q2" s="7"/>
    </row>
    <row r="3" spans="1:17" x14ac:dyDescent="0.2">
      <c r="A3" s="252" t="s">
        <v>197</v>
      </c>
      <c r="B3" s="252"/>
      <c r="C3" s="252"/>
      <c r="D3" s="252"/>
      <c r="E3" s="252"/>
      <c r="F3" s="252"/>
      <c r="G3" s="252"/>
      <c r="H3" s="252"/>
      <c r="I3" s="252"/>
      <c r="J3" s="33" t="s">
        <v>14</v>
      </c>
      <c r="K3" s="119"/>
      <c r="L3" s="119"/>
      <c r="M3" s="119"/>
      <c r="N3" s="119"/>
      <c r="O3" s="119"/>
      <c r="P3" s="119"/>
      <c r="Q3" s="119"/>
    </row>
    <row r="4" spans="1:17" x14ac:dyDescent="0.2">
      <c r="A4" s="261" t="s">
        <v>1</v>
      </c>
      <c r="B4" s="261"/>
      <c r="C4" s="261"/>
      <c r="D4" s="261"/>
      <c r="E4" s="261"/>
      <c r="F4" s="261"/>
      <c r="G4" s="261"/>
      <c r="H4" s="261"/>
      <c r="I4" s="261"/>
      <c r="J4" s="33" t="s">
        <v>14</v>
      </c>
      <c r="K4" s="118"/>
      <c r="L4" s="118"/>
      <c r="M4" s="118"/>
      <c r="N4" s="118"/>
      <c r="O4" s="118"/>
      <c r="P4" s="118"/>
      <c r="Q4" s="118"/>
    </row>
    <row r="5" spans="1:17" ht="15" thickBot="1" x14ac:dyDescent="0.25">
      <c r="A5" s="261"/>
      <c r="B5" s="261"/>
      <c r="C5" s="261"/>
      <c r="D5" s="261"/>
      <c r="E5" s="261"/>
      <c r="F5" s="261"/>
      <c r="G5" s="261"/>
      <c r="H5" s="261"/>
      <c r="I5" s="261"/>
      <c r="J5" s="33" t="s">
        <v>14</v>
      </c>
      <c r="K5" s="118"/>
      <c r="L5" s="118"/>
      <c r="M5" s="118"/>
      <c r="N5" s="118"/>
      <c r="O5" s="118"/>
      <c r="P5" s="118"/>
      <c r="Q5" s="118"/>
    </row>
    <row r="6" spans="1:17" ht="51" customHeight="1" x14ac:dyDescent="0.2">
      <c r="A6" s="257" t="s">
        <v>67</v>
      </c>
      <c r="B6" s="259" t="s">
        <v>243</v>
      </c>
      <c r="C6" s="259"/>
      <c r="D6" s="259" t="s">
        <v>216</v>
      </c>
      <c r="E6" s="259"/>
      <c r="F6" s="259" t="s">
        <v>148</v>
      </c>
      <c r="G6" s="259"/>
      <c r="H6" s="259" t="s">
        <v>65</v>
      </c>
      <c r="I6" s="260"/>
      <c r="J6" s="33" t="s">
        <v>14</v>
      </c>
    </row>
    <row r="7" spans="1:17" ht="28.5" x14ac:dyDescent="0.2">
      <c r="A7" s="258"/>
      <c r="B7" s="122" t="s">
        <v>25</v>
      </c>
      <c r="C7" s="122" t="s">
        <v>3</v>
      </c>
      <c r="D7" s="122" t="s">
        <v>25</v>
      </c>
      <c r="E7" s="122" t="s">
        <v>3</v>
      </c>
      <c r="F7" s="122" t="s">
        <v>25</v>
      </c>
      <c r="G7" s="122" t="s">
        <v>3</v>
      </c>
      <c r="H7" s="122" t="s">
        <v>25</v>
      </c>
      <c r="I7" s="123" t="s">
        <v>3</v>
      </c>
      <c r="J7" s="33" t="s">
        <v>14</v>
      </c>
    </row>
    <row r="8" spans="1:17" x14ac:dyDescent="0.2">
      <c r="A8" s="155" t="s">
        <v>198</v>
      </c>
      <c r="B8" s="125">
        <v>55</v>
      </c>
      <c r="C8" s="125">
        <v>5333</v>
      </c>
      <c r="D8" s="125">
        <v>60</v>
      </c>
      <c r="E8" s="125">
        <v>7376</v>
      </c>
      <c r="F8" s="125">
        <v>60</v>
      </c>
      <c r="G8" s="125">
        <v>7462</v>
      </c>
      <c r="H8" s="125">
        <f>F8-D8</f>
        <v>0</v>
      </c>
      <c r="I8" s="126">
        <f>G8-E8</f>
        <v>86</v>
      </c>
      <c r="J8" s="33" t="s">
        <v>14</v>
      </c>
    </row>
    <row r="9" spans="1:17" x14ac:dyDescent="0.2">
      <c r="A9" s="99" t="s">
        <v>68</v>
      </c>
      <c r="B9" s="107">
        <v>3</v>
      </c>
      <c r="C9" s="107">
        <v>702.5</v>
      </c>
      <c r="D9" s="107">
        <v>3</v>
      </c>
      <c r="E9" s="107">
        <v>957</v>
      </c>
      <c r="F9" s="107">
        <v>3</v>
      </c>
      <c r="G9" s="107">
        <v>957</v>
      </c>
      <c r="H9" s="107">
        <f t="shared" ref="H9:I13" si="0">F9-D9</f>
        <v>0</v>
      </c>
      <c r="I9" s="128">
        <f t="shared" si="0"/>
        <v>0</v>
      </c>
      <c r="J9" s="33" t="s">
        <v>14</v>
      </c>
    </row>
    <row r="10" spans="1:17" x14ac:dyDescent="0.2">
      <c r="A10" s="99" t="s">
        <v>127</v>
      </c>
      <c r="B10" s="107">
        <f>SUM(B11:B12)</f>
        <v>0</v>
      </c>
      <c r="C10" s="107">
        <v>3</v>
      </c>
      <c r="D10" s="107">
        <f t="shared" ref="D10:G10" si="1">SUM(D11:D12)</f>
        <v>0</v>
      </c>
      <c r="E10" s="107">
        <f t="shared" si="1"/>
        <v>0</v>
      </c>
      <c r="F10" s="107">
        <f t="shared" si="1"/>
        <v>0</v>
      </c>
      <c r="G10" s="107">
        <f t="shared" si="1"/>
        <v>0</v>
      </c>
      <c r="H10" s="107">
        <f t="shared" si="0"/>
        <v>0</v>
      </c>
      <c r="I10" s="128">
        <f t="shared" si="0"/>
        <v>0</v>
      </c>
      <c r="J10" s="33" t="s">
        <v>14</v>
      </c>
    </row>
    <row r="11" spans="1:17" x14ac:dyDescent="0.2">
      <c r="A11" s="35" t="s">
        <v>24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f t="shared" si="0"/>
        <v>0</v>
      </c>
      <c r="I11" s="94">
        <f t="shared" si="0"/>
        <v>0</v>
      </c>
      <c r="J11" s="33" t="s">
        <v>14</v>
      </c>
    </row>
    <row r="12" spans="1:17" x14ac:dyDescent="0.2">
      <c r="A12" s="35" t="s">
        <v>69</v>
      </c>
      <c r="B12" s="93">
        <v>0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f t="shared" si="0"/>
        <v>0</v>
      </c>
      <c r="I12" s="94">
        <f t="shared" si="0"/>
        <v>0</v>
      </c>
      <c r="J12" s="33" t="s">
        <v>14</v>
      </c>
    </row>
    <row r="13" spans="1:17" x14ac:dyDescent="0.2">
      <c r="A13" s="99" t="s">
        <v>70</v>
      </c>
      <c r="B13" s="138">
        <v>0</v>
      </c>
      <c r="C13" s="138">
        <v>0</v>
      </c>
      <c r="D13" s="138">
        <v>0</v>
      </c>
      <c r="E13" s="138">
        <v>110</v>
      </c>
      <c r="F13" s="138">
        <v>0</v>
      </c>
      <c r="G13" s="138">
        <v>110</v>
      </c>
      <c r="H13" s="138">
        <f t="shared" si="0"/>
        <v>0</v>
      </c>
      <c r="I13" s="139">
        <f t="shared" si="0"/>
        <v>0</v>
      </c>
      <c r="J13" s="33" t="s">
        <v>14</v>
      </c>
    </row>
    <row r="14" spans="1:17" ht="15" x14ac:dyDescent="0.25">
      <c r="A14" s="37" t="s">
        <v>20</v>
      </c>
      <c r="B14" s="70">
        <f>SUM(B8:B10,B13)</f>
        <v>58</v>
      </c>
      <c r="C14" s="70">
        <f t="shared" ref="C14:I14" si="2">SUM(C8:C10,C13)</f>
        <v>6038.5</v>
      </c>
      <c r="D14" s="70">
        <f t="shared" si="2"/>
        <v>63</v>
      </c>
      <c r="E14" s="70">
        <f t="shared" si="2"/>
        <v>8443</v>
      </c>
      <c r="F14" s="70">
        <f t="shared" si="2"/>
        <v>63</v>
      </c>
      <c r="G14" s="70">
        <f t="shared" si="2"/>
        <v>8529</v>
      </c>
      <c r="H14" s="70">
        <f t="shared" si="2"/>
        <v>0</v>
      </c>
      <c r="I14" s="74">
        <f t="shared" si="2"/>
        <v>86</v>
      </c>
      <c r="J14" s="33" t="s">
        <v>14</v>
      </c>
    </row>
    <row r="15" spans="1:17" ht="15" x14ac:dyDescent="0.25">
      <c r="A15" s="36" t="s">
        <v>71</v>
      </c>
      <c r="B15" s="107"/>
      <c r="C15" s="107"/>
      <c r="D15" s="107"/>
      <c r="E15" s="107"/>
      <c r="F15" s="107"/>
      <c r="G15" s="107"/>
      <c r="H15" s="107"/>
      <c r="I15" s="128"/>
      <c r="J15" s="33" t="s">
        <v>14</v>
      </c>
    </row>
    <row r="16" spans="1:17" x14ac:dyDescent="0.2">
      <c r="A16" s="99" t="s">
        <v>72</v>
      </c>
      <c r="B16" s="107"/>
      <c r="C16" s="107">
        <v>1806</v>
      </c>
      <c r="D16" s="107"/>
      <c r="E16" s="107">
        <v>2379</v>
      </c>
      <c r="F16" s="107"/>
      <c r="G16" s="107">
        <v>2480</v>
      </c>
      <c r="H16" s="107"/>
      <c r="I16" s="128">
        <f t="shared" ref="I16:I36" si="3">G16-E16</f>
        <v>101</v>
      </c>
      <c r="J16" s="33" t="s">
        <v>14</v>
      </c>
    </row>
    <row r="17" spans="1:10" x14ac:dyDescent="0.2">
      <c r="A17" s="99" t="s">
        <v>73</v>
      </c>
      <c r="B17" s="107"/>
      <c r="C17" s="107">
        <v>0</v>
      </c>
      <c r="D17" s="107"/>
      <c r="E17" s="107">
        <v>0</v>
      </c>
      <c r="F17" s="107"/>
      <c r="G17" s="107">
        <v>0</v>
      </c>
      <c r="H17" s="107"/>
      <c r="I17" s="128">
        <f t="shared" si="3"/>
        <v>0</v>
      </c>
      <c r="J17" s="33" t="s">
        <v>14</v>
      </c>
    </row>
    <row r="18" spans="1:10" x14ac:dyDescent="0.2">
      <c r="A18" s="99" t="s">
        <v>74</v>
      </c>
      <c r="B18" s="107"/>
      <c r="C18" s="107">
        <v>252</v>
      </c>
      <c r="D18" s="107"/>
      <c r="E18" s="107">
        <v>420</v>
      </c>
      <c r="F18" s="107"/>
      <c r="G18" s="107">
        <v>420</v>
      </c>
      <c r="H18" s="107"/>
      <c r="I18" s="128">
        <f t="shared" si="3"/>
        <v>0</v>
      </c>
      <c r="J18" s="33" t="s">
        <v>14</v>
      </c>
    </row>
    <row r="19" spans="1:10" x14ac:dyDescent="0.2">
      <c r="A19" s="99" t="s">
        <v>128</v>
      </c>
      <c r="B19" s="107"/>
      <c r="C19" s="107">
        <v>9</v>
      </c>
      <c r="D19" s="107"/>
      <c r="E19" s="107">
        <v>36</v>
      </c>
      <c r="F19" s="107"/>
      <c r="G19" s="107">
        <v>36</v>
      </c>
      <c r="H19" s="107"/>
      <c r="I19" s="128">
        <f t="shared" si="3"/>
        <v>0</v>
      </c>
      <c r="J19" s="33" t="s">
        <v>14</v>
      </c>
    </row>
    <row r="20" spans="1:10" x14ac:dyDescent="0.2">
      <c r="A20" s="99" t="s">
        <v>75</v>
      </c>
      <c r="B20" s="107"/>
      <c r="C20" s="107">
        <v>1665</v>
      </c>
      <c r="D20" s="107"/>
      <c r="E20" s="107">
        <v>1676</v>
      </c>
      <c r="F20" s="107"/>
      <c r="G20" s="107">
        <v>1676</v>
      </c>
      <c r="H20" s="107"/>
      <c r="I20" s="128">
        <f t="shared" si="3"/>
        <v>0</v>
      </c>
      <c r="J20" s="33" t="s">
        <v>14</v>
      </c>
    </row>
    <row r="21" spans="1:10" x14ac:dyDescent="0.2">
      <c r="A21" s="99" t="s">
        <v>76</v>
      </c>
      <c r="B21" s="107"/>
      <c r="C21" s="107">
        <v>48</v>
      </c>
      <c r="D21" s="107"/>
      <c r="E21" s="107">
        <v>51</v>
      </c>
      <c r="F21" s="107"/>
      <c r="G21" s="107">
        <v>51</v>
      </c>
      <c r="H21" s="107"/>
      <c r="I21" s="128">
        <f t="shared" si="3"/>
        <v>0</v>
      </c>
      <c r="J21" s="33" t="s">
        <v>14</v>
      </c>
    </row>
    <row r="22" spans="1:10" x14ac:dyDescent="0.2">
      <c r="A22" s="99" t="s">
        <v>77</v>
      </c>
      <c r="B22" s="107"/>
      <c r="C22" s="107">
        <v>560</v>
      </c>
      <c r="D22" s="107"/>
      <c r="E22" s="107">
        <v>751</v>
      </c>
      <c r="F22" s="107"/>
      <c r="G22" s="107">
        <v>751</v>
      </c>
      <c r="H22" s="107"/>
      <c r="I22" s="128">
        <f t="shared" si="3"/>
        <v>0</v>
      </c>
      <c r="J22" s="33" t="s">
        <v>14</v>
      </c>
    </row>
    <row r="23" spans="1:10" x14ac:dyDescent="0.2">
      <c r="A23" s="99" t="s">
        <v>78</v>
      </c>
      <c r="B23" s="107"/>
      <c r="C23" s="107">
        <v>8</v>
      </c>
      <c r="D23" s="107"/>
      <c r="E23" s="107">
        <v>25</v>
      </c>
      <c r="F23" s="107"/>
      <c r="G23" s="107">
        <v>25</v>
      </c>
      <c r="H23" s="107"/>
      <c r="I23" s="128">
        <f t="shared" si="3"/>
        <v>0</v>
      </c>
      <c r="J23" s="33" t="s">
        <v>14</v>
      </c>
    </row>
    <row r="24" spans="1:10" x14ac:dyDescent="0.2">
      <c r="A24" s="99" t="s">
        <v>79</v>
      </c>
      <c r="B24" s="107"/>
      <c r="C24" s="107">
        <v>2022</v>
      </c>
      <c r="D24" s="107"/>
      <c r="E24" s="107">
        <v>4822</v>
      </c>
      <c r="F24" s="107"/>
      <c r="G24" s="107">
        <v>2157</v>
      </c>
      <c r="H24" s="107"/>
      <c r="I24" s="128">
        <f t="shared" si="3"/>
        <v>-2665</v>
      </c>
      <c r="J24" s="33" t="s">
        <v>14</v>
      </c>
    </row>
    <row r="25" spans="1:10" x14ac:dyDescent="0.2">
      <c r="A25" s="99" t="s">
        <v>80</v>
      </c>
      <c r="B25" s="107"/>
      <c r="C25" s="107">
        <v>209</v>
      </c>
      <c r="D25" s="107"/>
      <c r="E25" s="107">
        <v>550</v>
      </c>
      <c r="F25" s="107"/>
      <c r="G25" s="107">
        <v>550</v>
      </c>
      <c r="H25" s="107"/>
      <c r="I25" s="128">
        <f t="shared" si="3"/>
        <v>0</v>
      </c>
      <c r="J25" s="33" t="s">
        <v>14</v>
      </c>
    </row>
    <row r="26" spans="1:10" x14ac:dyDescent="0.2">
      <c r="A26" s="193" t="s">
        <v>81</v>
      </c>
      <c r="B26" s="107">
        <v>0</v>
      </c>
      <c r="C26" s="107">
        <v>14734</v>
      </c>
      <c r="D26" s="107">
        <v>0</v>
      </c>
      <c r="E26" s="107">
        <f>3245+1000+5760</f>
        <v>10005</v>
      </c>
      <c r="F26" s="107">
        <v>0</v>
      </c>
      <c r="G26" s="107">
        <v>10005</v>
      </c>
      <c r="H26" s="107"/>
      <c r="I26" s="128">
        <f>G26-E26</f>
        <v>0</v>
      </c>
      <c r="J26" s="33" t="s">
        <v>14</v>
      </c>
    </row>
    <row r="27" spans="1:10" x14ac:dyDescent="0.2">
      <c r="A27" s="99" t="s">
        <v>82</v>
      </c>
      <c r="B27" s="107"/>
      <c r="C27" s="107">
        <v>0</v>
      </c>
      <c r="D27" s="107"/>
      <c r="E27" s="107">
        <v>12</v>
      </c>
      <c r="F27" s="107"/>
      <c r="G27" s="107">
        <v>12</v>
      </c>
      <c r="H27" s="107"/>
      <c r="I27" s="128">
        <f t="shared" si="3"/>
        <v>0</v>
      </c>
      <c r="J27" s="33" t="s">
        <v>14</v>
      </c>
    </row>
    <row r="28" spans="1:10" x14ac:dyDescent="0.2">
      <c r="A28" s="99" t="s">
        <v>83</v>
      </c>
      <c r="B28" s="107"/>
      <c r="C28" s="107">
        <v>0</v>
      </c>
      <c r="D28" s="107"/>
      <c r="E28" s="107">
        <v>0</v>
      </c>
      <c r="F28" s="107"/>
      <c r="G28" s="107">
        <v>0</v>
      </c>
      <c r="H28" s="107"/>
      <c r="I28" s="128">
        <f t="shared" si="3"/>
        <v>0</v>
      </c>
      <c r="J28" s="33" t="s">
        <v>14</v>
      </c>
    </row>
    <row r="29" spans="1:10" x14ac:dyDescent="0.2">
      <c r="A29" s="99" t="s">
        <v>60</v>
      </c>
      <c r="B29" s="107"/>
      <c r="C29" s="107">
        <v>5</v>
      </c>
      <c r="D29" s="107"/>
      <c r="E29" s="107">
        <v>5</v>
      </c>
      <c r="F29" s="107"/>
      <c r="G29" s="107">
        <v>5</v>
      </c>
      <c r="H29" s="107"/>
      <c r="I29" s="128">
        <f t="shared" si="3"/>
        <v>0</v>
      </c>
      <c r="J29" s="33" t="s">
        <v>14</v>
      </c>
    </row>
    <row r="30" spans="1:10" x14ac:dyDescent="0.2">
      <c r="A30" s="99" t="s">
        <v>84</v>
      </c>
      <c r="B30" s="107"/>
      <c r="C30" s="107">
        <v>0</v>
      </c>
      <c r="D30" s="107"/>
      <c r="E30" s="107">
        <v>8</v>
      </c>
      <c r="F30" s="107"/>
      <c r="G30" s="107">
        <v>8</v>
      </c>
      <c r="H30" s="107"/>
      <c r="I30" s="128">
        <f t="shared" si="3"/>
        <v>0</v>
      </c>
      <c r="J30" s="33" t="s">
        <v>14</v>
      </c>
    </row>
    <row r="31" spans="1:10" x14ac:dyDescent="0.2">
      <c r="A31" s="99" t="s">
        <v>85</v>
      </c>
      <c r="B31" s="107"/>
      <c r="C31" s="107">
        <v>0</v>
      </c>
      <c r="D31" s="107"/>
      <c r="E31" s="107">
        <v>0</v>
      </c>
      <c r="F31" s="107"/>
      <c r="G31" s="107">
        <v>0</v>
      </c>
      <c r="H31" s="107"/>
      <c r="I31" s="128">
        <f t="shared" si="3"/>
        <v>0</v>
      </c>
      <c r="J31" s="33" t="s">
        <v>14</v>
      </c>
    </row>
    <row r="32" spans="1:10" x14ac:dyDescent="0.2">
      <c r="A32" s="99" t="s">
        <v>86</v>
      </c>
      <c r="B32" s="107"/>
      <c r="C32" s="107">
        <v>41</v>
      </c>
      <c r="D32" s="107"/>
      <c r="E32" s="107">
        <v>80</v>
      </c>
      <c r="F32" s="107"/>
      <c r="G32" s="107">
        <v>80</v>
      </c>
      <c r="H32" s="107"/>
      <c r="I32" s="128">
        <f t="shared" si="3"/>
        <v>0</v>
      </c>
      <c r="J32" s="33" t="s">
        <v>14</v>
      </c>
    </row>
    <row r="33" spans="1:10" x14ac:dyDescent="0.2">
      <c r="A33" s="99" t="s">
        <v>87</v>
      </c>
      <c r="B33" s="107"/>
      <c r="C33" s="107">
        <v>37</v>
      </c>
      <c r="D33" s="107"/>
      <c r="E33" s="107">
        <v>100</v>
      </c>
      <c r="F33" s="107"/>
      <c r="G33" s="107">
        <v>100</v>
      </c>
      <c r="H33" s="107"/>
      <c r="I33" s="128">
        <f t="shared" si="3"/>
        <v>0</v>
      </c>
      <c r="J33" s="33" t="s">
        <v>14</v>
      </c>
    </row>
    <row r="34" spans="1:10" x14ac:dyDescent="0.2">
      <c r="A34" s="99" t="s">
        <v>88</v>
      </c>
      <c r="B34" s="107"/>
      <c r="C34" s="107">
        <v>0</v>
      </c>
      <c r="D34" s="107"/>
      <c r="E34" s="107">
        <v>0</v>
      </c>
      <c r="F34" s="107"/>
      <c r="G34" s="107">
        <v>0</v>
      </c>
      <c r="H34" s="107"/>
      <c r="I34" s="128">
        <f t="shared" si="3"/>
        <v>0</v>
      </c>
      <c r="J34" s="33" t="s">
        <v>14</v>
      </c>
    </row>
    <row r="35" spans="1:10" x14ac:dyDescent="0.2">
      <c r="A35" s="99" t="s">
        <v>89</v>
      </c>
      <c r="B35" s="107">
        <v>0</v>
      </c>
      <c r="C35" s="107">
        <v>378965</v>
      </c>
      <c r="D35" s="107">
        <v>0</v>
      </c>
      <c r="E35" s="107">
        <v>419174</v>
      </c>
      <c r="F35" s="107">
        <v>0</v>
      </c>
      <c r="G35" s="107">
        <v>392365</v>
      </c>
      <c r="H35" s="107"/>
      <c r="I35" s="128">
        <f t="shared" si="3"/>
        <v>-26809</v>
      </c>
      <c r="J35" s="33" t="s">
        <v>14</v>
      </c>
    </row>
    <row r="36" spans="1:10" x14ac:dyDescent="0.2">
      <c r="A36" s="99" t="s">
        <v>90</v>
      </c>
      <c r="B36" s="107"/>
      <c r="C36" s="107">
        <v>0</v>
      </c>
      <c r="D36" s="107"/>
      <c r="E36" s="107">
        <v>0</v>
      </c>
      <c r="F36" s="107"/>
      <c r="G36" s="107">
        <v>0</v>
      </c>
      <c r="H36" s="107"/>
      <c r="I36" s="128">
        <f t="shared" si="3"/>
        <v>0</v>
      </c>
      <c r="J36" s="33" t="s">
        <v>14</v>
      </c>
    </row>
    <row r="37" spans="1:10" ht="15" x14ac:dyDescent="0.25">
      <c r="A37" s="37" t="s">
        <v>91</v>
      </c>
      <c r="B37" s="44"/>
      <c r="C37" s="44">
        <f>SUM(C14:C36)</f>
        <v>406399.5</v>
      </c>
      <c r="D37" s="44"/>
      <c r="E37" s="44">
        <f t="shared" ref="E37:G37" si="4">SUM(E14:E36)</f>
        <v>448537</v>
      </c>
      <c r="F37" s="44"/>
      <c r="G37" s="44">
        <f t="shared" si="4"/>
        <v>419250</v>
      </c>
      <c r="H37" s="44"/>
      <c r="I37" s="46">
        <f>SUM(I14:I36)</f>
        <v>-29287</v>
      </c>
      <c r="J37" s="33" t="s">
        <v>14</v>
      </c>
    </row>
    <row r="38" spans="1:10" x14ac:dyDescent="0.2">
      <c r="A38" s="99" t="s">
        <v>129</v>
      </c>
      <c r="B38" s="107"/>
      <c r="C38" s="107">
        <v>-35006</v>
      </c>
      <c r="D38" s="107"/>
      <c r="E38" s="194">
        <v>-19787</v>
      </c>
      <c r="F38" s="107"/>
      <c r="G38" s="107">
        <v>0</v>
      </c>
      <c r="H38" s="107"/>
      <c r="I38" s="128">
        <f>G38-E38</f>
        <v>19787</v>
      </c>
      <c r="J38" s="33" t="s">
        <v>14</v>
      </c>
    </row>
    <row r="39" spans="1:10" x14ac:dyDescent="0.2">
      <c r="A39" s="99" t="s">
        <v>139</v>
      </c>
      <c r="B39" s="107"/>
      <c r="C39" s="107">
        <v>400</v>
      </c>
      <c r="D39" s="107"/>
      <c r="E39" s="107">
        <v>3250</v>
      </c>
      <c r="F39" s="107"/>
      <c r="G39" s="107">
        <v>3250</v>
      </c>
      <c r="H39" s="107"/>
      <c r="I39" s="128">
        <f t="shared" ref="I39:I43" si="5">G39-E39</f>
        <v>0</v>
      </c>
      <c r="J39" s="33" t="s">
        <v>14</v>
      </c>
    </row>
    <row r="40" spans="1:10" x14ac:dyDescent="0.2">
      <c r="A40" s="99" t="s">
        <v>199</v>
      </c>
      <c r="B40" s="107"/>
      <c r="C40" s="107">
        <v>12000</v>
      </c>
      <c r="D40" s="107"/>
      <c r="E40" s="107">
        <v>0</v>
      </c>
      <c r="F40" s="107"/>
      <c r="G40" s="107"/>
      <c r="H40" s="107"/>
      <c r="I40" s="128">
        <f t="shared" si="5"/>
        <v>0</v>
      </c>
      <c r="J40" s="33"/>
    </row>
    <row r="41" spans="1:10" x14ac:dyDescent="0.2">
      <c r="A41" s="99" t="s">
        <v>220</v>
      </c>
      <c r="B41" s="107"/>
      <c r="C41" s="107">
        <v>-15717</v>
      </c>
      <c r="D41" s="107"/>
      <c r="E41" s="107">
        <v>-15000</v>
      </c>
      <c r="F41" s="107"/>
      <c r="G41" s="107"/>
      <c r="H41" s="107"/>
      <c r="I41" s="128">
        <f t="shared" si="5"/>
        <v>15000</v>
      </c>
      <c r="J41" s="33" t="s">
        <v>14</v>
      </c>
    </row>
    <row r="42" spans="1:10" x14ac:dyDescent="0.2">
      <c r="A42" s="99" t="s">
        <v>92</v>
      </c>
      <c r="B42" s="107"/>
      <c r="C42" s="194">
        <v>19787</v>
      </c>
      <c r="D42" s="107"/>
      <c r="E42" s="194">
        <v>0</v>
      </c>
      <c r="F42" s="107"/>
      <c r="G42" s="107">
        <v>0</v>
      </c>
      <c r="H42" s="107"/>
      <c r="I42" s="128">
        <f t="shared" si="5"/>
        <v>0</v>
      </c>
      <c r="J42" s="33" t="s">
        <v>14</v>
      </c>
    </row>
    <row r="43" spans="1:10" x14ac:dyDescent="0.2">
      <c r="A43" s="99" t="s">
        <v>136</v>
      </c>
      <c r="B43" s="107"/>
      <c r="C43" s="194">
        <v>0</v>
      </c>
      <c r="D43" s="107"/>
      <c r="E43" s="107">
        <v>0</v>
      </c>
      <c r="F43" s="107"/>
      <c r="G43" s="107">
        <v>0</v>
      </c>
      <c r="H43" s="107"/>
      <c r="I43" s="128">
        <f t="shared" si="5"/>
        <v>0</v>
      </c>
      <c r="J43" s="33" t="s">
        <v>14</v>
      </c>
    </row>
    <row r="44" spans="1:10" ht="15.75" thickBot="1" x14ac:dyDescent="0.3">
      <c r="A44" s="38" t="s">
        <v>93</v>
      </c>
      <c r="B44" s="95">
        <f t="shared" ref="B44:I44" si="6">SUM(B37:B43)</f>
        <v>0</v>
      </c>
      <c r="C44" s="95">
        <f t="shared" si="6"/>
        <v>387863.5</v>
      </c>
      <c r="D44" s="95">
        <f t="shared" si="6"/>
        <v>0</v>
      </c>
      <c r="E44" s="95">
        <f t="shared" si="6"/>
        <v>417000</v>
      </c>
      <c r="F44" s="95">
        <f t="shared" si="6"/>
        <v>0</v>
      </c>
      <c r="G44" s="95">
        <f t="shared" si="6"/>
        <v>422500</v>
      </c>
      <c r="H44" s="95">
        <f t="shared" si="6"/>
        <v>0</v>
      </c>
      <c r="I44" s="96">
        <f t="shared" si="6"/>
        <v>5500</v>
      </c>
      <c r="J44" s="33" t="s">
        <v>14</v>
      </c>
    </row>
    <row r="45" spans="1:10" ht="15" x14ac:dyDescent="0.25">
      <c r="A45" s="238" t="s">
        <v>248</v>
      </c>
      <c r="B45" s="59"/>
      <c r="C45" s="59"/>
      <c r="D45" s="59"/>
      <c r="E45" s="120">
        <v>-12200</v>
      </c>
      <c r="F45" s="120"/>
      <c r="G45" s="120">
        <v>-12200</v>
      </c>
      <c r="H45" s="59"/>
      <c r="I45" s="186"/>
      <c r="J45" s="33"/>
    </row>
    <row r="46" spans="1:10" ht="15.75" thickBot="1" x14ac:dyDescent="0.3">
      <c r="A46" s="237" t="s">
        <v>247</v>
      </c>
      <c r="B46" s="59"/>
      <c r="C46" s="59"/>
      <c r="D46" s="59"/>
      <c r="E46" s="59">
        <f>SUM(E44:E45)</f>
        <v>404800</v>
      </c>
      <c r="F46" s="59"/>
      <c r="G46" s="59">
        <f>SUM(G44:G45)</f>
        <v>410300</v>
      </c>
      <c r="H46" s="59"/>
      <c r="I46" s="186"/>
      <c r="J46" s="33"/>
    </row>
    <row r="47" spans="1:10" x14ac:dyDescent="0.2">
      <c r="A47" s="195" t="s">
        <v>21</v>
      </c>
      <c r="B47" s="196"/>
      <c r="C47" s="196"/>
      <c r="D47" s="196"/>
      <c r="E47" s="196"/>
      <c r="F47" s="196"/>
      <c r="G47" s="196"/>
      <c r="H47" s="196"/>
      <c r="I47" s="197"/>
      <c r="J47" s="33" t="s">
        <v>14</v>
      </c>
    </row>
    <row r="48" spans="1:10" x14ac:dyDescent="0.2">
      <c r="A48" s="99" t="s">
        <v>94</v>
      </c>
      <c r="B48" s="107">
        <v>0</v>
      </c>
      <c r="C48" s="107"/>
      <c r="D48" s="107">
        <v>0</v>
      </c>
      <c r="E48" s="107"/>
      <c r="F48" s="107">
        <v>0</v>
      </c>
      <c r="G48" s="107"/>
      <c r="H48" s="107">
        <f>F48-D48</f>
        <v>0</v>
      </c>
      <c r="I48" s="128"/>
      <c r="J48" s="33" t="s">
        <v>14</v>
      </c>
    </row>
    <row r="49" spans="1:10" x14ac:dyDescent="0.2">
      <c r="A49" s="99"/>
      <c r="B49" s="107"/>
      <c r="C49" s="107"/>
      <c r="D49" s="107"/>
      <c r="E49" s="107"/>
      <c r="F49" s="107"/>
      <c r="G49" s="107"/>
      <c r="H49" s="107"/>
      <c r="I49" s="128"/>
      <c r="J49" s="33" t="s">
        <v>14</v>
      </c>
    </row>
    <row r="50" spans="1:10" x14ac:dyDescent="0.2">
      <c r="A50" s="99" t="s">
        <v>95</v>
      </c>
      <c r="B50" s="107"/>
      <c r="C50" s="107">
        <v>0</v>
      </c>
      <c r="D50" s="107"/>
      <c r="E50" s="107">
        <v>0</v>
      </c>
      <c r="F50" s="107"/>
      <c r="G50" s="107">
        <v>0</v>
      </c>
      <c r="H50" s="107"/>
      <c r="I50" s="128">
        <f t="shared" ref="I50:I51" si="7">G50-E50</f>
        <v>0</v>
      </c>
      <c r="J50" s="33" t="s">
        <v>14</v>
      </c>
    </row>
    <row r="51" spans="1:10" ht="15" thickBot="1" x14ac:dyDescent="0.25">
      <c r="A51" s="198" t="s">
        <v>96</v>
      </c>
      <c r="B51" s="199"/>
      <c r="C51" s="199">
        <v>0</v>
      </c>
      <c r="D51" s="199"/>
      <c r="E51" s="199">
        <v>0</v>
      </c>
      <c r="F51" s="199"/>
      <c r="G51" s="199">
        <v>0</v>
      </c>
      <c r="H51" s="199"/>
      <c r="I51" s="200">
        <f t="shared" si="7"/>
        <v>0</v>
      </c>
      <c r="J51" s="33" t="s">
        <v>14</v>
      </c>
    </row>
    <row r="52" spans="1:10" x14ac:dyDescent="0.2">
      <c r="A52" s="117" t="s">
        <v>200</v>
      </c>
    </row>
    <row r="53" spans="1:10" x14ac:dyDescent="0.2">
      <c r="A53" s="117"/>
      <c r="J53" s="4" t="s">
        <v>15</v>
      </c>
    </row>
  </sheetData>
  <mergeCells count="10">
    <mergeCell ref="A6:A7"/>
    <mergeCell ref="B6:C6"/>
    <mergeCell ref="D6:E6"/>
    <mergeCell ref="F6:G6"/>
    <mergeCell ref="H6:I6"/>
    <mergeCell ref="A1:I1"/>
    <mergeCell ref="A2:I2"/>
    <mergeCell ref="A3:I3"/>
    <mergeCell ref="A4:I4"/>
    <mergeCell ref="A5:I5"/>
  </mergeCells>
  <printOptions horizontalCentered="1"/>
  <pageMargins left="0.6" right="0.6" top="0.56999999999999995" bottom="0.55000000000000004" header="0.3" footer="0.3"/>
  <pageSetup scale="67" orientation="landscape" r:id="rId1"/>
  <headerFooter>
    <oddHeader>&amp;L&amp;"Arial,Bold"&amp;12K. Summary of Requirements by Object Class</oddHeader>
    <oddFooter>&amp;C&amp;"Arial,Regular"Exhibit K - Summary of Requirements by Object Class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A. Org Chart </vt:lpstr>
      <vt:lpstr>B. Summ of Req.</vt:lpstr>
      <vt:lpstr>B. Summ of Req. by DU </vt:lpstr>
      <vt:lpstr>C. Program Changes by DU </vt:lpstr>
      <vt:lpstr>D. Strategic Goals &amp; Object (2</vt:lpstr>
      <vt:lpstr>F. 2013 Crosswalk</vt:lpstr>
      <vt:lpstr>G. 2014 Crosswalk</vt:lpstr>
      <vt:lpstr>J. Financial Analysis</vt:lpstr>
      <vt:lpstr>K. Summary by OC (3)</vt:lpstr>
      <vt:lpstr>'B. Summ of Req.'!Print_Area</vt:lpstr>
      <vt:lpstr>'B. Summ of Req. by DU '!Print_Area</vt:lpstr>
      <vt:lpstr>'C. Program Changes by DU '!Print_Area</vt:lpstr>
      <vt:lpstr>'D. Strategic Goals &amp; Object (2'!Print_Area</vt:lpstr>
      <vt:lpstr>'F. 2013 Crosswalk'!Print_Area</vt:lpstr>
      <vt:lpstr>'G. 2014 Crosswalk'!Print_Area</vt:lpstr>
      <vt:lpstr>'J. Financial Analysis'!Print_Area</vt:lpstr>
      <vt:lpstr>'K. Summary by OC (3)'!Print_Area</vt:lpstr>
      <vt:lpstr>'B. Summ of Req. by DU '!Print_Titles</vt:lpstr>
      <vt:lpstr>'J. Financial Analysis'!Print_Titles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2014-03-07T15:23:06Z</cp:lastPrinted>
  <dcterms:created xsi:type="dcterms:W3CDTF">2012-12-06T16:08:32Z</dcterms:created>
  <dcterms:modified xsi:type="dcterms:W3CDTF">2014-03-07T15:24:37Z</dcterms:modified>
</cp:coreProperties>
</file>