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410" windowHeight="11640" tabRatio="942"/>
  </bookViews>
  <sheets>
    <sheet name="A. Organization Chart" sheetId="23" r:id="rId1"/>
    <sheet name="B. Summ of Req._S&amp;E" sheetId="32" r:id="rId2"/>
    <sheet name="B. Summ of Req. by DU_S&amp;E" sheetId="33" r:id="rId3"/>
    <sheet name="B. Summ of Req._Const" sheetId="34" r:id="rId4"/>
    <sheet name="B. Summ of Req. by DU_Const" sheetId="35" r:id="rId5"/>
    <sheet name="C. Program Changes by DU" sheetId="38" r:id="rId6"/>
    <sheet name="D. Strategic Goals &amp; Object_S&amp;E" sheetId="27" r:id="rId7"/>
    <sheet name="D. Strategic Goals_Const" sheetId="28" r:id="rId8"/>
    <sheet name="E. ATB Justification" sheetId="37" r:id="rId9"/>
    <sheet name="F. 2013 Crosswalk" sheetId="29" r:id="rId10"/>
    <sheet name="G. 2014 Crosswalk" sheetId="30" r:id="rId11"/>
    <sheet name="H. Reimbursable Resources" sheetId="31" r:id="rId12"/>
    <sheet name="I. Permanent Positions " sheetId="26" r:id="rId13"/>
    <sheet name="J. Financial Analysis" sheetId="25" r:id="rId14"/>
    <sheet name="K. Summary by OC_S&amp;E" sheetId="24" r:id="rId15"/>
    <sheet name="K. Summary by OC_Con" sheetId="14" r:id="rId16"/>
  </sheets>
  <definedNames>
    <definedName name="_11GA_ROLLUP">#REF!</definedName>
    <definedName name="_11POS_BY_CAT" localSheetId="0">#REF!</definedName>
    <definedName name="_11POS_BY_CAT" localSheetId="4">#REF!</definedName>
    <definedName name="_11POS_BY_CAT" localSheetId="3">#REF!</definedName>
    <definedName name="_11POS_BY_CAT" localSheetId="6">#REF!</definedName>
    <definedName name="_11POS_BY_CAT" localSheetId="9">#REF!</definedName>
    <definedName name="_11POS_BY_CAT" localSheetId="11">#REF!</definedName>
    <definedName name="_11POS_BY_CAT" localSheetId="12">#REF!</definedName>
    <definedName name="_11POS_BY_CAT" localSheetId="13">#REF!</definedName>
    <definedName name="_11POS_BY_CAT" localSheetId="14">#REF!</definedName>
    <definedName name="_11POS_BY_CAT">#REF!</definedName>
    <definedName name="_18POS_BY_CAT">#REF!</definedName>
    <definedName name="_1ATTORNEY_SUPP" localSheetId="4">#REF!</definedName>
    <definedName name="_1ATTORNEY_SUPP" localSheetId="3">#REF!</definedName>
    <definedName name="_1ATTORNEY_SUPP" localSheetId="6">#REF!</definedName>
    <definedName name="_1ATTORNEY_SUPP" localSheetId="11">#REF!</definedName>
    <definedName name="_1ATTORNEY_SUPP" localSheetId="14">#REF!</definedName>
    <definedName name="_1ATTORNEY_SUPP">#REF!</definedName>
    <definedName name="_2ATTORNEY_SUPP" localSheetId="0">#REF!</definedName>
    <definedName name="_2ATTORNEY_SUPP" localSheetId="4">#REF!</definedName>
    <definedName name="_2ATTORNEY_SUPP" localSheetId="3">#REF!</definedName>
    <definedName name="_2ATTORNEY_SUPP" localSheetId="6">#REF!</definedName>
    <definedName name="_2ATTORNEY_SUPP" localSheetId="14">#REF!</definedName>
    <definedName name="_2ATTORNEY_SUPP">#REF!</definedName>
    <definedName name="_2GA_ROLLUP" localSheetId="4">#REF!</definedName>
    <definedName name="_2GA_ROLLUP" localSheetId="3">#REF!</definedName>
    <definedName name="_2GA_ROLLUP" localSheetId="6">#REF!</definedName>
    <definedName name="_2GA_ROLLUP" localSheetId="14">#REF!</definedName>
    <definedName name="_2GA_ROLLUP">#REF!</definedName>
    <definedName name="_3GA_ROLLUP">#REF!</definedName>
    <definedName name="_3POS_BY_CAT" localSheetId="4">#REF!</definedName>
    <definedName name="_3POS_BY_CAT" localSheetId="3">#REF!</definedName>
    <definedName name="_3POS_BY_CAT" localSheetId="6">#REF!</definedName>
    <definedName name="_3POS_BY_CAT" localSheetId="14">#REF!</definedName>
    <definedName name="_3POS_BY_CAT">#REF!</definedName>
    <definedName name="_4ATTORNEY_SUPP">#REF!</definedName>
    <definedName name="_5POS_BY_CAT">#REF!</definedName>
    <definedName name="_6GA_ROLLUP" localSheetId="4">#REF!</definedName>
    <definedName name="_6GA_ROLLUP" localSheetId="3">#REF!</definedName>
    <definedName name="_6GA_ROLLUP" localSheetId="6">#REF!</definedName>
    <definedName name="_6GA_ROLLUP" localSheetId="14">#REF!</definedName>
    <definedName name="_6GA_ROLLUP">#REF!</definedName>
    <definedName name="_7GA_ROLLUP" localSheetId="0">#REF!</definedName>
    <definedName name="_7GA_ROLLUP" localSheetId="4">#REF!</definedName>
    <definedName name="_7GA_ROLLUP" localSheetId="3">#REF!</definedName>
    <definedName name="_7GA_ROLLUP" localSheetId="6">#REF!</definedName>
    <definedName name="_7GA_ROLLUP" localSheetId="14">#REF!</definedName>
    <definedName name="_7GA_ROLLUP">#REF!</definedName>
    <definedName name="_9POS_BY_CAT" localSheetId="4">#REF!</definedName>
    <definedName name="_9POS_BY_CAT" localSheetId="3">#REF!</definedName>
    <definedName name="_9POS_BY_CAT" localSheetId="6">#REF!</definedName>
    <definedName name="_9POS_BY_CAT" localSheetId="14">#REF!</definedName>
    <definedName name="_9POS_BY_CAT">#REF!</definedName>
    <definedName name="DL" localSheetId="0">#REF!</definedName>
    <definedName name="DL" localSheetId="4">#REF!</definedName>
    <definedName name="DL" localSheetId="3">#REF!</definedName>
    <definedName name="DL" localSheetId="6">#REF!</definedName>
    <definedName name="DL" localSheetId="14">#REF!</definedName>
    <definedName name="DL">#REF!</definedName>
    <definedName name="EXECSUPP" localSheetId="0">#REF!</definedName>
    <definedName name="EXECSUPP" localSheetId="4">#REF!</definedName>
    <definedName name="EXECSUPP" localSheetId="3">#REF!</definedName>
    <definedName name="EXECSUPP" localSheetId="6">#REF!</definedName>
    <definedName name="EXECSUPP" localSheetId="14">#REF!</definedName>
    <definedName name="EXECSUPP">#REF!</definedName>
    <definedName name="FY0711.1" localSheetId="0">#REF!</definedName>
    <definedName name="FY0711.1" localSheetId="4">#REF!</definedName>
    <definedName name="FY0711.1" localSheetId="3">#REF!</definedName>
    <definedName name="FY0711.1" localSheetId="6">#REF!</definedName>
    <definedName name="FY0711.1" localSheetId="14">#REF!</definedName>
    <definedName name="FY0711.1">#REF!</definedName>
    <definedName name="FY0711.5" localSheetId="0">#REF!</definedName>
    <definedName name="FY0711.5" localSheetId="4">#REF!</definedName>
    <definedName name="FY0711.5" localSheetId="3">#REF!</definedName>
    <definedName name="FY0711.5" localSheetId="6">#REF!</definedName>
    <definedName name="FY0711.5" localSheetId="14">#REF!</definedName>
    <definedName name="FY0711.5">#REF!</definedName>
    <definedName name="FY0712.1" localSheetId="0">#REF!</definedName>
    <definedName name="FY0712.1" localSheetId="4">#REF!</definedName>
    <definedName name="FY0712.1" localSheetId="3">#REF!</definedName>
    <definedName name="FY0712.1" localSheetId="6">#REF!</definedName>
    <definedName name="FY0712.1" localSheetId="14">#REF!</definedName>
    <definedName name="FY0712.1">#REF!</definedName>
    <definedName name="FY0721.0" localSheetId="0">#REF!</definedName>
    <definedName name="FY0721.0" localSheetId="4">#REF!</definedName>
    <definedName name="FY0721.0" localSheetId="3">#REF!</definedName>
    <definedName name="FY0721.0" localSheetId="6">#REF!</definedName>
    <definedName name="FY0721.0" localSheetId="14">#REF!</definedName>
    <definedName name="FY0721.0">#REF!</definedName>
    <definedName name="FY0722.0" localSheetId="0">#REF!</definedName>
    <definedName name="FY0722.0" localSheetId="4">#REF!</definedName>
    <definedName name="FY0722.0" localSheetId="3">#REF!</definedName>
    <definedName name="FY0722.0" localSheetId="6">#REF!</definedName>
    <definedName name="FY0722.0" localSheetId="14">#REF!</definedName>
    <definedName name="FY0722.0">#REF!</definedName>
    <definedName name="FY0723.1" localSheetId="0">#REF!</definedName>
    <definedName name="FY0723.1" localSheetId="4">#REF!</definedName>
    <definedName name="FY0723.1" localSheetId="3">#REF!</definedName>
    <definedName name="FY0723.1" localSheetId="6">#REF!</definedName>
    <definedName name="FY0723.1" localSheetId="14">#REF!</definedName>
    <definedName name="FY0723.1">#REF!</definedName>
    <definedName name="FY0723.2" localSheetId="0">#REF!</definedName>
    <definedName name="FY0723.2" localSheetId="4">#REF!</definedName>
    <definedName name="FY0723.2" localSheetId="3">#REF!</definedName>
    <definedName name="FY0723.2" localSheetId="6">#REF!</definedName>
    <definedName name="FY0723.2" localSheetId="14">#REF!</definedName>
    <definedName name="FY0723.2">#REF!</definedName>
    <definedName name="FY0723.3" localSheetId="0">#REF!</definedName>
    <definedName name="FY0723.3" localSheetId="4">#REF!</definedName>
    <definedName name="FY0723.3" localSheetId="3">#REF!</definedName>
    <definedName name="FY0723.3" localSheetId="6">#REF!</definedName>
    <definedName name="FY0723.3" localSheetId="14">#REF!</definedName>
    <definedName name="FY0723.3">#REF!</definedName>
    <definedName name="FY0724.0" localSheetId="0">#REF!</definedName>
    <definedName name="FY0724.0" localSheetId="4">#REF!</definedName>
    <definedName name="FY0724.0" localSheetId="3">#REF!</definedName>
    <definedName name="FY0724.0" localSheetId="6">#REF!</definedName>
    <definedName name="FY0724.0" localSheetId="14">#REF!</definedName>
    <definedName name="FY0724.0">#REF!</definedName>
    <definedName name="FY0725.2" localSheetId="0">#REF!</definedName>
    <definedName name="FY0725.2" localSheetId="4">#REF!</definedName>
    <definedName name="FY0725.2" localSheetId="3">#REF!</definedName>
    <definedName name="FY0725.2" localSheetId="6">#REF!</definedName>
    <definedName name="FY0725.2" localSheetId="14">#REF!</definedName>
    <definedName name="FY0725.2">#REF!</definedName>
    <definedName name="FY0725.3" localSheetId="0">#REF!</definedName>
    <definedName name="FY0725.3" localSheetId="4">#REF!</definedName>
    <definedName name="FY0725.3" localSheetId="3">#REF!</definedName>
    <definedName name="FY0725.3" localSheetId="6">#REF!</definedName>
    <definedName name="FY0725.3" localSheetId="14">#REF!</definedName>
    <definedName name="FY0725.3">#REF!</definedName>
    <definedName name="FY0725.6" localSheetId="0">#REF!</definedName>
    <definedName name="FY0725.6" localSheetId="4">#REF!</definedName>
    <definedName name="FY0725.6" localSheetId="3">#REF!</definedName>
    <definedName name="FY0725.6" localSheetId="6">#REF!</definedName>
    <definedName name="FY0725.6" localSheetId="14">#REF!</definedName>
    <definedName name="FY0725.6">#REF!</definedName>
    <definedName name="FY0726.0" localSheetId="0">#REF!</definedName>
    <definedName name="FY0726.0" localSheetId="4">#REF!</definedName>
    <definedName name="FY0726.0" localSheetId="3">#REF!</definedName>
    <definedName name="FY0726.0" localSheetId="6">#REF!</definedName>
    <definedName name="FY0726.0" localSheetId="14">#REF!</definedName>
    <definedName name="FY0726.0">#REF!</definedName>
    <definedName name="FY0731.0" localSheetId="0">#REF!</definedName>
    <definedName name="FY0731.0" localSheetId="4">#REF!</definedName>
    <definedName name="FY0731.0" localSheetId="3">#REF!</definedName>
    <definedName name="FY0731.0" localSheetId="6">#REF!</definedName>
    <definedName name="FY0731.0" localSheetId="14">#REF!</definedName>
    <definedName name="FY0731.0">#REF!</definedName>
    <definedName name="FY0732.0" localSheetId="0">#REF!</definedName>
    <definedName name="FY0732.0" localSheetId="4">#REF!</definedName>
    <definedName name="FY0732.0" localSheetId="3">#REF!</definedName>
    <definedName name="FY0732.0" localSheetId="6">#REF!</definedName>
    <definedName name="FY0732.0" localSheetId="14">#REF!</definedName>
    <definedName name="FY0732.0">#REF!</definedName>
    <definedName name="FY07Ling" localSheetId="0">#REF!</definedName>
    <definedName name="FY07Ling" localSheetId="4">#REF!</definedName>
    <definedName name="FY07Ling" localSheetId="3">#REF!</definedName>
    <definedName name="FY07Ling" localSheetId="6">#REF!</definedName>
    <definedName name="FY07Ling" localSheetId="14">#REF!</definedName>
    <definedName name="FY07Ling">#REF!</definedName>
    <definedName name="FY07Mult" localSheetId="0">#REF!</definedName>
    <definedName name="FY07Mult" localSheetId="4">#REF!</definedName>
    <definedName name="FY07Mult" localSheetId="3">#REF!</definedName>
    <definedName name="FY07Mult" localSheetId="6">#REF!</definedName>
    <definedName name="FY07Mult" localSheetId="14">#REF!</definedName>
    <definedName name="FY07Mult">#REF!</definedName>
    <definedName name="FY07PEPI" localSheetId="0">#REF!</definedName>
    <definedName name="FY07PEPI" localSheetId="4">#REF!</definedName>
    <definedName name="FY07PEPI" localSheetId="3">#REF!</definedName>
    <definedName name="FY07PEPI" localSheetId="6">#REF!</definedName>
    <definedName name="FY07PEPI" localSheetId="14">#REF!</definedName>
    <definedName name="FY07PEPI">#REF!</definedName>
    <definedName name="FY07Tot" localSheetId="0">#REF!</definedName>
    <definedName name="FY07Tot" localSheetId="4">#REF!</definedName>
    <definedName name="FY07Tot" localSheetId="3">#REF!</definedName>
    <definedName name="FY07Tot" localSheetId="6">#REF!</definedName>
    <definedName name="FY07Tot" localSheetId="14">#REF!</definedName>
    <definedName name="FY07Tot">#REF!</definedName>
    <definedName name="FY07Train" localSheetId="0">#REF!</definedName>
    <definedName name="FY07Train" localSheetId="4">#REF!</definedName>
    <definedName name="FY07Train" localSheetId="3">#REF!</definedName>
    <definedName name="FY07Train" localSheetId="6">#REF!</definedName>
    <definedName name="FY07Train" localSheetId="14">#REF!</definedName>
    <definedName name="FY07Train">#REF!</definedName>
    <definedName name="FY0811.1" localSheetId="0">#REF!</definedName>
    <definedName name="FY0811.1" localSheetId="4">#REF!</definedName>
    <definedName name="FY0811.1" localSheetId="3">#REF!</definedName>
    <definedName name="FY0811.1" localSheetId="6">#REF!</definedName>
    <definedName name="FY0811.1" localSheetId="14">#REF!</definedName>
    <definedName name="FY0811.1">#REF!</definedName>
    <definedName name="FY0811.5" localSheetId="0">#REF!</definedName>
    <definedName name="FY0811.5" localSheetId="4">#REF!</definedName>
    <definedName name="FY0811.5" localSheetId="3">#REF!</definedName>
    <definedName name="FY0811.5" localSheetId="6">#REF!</definedName>
    <definedName name="FY0811.5" localSheetId="14">#REF!</definedName>
    <definedName name="FY0811.5">#REF!</definedName>
    <definedName name="FY0812.1" localSheetId="0">#REF!</definedName>
    <definedName name="FY0812.1" localSheetId="4">#REF!</definedName>
    <definedName name="FY0812.1" localSheetId="3">#REF!</definedName>
    <definedName name="FY0812.1" localSheetId="6">#REF!</definedName>
    <definedName name="FY0812.1" localSheetId="14">#REF!</definedName>
    <definedName name="FY0812.1">#REF!</definedName>
    <definedName name="FY0821.0" localSheetId="0">#REF!</definedName>
    <definedName name="FY0821.0" localSheetId="4">#REF!</definedName>
    <definedName name="FY0821.0" localSheetId="3">#REF!</definedName>
    <definedName name="FY0821.0" localSheetId="6">#REF!</definedName>
    <definedName name="FY0821.0" localSheetId="14">#REF!</definedName>
    <definedName name="FY0821.0">#REF!</definedName>
    <definedName name="FY0822.0" localSheetId="0">#REF!</definedName>
    <definedName name="FY0822.0" localSheetId="4">#REF!</definedName>
    <definedName name="FY0822.0" localSheetId="3">#REF!</definedName>
    <definedName name="FY0822.0" localSheetId="6">#REF!</definedName>
    <definedName name="FY0822.0" localSheetId="14">#REF!</definedName>
    <definedName name="FY0822.0">#REF!</definedName>
    <definedName name="FY0823.1" localSheetId="0">#REF!</definedName>
    <definedName name="FY0823.1" localSheetId="4">#REF!</definedName>
    <definedName name="FY0823.1" localSheetId="3">#REF!</definedName>
    <definedName name="FY0823.1" localSheetId="6">#REF!</definedName>
    <definedName name="FY0823.1" localSheetId="14">#REF!</definedName>
    <definedName name="FY0823.1">#REF!</definedName>
    <definedName name="FY0823.2" localSheetId="0">#REF!</definedName>
    <definedName name="FY0823.2" localSheetId="4">#REF!</definedName>
    <definedName name="FY0823.2" localSheetId="3">#REF!</definedName>
    <definedName name="FY0823.2" localSheetId="6">#REF!</definedName>
    <definedName name="FY0823.2" localSheetId="14">#REF!</definedName>
    <definedName name="FY0823.2">#REF!</definedName>
    <definedName name="FY0823.3" localSheetId="0">#REF!</definedName>
    <definedName name="FY0823.3" localSheetId="4">#REF!</definedName>
    <definedName name="FY0823.3" localSheetId="3">#REF!</definedName>
    <definedName name="FY0823.3" localSheetId="6">#REF!</definedName>
    <definedName name="FY0823.3" localSheetId="14">#REF!</definedName>
    <definedName name="FY0823.3">#REF!</definedName>
    <definedName name="FY0824.0" localSheetId="0">#REF!</definedName>
    <definedName name="FY0824.0" localSheetId="4">#REF!</definedName>
    <definedName name="FY0824.0" localSheetId="3">#REF!</definedName>
    <definedName name="FY0824.0" localSheetId="6">#REF!</definedName>
    <definedName name="FY0824.0" localSheetId="14">#REF!</definedName>
    <definedName name="FY0824.0">#REF!</definedName>
    <definedName name="FY0825.2" localSheetId="0">#REF!</definedName>
    <definedName name="FY0825.2" localSheetId="4">#REF!</definedName>
    <definedName name="FY0825.2" localSheetId="3">#REF!</definedName>
    <definedName name="FY0825.2" localSheetId="6">#REF!</definedName>
    <definedName name="FY0825.2" localSheetId="14">#REF!</definedName>
    <definedName name="FY0825.2">#REF!</definedName>
    <definedName name="FY0825.3" localSheetId="0">#REF!</definedName>
    <definedName name="FY0825.3" localSheetId="4">#REF!</definedName>
    <definedName name="FY0825.3" localSheetId="3">#REF!</definedName>
    <definedName name="FY0825.3" localSheetId="6">#REF!</definedName>
    <definedName name="FY0825.3" localSheetId="14">#REF!</definedName>
    <definedName name="FY0825.3">#REF!</definedName>
    <definedName name="FY0825.6" localSheetId="0">#REF!</definedName>
    <definedName name="FY0825.6" localSheetId="4">#REF!</definedName>
    <definedName name="FY0825.6" localSheetId="3">#REF!</definedName>
    <definedName name="FY0825.6" localSheetId="6">#REF!</definedName>
    <definedName name="FY0825.6" localSheetId="14">#REF!</definedName>
    <definedName name="FY0825.6">#REF!</definedName>
    <definedName name="FY0826.0" localSheetId="0">#REF!</definedName>
    <definedName name="FY0826.0" localSheetId="4">#REF!</definedName>
    <definedName name="FY0826.0" localSheetId="3">#REF!</definedName>
    <definedName name="FY0826.0" localSheetId="6">#REF!</definedName>
    <definedName name="FY0826.0" localSheetId="14">#REF!</definedName>
    <definedName name="FY0826.0">#REF!</definedName>
    <definedName name="FY0831.0" localSheetId="0">#REF!</definedName>
    <definedName name="FY0831.0" localSheetId="4">#REF!</definedName>
    <definedName name="FY0831.0" localSheetId="3">#REF!</definedName>
    <definedName name="FY0831.0" localSheetId="6">#REF!</definedName>
    <definedName name="FY0831.0" localSheetId="14">#REF!</definedName>
    <definedName name="FY0831.0">#REF!</definedName>
    <definedName name="FY0832.0" localSheetId="0">#REF!</definedName>
    <definedName name="FY0832.0" localSheetId="4">#REF!</definedName>
    <definedName name="FY0832.0" localSheetId="3">#REF!</definedName>
    <definedName name="FY0832.0" localSheetId="6">#REF!</definedName>
    <definedName name="FY0832.0" localSheetId="14">#REF!</definedName>
    <definedName name="FY0832.0">#REF!</definedName>
    <definedName name="FY08Ling" localSheetId="0">#REF!</definedName>
    <definedName name="FY08Ling" localSheetId="4">#REF!</definedName>
    <definedName name="FY08Ling" localSheetId="3">#REF!</definedName>
    <definedName name="FY08Ling" localSheetId="6">#REF!</definedName>
    <definedName name="FY08Ling" localSheetId="14">#REF!</definedName>
    <definedName name="FY08Ling">#REF!</definedName>
    <definedName name="FY08Mult" localSheetId="0">#REF!</definedName>
    <definedName name="FY08Mult" localSheetId="4">#REF!</definedName>
    <definedName name="FY08Mult" localSheetId="3">#REF!</definedName>
    <definedName name="FY08Mult" localSheetId="6">#REF!</definedName>
    <definedName name="FY08Mult" localSheetId="14">#REF!</definedName>
    <definedName name="FY08Mult">#REF!</definedName>
    <definedName name="FY08PEPI" localSheetId="0">#REF!</definedName>
    <definedName name="FY08PEPI" localSheetId="4">#REF!</definedName>
    <definedName name="FY08PEPI" localSheetId="3">#REF!</definedName>
    <definedName name="FY08PEPI" localSheetId="6">#REF!</definedName>
    <definedName name="FY08PEPI" localSheetId="14">#REF!</definedName>
    <definedName name="FY08PEPI">#REF!</definedName>
    <definedName name="FY08Tot" localSheetId="0">#REF!</definedName>
    <definedName name="FY08Tot" localSheetId="4">#REF!</definedName>
    <definedName name="FY08Tot" localSheetId="3">#REF!</definedName>
    <definedName name="FY08Tot" localSheetId="6">#REF!</definedName>
    <definedName name="FY08Tot" localSheetId="14">#REF!</definedName>
    <definedName name="FY08Tot">#REF!</definedName>
    <definedName name="FY08Train" localSheetId="0">#REF!</definedName>
    <definedName name="FY08Train" localSheetId="4">#REF!</definedName>
    <definedName name="FY08Train" localSheetId="3">#REF!</definedName>
    <definedName name="FY08Train" localSheetId="6">#REF!</definedName>
    <definedName name="FY08Train" localSheetId="14">#REF!</definedName>
    <definedName name="FY08Train">#REF!</definedName>
    <definedName name="FY0911.1" localSheetId="0">#REF!</definedName>
    <definedName name="FY0911.1" localSheetId="4">#REF!</definedName>
    <definedName name="FY0911.1" localSheetId="3">#REF!</definedName>
    <definedName name="FY0911.1" localSheetId="6">#REF!</definedName>
    <definedName name="FY0911.1" localSheetId="14">#REF!</definedName>
    <definedName name="FY0911.1">#REF!</definedName>
    <definedName name="FY0911.5" localSheetId="0">#REF!</definedName>
    <definedName name="FY0911.5" localSheetId="4">#REF!</definedName>
    <definedName name="FY0911.5" localSheetId="3">#REF!</definedName>
    <definedName name="FY0911.5" localSheetId="6">#REF!</definedName>
    <definedName name="FY0911.5" localSheetId="14">#REF!</definedName>
    <definedName name="FY0911.5">#REF!</definedName>
    <definedName name="FY0912.1" localSheetId="0">#REF!</definedName>
    <definedName name="FY0912.1" localSheetId="4">#REF!</definedName>
    <definedName name="FY0912.1" localSheetId="3">#REF!</definedName>
    <definedName name="FY0912.1" localSheetId="6">#REF!</definedName>
    <definedName name="FY0912.1" localSheetId="14">#REF!</definedName>
    <definedName name="FY0912.1">#REF!</definedName>
    <definedName name="FY0921.0" localSheetId="0">#REF!</definedName>
    <definedName name="FY0921.0" localSheetId="4">#REF!</definedName>
    <definedName name="FY0921.0" localSheetId="3">#REF!</definedName>
    <definedName name="FY0921.0" localSheetId="6">#REF!</definedName>
    <definedName name="FY0921.0" localSheetId="14">#REF!</definedName>
    <definedName name="FY0921.0">#REF!</definedName>
    <definedName name="FY0922.0" localSheetId="0">#REF!</definedName>
    <definedName name="FY0922.0" localSheetId="4">#REF!</definedName>
    <definedName name="FY0922.0" localSheetId="3">#REF!</definedName>
    <definedName name="FY0922.0" localSheetId="6">#REF!</definedName>
    <definedName name="FY0922.0" localSheetId="14">#REF!</definedName>
    <definedName name="FY0922.0">#REF!</definedName>
    <definedName name="FY0923.1" localSheetId="0">#REF!</definedName>
    <definedName name="FY0923.1" localSheetId="4">#REF!</definedName>
    <definedName name="FY0923.1" localSheetId="3">#REF!</definedName>
    <definedName name="FY0923.1" localSheetId="6">#REF!</definedName>
    <definedName name="FY0923.1" localSheetId="14">#REF!</definedName>
    <definedName name="FY0923.1">#REF!</definedName>
    <definedName name="FY0923.2" localSheetId="0">#REF!</definedName>
    <definedName name="FY0923.2" localSheetId="4">#REF!</definedName>
    <definedName name="FY0923.2" localSheetId="3">#REF!</definedName>
    <definedName name="FY0923.2" localSheetId="6">#REF!</definedName>
    <definedName name="FY0923.2" localSheetId="14">#REF!</definedName>
    <definedName name="FY0923.2">#REF!</definedName>
    <definedName name="FY0923.3" localSheetId="0">#REF!</definedName>
    <definedName name="FY0923.3" localSheetId="4">#REF!</definedName>
    <definedName name="FY0923.3" localSheetId="3">#REF!</definedName>
    <definedName name="FY0923.3" localSheetId="6">#REF!</definedName>
    <definedName name="FY0923.3" localSheetId="14">#REF!</definedName>
    <definedName name="FY0923.3">#REF!</definedName>
    <definedName name="FY0924.0" localSheetId="0">#REF!</definedName>
    <definedName name="FY0924.0" localSheetId="4">#REF!</definedName>
    <definedName name="FY0924.0" localSheetId="3">#REF!</definedName>
    <definedName name="FY0924.0" localSheetId="6">#REF!</definedName>
    <definedName name="FY0924.0" localSheetId="14">#REF!</definedName>
    <definedName name="FY0924.0">#REF!</definedName>
    <definedName name="FY0925.2" localSheetId="0">#REF!</definedName>
    <definedName name="FY0925.2" localSheetId="4">#REF!</definedName>
    <definedName name="FY0925.2" localSheetId="3">#REF!</definedName>
    <definedName name="FY0925.2" localSheetId="6">#REF!</definedName>
    <definedName name="FY0925.2" localSheetId="14">#REF!</definedName>
    <definedName name="FY0925.2">#REF!</definedName>
    <definedName name="FY0925.3" localSheetId="0">#REF!</definedName>
    <definedName name="FY0925.3" localSheetId="4">#REF!</definedName>
    <definedName name="FY0925.3" localSheetId="3">#REF!</definedName>
    <definedName name="FY0925.3" localSheetId="6">#REF!</definedName>
    <definedName name="FY0925.3" localSheetId="14">#REF!</definedName>
    <definedName name="FY0925.3">#REF!</definedName>
    <definedName name="FY0925.6" localSheetId="0">#REF!</definedName>
    <definedName name="FY0925.6" localSheetId="4">#REF!</definedName>
    <definedName name="FY0925.6" localSheetId="3">#REF!</definedName>
    <definedName name="FY0925.6" localSheetId="6">#REF!</definedName>
    <definedName name="FY0925.6" localSheetId="14">#REF!</definedName>
    <definedName name="FY0925.6">#REF!</definedName>
    <definedName name="FY0926.0" localSheetId="0">#REF!</definedName>
    <definedName name="FY0926.0" localSheetId="4">#REF!</definedName>
    <definedName name="FY0926.0" localSheetId="3">#REF!</definedName>
    <definedName name="FY0926.0" localSheetId="6">#REF!</definedName>
    <definedName name="FY0926.0" localSheetId="14">#REF!</definedName>
    <definedName name="FY0926.0">#REF!</definedName>
    <definedName name="FY0931.0" localSheetId="0">#REF!</definedName>
    <definedName name="FY0931.0" localSheetId="4">#REF!</definedName>
    <definedName name="FY0931.0" localSheetId="3">#REF!</definedName>
    <definedName name="FY0931.0" localSheetId="6">#REF!</definedName>
    <definedName name="FY0931.0" localSheetId="14">#REF!</definedName>
    <definedName name="FY0931.0">#REF!</definedName>
    <definedName name="FY0932.0" localSheetId="0">#REF!</definedName>
    <definedName name="FY0932.0" localSheetId="4">#REF!</definedName>
    <definedName name="FY0932.0" localSheetId="3">#REF!</definedName>
    <definedName name="FY0932.0" localSheetId="6">#REF!</definedName>
    <definedName name="FY0932.0" localSheetId="14">#REF!</definedName>
    <definedName name="FY0932.0">#REF!</definedName>
    <definedName name="FY09Ling" localSheetId="0">#REF!</definedName>
    <definedName name="FY09Ling" localSheetId="4">#REF!</definedName>
    <definedName name="FY09Ling" localSheetId="3">#REF!</definedName>
    <definedName name="FY09Ling" localSheetId="6">#REF!</definedName>
    <definedName name="FY09Ling" localSheetId="14">#REF!</definedName>
    <definedName name="FY09Ling">#REF!</definedName>
    <definedName name="FY09Mult" localSheetId="0">#REF!</definedName>
    <definedName name="FY09Mult" localSheetId="4">#REF!</definedName>
    <definedName name="FY09Mult" localSheetId="3">#REF!</definedName>
    <definedName name="FY09Mult" localSheetId="6">#REF!</definedName>
    <definedName name="FY09Mult" localSheetId="14">#REF!</definedName>
    <definedName name="FY09Mult">#REF!</definedName>
    <definedName name="FY09PEPI" localSheetId="0">#REF!</definedName>
    <definedName name="FY09PEPI" localSheetId="4">#REF!</definedName>
    <definedName name="FY09PEPI" localSheetId="3">#REF!</definedName>
    <definedName name="FY09PEPI" localSheetId="6">#REF!</definedName>
    <definedName name="FY09PEPI" localSheetId="14">#REF!</definedName>
    <definedName name="FY09PEPI">#REF!</definedName>
    <definedName name="FY09Tot" localSheetId="0">#REF!</definedName>
    <definedName name="FY09Tot" localSheetId="4">#REF!</definedName>
    <definedName name="FY09Tot" localSheetId="3">#REF!</definedName>
    <definedName name="FY09Tot" localSheetId="6">#REF!</definedName>
    <definedName name="FY09Tot" localSheetId="14">#REF!</definedName>
    <definedName name="FY09Tot">#REF!</definedName>
    <definedName name="FY09Train" localSheetId="0">#REF!</definedName>
    <definedName name="FY09Train" localSheetId="4">#REF!</definedName>
    <definedName name="FY09Train" localSheetId="3">#REF!</definedName>
    <definedName name="FY09Train" localSheetId="6">#REF!</definedName>
    <definedName name="FY09Train" localSheetId="14">#REF!</definedName>
    <definedName name="FY09Train">#REF!</definedName>
    <definedName name="INTEL" localSheetId="0">#REF!</definedName>
    <definedName name="INTEL" localSheetId="4">#REF!</definedName>
    <definedName name="INTEL" localSheetId="3">#REF!</definedName>
    <definedName name="INTEL" localSheetId="6">#REF!</definedName>
    <definedName name="INTEL" localSheetId="14">#REF!</definedName>
    <definedName name="INTEL">#REF!</definedName>
    <definedName name="JMD" localSheetId="0">#REF!</definedName>
    <definedName name="JMD" localSheetId="4">#REF!</definedName>
    <definedName name="JMD" localSheetId="3">#REF!</definedName>
    <definedName name="JMD" localSheetId="6">#REF!</definedName>
    <definedName name="JMD" localSheetId="14">#REF!</definedName>
    <definedName name="JMD">#REF!</definedName>
    <definedName name="PAGE1">#REF!</definedName>
    <definedName name="PAGE2">#REF!</definedName>
    <definedName name="PART" localSheetId="0">#REF!</definedName>
    <definedName name="PART" localSheetId="4">#REF!</definedName>
    <definedName name="PART" localSheetId="3">#REF!</definedName>
    <definedName name="PART" localSheetId="6">#REF!</definedName>
    <definedName name="PART" localSheetId="11">#REF!</definedName>
    <definedName name="PART" localSheetId="14">#REF!</definedName>
    <definedName name="PART">#REF!</definedName>
    <definedName name="_xlnm.Print_Area" localSheetId="0">'A. Organization Chart'!$A$1:$M$29</definedName>
    <definedName name="_xlnm.Print_Area" localSheetId="4">'B. Summ of Req. by DU_Const'!$A$1:$M$22</definedName>
    <definedName name="_xlnm.Print_Area" localSheetId="2">'B. Summ of Req. by DU_S&amp;E'!$A$1:$M$42</definedName>
    <definedName name="_xlnm.Print_Area" localSheetId="3">'B. Summ of Req._Const'!$A$1:$D$28</definedName>
    <definedName name="_xlnm.Print_Area" localSheetId="1">'B. Summ of Req._S&amp;E'!$A$1:$D$37</definedName>
    <definedName name="_xlnm.Print_Area" localSheetId="5">'C. Program Changes by DU'!$A$1:$N$15</definedName>
    <definedName name="_xlnm.Print_Area" localSheetId="6">'D. Strategic Goals &amp; Object_S&amp;E'!$A$1:$L$26</definedName>
    <definedName name="_xlnm.Print_Area" localSheetId="7">'D. Strategic Goals_Const'!$A$1:$J$13</definedName>
    <definedName name="_xlnm.Print_Area" localSheetId="8">'E. ATB Justification'!$A$1:$G$31</definedName>
    <definedName name="_xlnm.Print_Area" localSheetId="9">'F. 2013 Crosswalk'!$A$1:$U$52</definedName>
    <definedName name="_xlnm.Print_Area" localSheetId="10">'G. 2014 Crosswalk'!$A$1:$L$51</definedName>
    <definedName name="_xlnm.Print_Area" localSheetId="11">'H. Reimbursable Resources'!$A$1:$M$35</definedName>
    <definedName name="_xlnm.Print_Area" localSheetId="12">'I. Permanent Positions '!$A$1:$J$35</definedName>
    <definedName name="_xlnm.Print_Area" localSheetId="13">'J. Financial Analysis'!$A$1:$G$33</definedName>
    <definedName name="_xlnm.Print_Area" localSheetId="15">'K. Summary by OC_Con'!$A$1:$I$15</definedName>
    <definedName name="_xlnm.Print_Area" localSheetId="14">'K. Summary by OC_S&amp;E'!$A$1:$I$49</definedName>
    <definedName name="_xlnm.Print_Area">#REF!</definedName>
    <definedName name="_xlnm.Print_Titles" localSheetId="6">'D. Strategic Goals &amp; Object_S&amp;E'!$1:$8</definedName>
    <definedName name="_xlnm.Print_Titles" localSheetId="8">'E. ATB Justification'!$1:$6</definedName>
    <definedName name="_xlnm.Print_Titles" localSheetId="13">'J. Financial Analysis'!$1:$5</definedName>
    <definedName name="REIMPRO" localSheetId="0">#REF!</definedName>
    <definedName name="REIMPRO" localSheetId="4">#REF!</definedName>
    <definedName name="REIMPRO" localSheetId="3">#REF!</definedName>
    <definedName name="REIMPRO" localSheetId="6">#REF!</definedName>
    <definedName name="REIMPRO" localSheetId="7">#REF!</definedName>
    <definedName name="REIMPRO" localSheetId="9">#REF!</definedName>
    <definedName name="REIMPRO" localSheetId="11">#REF!</definedName>
    <definedName name="REIMPRO" localSheetId="12">#REF!</definedName>
    <definedName name="REIMPRO" localSheetId="13">#REF!</definedName>
    <definedName name="REIMPRO" localSheetId="14">#REF!</definedName>
    <definedName name="REIMPRO">#REF!</definedName>
    <definedName name="REIMSOR" localSheetId="0">#REF!</definedName>
    <definedName name="REIMSOR" localSheetId="4">#REF!</definedName>
    <definedName name="REIMSOR" localSheetId="3">#REF!</definedName>
    <definedName name="REIMSOR" localSheetId="6">#REF!</definedName>
    <definedName name="REIMSOR" localSheetId="11">#REF!</definedName>
    <definedName name="REIMSOR" localSheetId="14">#REF!</definedName>
    <definedName name="REIMSOR">#REF!</definedName>
    <definedName name="Test" localSheetId="4">#REF!</definedName>
    <definedName name="Test" localSheetId="3">#REF!</definedName>
    <definedName name="Test" localSheetId="6">#REF!</definedName>
    <definedName name="Test" localSheetId="14">#REF!</definedName>
    <definedName name="Test">#REF!</definedName>
    <definedName name="Z_12C66D54_5067_4346_818B_6EAB1C8A9183_.wvu.PrintArea" localSheetId="0" hidden="1">'A. Organization Chart'!$A$1:$N$29</definedName>
    <definedName name="Z_3118AF25_8423_420A_806A_487665220C68_.wvu.PrintArea" localSheetId="0" hidden="1">'A. Organization Chart'!$A$1:$N$29</definedName>
    <definedName name="Z_4148B88B_8ED7_4FDE_9459_DEB244AD0552_.wvu.PrintArea" localSheetId="0" hidden="1">'A. Organization Chart'!$A$1:$N$29</definedName>
    <definedName name="Z_56C0A34E_45B4_448B_85E5_70B3A8E63333_.wvu.PrintArea" localSheetId="0" hidden="1">'A. Organization Chart'!$A$1:$N$29</definedName>
  </definedNames>
  <calcPr calcId="145621"/>
</workbook>
</file>

<file path=xl/calcChain.xml><?xml version="1.0" encoding="utf-8"?>
<calcChain xmlns="http://schemas.openxmlformats.org/spreadsheetml/2006/main">
  <c r="J10" i="28" l="1"/>
  <c r="L19" i="27"/>
  <c r="L18" i="27"/>
  <c r="L17" i="27"/>
  <c r="L16" i="27"/>
  <c r="L13" i="27"/>
  <c r="L10" i="27"/>
  <c r="K19" i="27"/>
  <c r="K18" i="27"/>
  <c r="K17" i="27"/>
  <c r="K16" i="27"/>
  <c r="K13" i="27"/>
  <c r="K10" i="27"/>
  <c r="F25" i="25" l="1"/>
  <c r="F26" i="25"/>
  <c r="F27" i="25"/>
  <c r="F28" i="25"/>
  <c r="F29" i="25"/>
  <c r="F30" i="25"/>
  <c r="F31" i="25"/>
  <c r="F32" i="25"/>
  <c r="F24" i="25"/>
  <c r="G25" i="25"/>
  <c r="G26" i="25"/>
  <c r="G27" i="25"/>
  <c r="G28" i="25"/>
  <c r="G29" i="25"/>
  <c r="G30" i="25"/>
  <c r="G32" i="25"/>
  <c r="G24" i="25"/>
  <c r="J14" i="38" l="1"/>
  <c r="I14" i="38"/>
  <c r="H14" i="38"/>
  <c r="G14" i="38"/>
  <c r="F14" i="38"/>
  <c r="E14" i="38"/>
  <c r="D14" i="38"/>
  <c r="C14" i="38"/>
  <c r="N13" i="38"/>
  <c r="N14" i="38" s="1"/>
  <c r="M13" i="38"/>
  <c r="M14" i="38" s="1"/>
  <c r="L13" i="38"/>
  <c r="L14" i="38" s="1"/>
  <c r="K13" i="38"/>
  <c r="K14" i="38" s="1"/>
  <c r="N9" i="38"/>
  <c r="M9" i="38"/>
  <c r="L9" i="38"/>
  <c r="K9" i="38"/>
  <c r="J9" i="38"/>
  <c r="I9" i="38"/>
  <c r="H9" i="38"/>
  <c r="G9" i="38"/>
  <c r="F9" i="38"/>
  <c r="E9" i="38"/>
  <c r="D9" i="38"/>
  <c r="C9" i="38"/>
  <c r="F29" i="37" l="1"/>
  <c r="E29" i="37"/>
  <c r="G26" i="37"/>
  <c r="F26" i="37"/>
  <c r="F30" i="37" s="1"/>
  <c r="E26" i="37"/>
  <c r="G22" i="37"/>
  <c r="F22" i="37"/>
  <c r="E22" i="37"/>
  <c r="E30" i="37" s="1"/>
  <c r="G19" i="37"/>
  <c r="F19" i="37"/>
  <c r="E19" i="37"/>
  <c r="F15" i="37"/>
  <c r="E15" i="37"/>
  <c r="G18" i="35"/>
  <c r="G20" i="35" s="1"/>
  <c r="F18" i="35"/>
  <c r="F21" i="35" s="1"/>
  <c r="E18" i="35"/>
  <c r="D18" i="35"/>
  <c r="D20" i="35" s="1"/>
  <c r="C18" i="35"/>
  <c r="C21" i="35" s="1"/>
  <c r="B18" i="35"/>
  <c r="A17" i="35"/>
  <c r="M11" i="35"/>
  <c r="J19" i="35" s="1"/>
  <c r="J10" i="35"/>
  <c r="J12" i="35" s="1"/>
  <c r="I10" i="35"/>
  <c r="I13" i="35" s="1"/>
  <c r="H10" i="35"/>
  <c r="G10" i="35"/>
  <c r="G12" i="35" s="1"/>
  <c r="F10" i="35"/>
  <c r="F13" i="35" s="1"/>
  <c r="E10" i="35"/>
  <c r="D10" i="35"/>
  <c r="D12" i="35" s="1"/>
  <c r="C10" i="35"/>
  <c r="C13" i="35" s="1"/>
  <c r="B10" i="35"/>
  <c r="M9" i="35"/>
  <c r="J17" i="35" s="1"/>
  <c r="L9" i="35"/>
  <c r="K9" i="35"/>
  <c r="H17" i="35" s="1"/>
  <c r="C20" i="34"/>
  <c r="B20" i="34"/>
  <c r="D16" i="34"/>
  <c r="C16" i="34"/>
  <c r="B16" i="34"/>
  <c r="C12" i="34"/>
  <c r="B12" i="34"/>
  <c r="D9" i="34"/>
  <c r="D12" i="34" s="1"/>
  <c r="I40" i="33"/>
  <c r="F36" i="33"/>
  <c r="F41" i="33" s="1"/>
  <c r="C36" i="33"/>
  <c r="C41" i="33" s="1"/>
  <c r="G34" i="33"/>
  <c r="G32" i="33"/>
  <c r="F32" i="33"/>
  <c r="E32" i="33"/>
  <c r="D32" i="33"/>
  <c r="D34" i="33" s="1"/>
  <c r="C32" i="33"/>
  <c r="B32" i="33"/>
  <c r="J31" i="33"/>
  <c r="I31" i="33"/>
  <c r="J30" i="33"/>
  <c r="I30" i="33"/>
  <c r="H30" i="33"/>
  <c r="I29" i="33"/>
  <c r="H29" i="33"/>
  <c r="J28" i="33"/>
  <c r="H28" i="33"/>
  <c r="J27" i="33"/>
  <c r="J32" i="33" s="1"/>
  <c r="I27" i="33"/>
  <c r="F23" i="33"/>
  <c r="L22" i="33"/>
  <c r="L21" i="33"/>
  <c r="I39" i="33" s="1"/>
  <c r="F18" i="33"/>
  <c r="L17" i="33"/>
  <c r="I35" i="33" s="1"/>
  <c r="J16" i="33"/>
  <c r="D16" i="33"/>
  <c r="M15" i="33"/>
  <c r="J33" i="33" s="1"/>
  <c r="J14" i="33"/>
  <c r="I14" i="33"/>
  <c r="I18" i="33" s="1"/>
  <c r="H14" i="33"/>
  <c r="G14" i="33"/>
  <c r="G16" i="33" s="1"/>
  <c r="M16" i="33" s="1"/>
  <c r="F14" i="33"/>
  <c r="E14" i="33"/>
  <c r="D14" i="33"/>
  <c r="C14" i="33"/>
  <c r="C18" i="33" s="1"/>
  <c r="C23" i="33" s="1"/>
  <c r="B14" i="33"/>
  <c r="M13" i="33"/>
  <c r="L13" i="33"/>
  <c r="K13" i="33"/>
  <c r="H31" i="33" s="1"/>
  <c r="M12" i="33"/>
  <c r="L12" i="33"/>
  <c r="K12" i="33"/>
  <c r="M11" i="33"/>
  <c r="J29" i="33" s="1"/>
  <c r="L11" i="33"/>
  <c r="K11" i="33"/>
  <c r="M10" i="33"/>
  <c r="L10" i="33"/>
  <c r="I28" i="33" s="1"/>
  <c r="K10" i="33"/>
  <c r="M9" i="33"/>
  <c r="M14" i="33" s="1"/>
  <c r="L9" i="33"/>
  <c r="L14" i="33" s="1"/>
  <c r="K9" i="33"/>
  <c r="H27" i="33" s="1"/>
  <c r="H32" i="33" s="1"/>
  <c r="D29" i="32"/>
  <c r="D30" i="32" s="1"/>
  <c r="C29" i="32"/>
  <c r="C30" i="32" s="1"/>
  <c r="B29" i="32"/>
  <c r="B30" i="32" s="1"/>
  <c r="D23" i="32"/>
  <c r="D24" i="32" s="1"/>
  <c r="C23" i="32"/>
  <c r="C24" i="32" s="1"/>
  <c r="B23" i="32"/>
  <c r="B24" i="32" s="1"/>
  <c r="D16" i="32"/>
  <c r="C16" i="32"/>
  <c r="B16" i="32"/>
  <c r="D12" i="32"/>
  <c r="C12" i="32"/>
  <c r="B12" i="32"/>
  <c r="C25" i="32" l="1"/>
  <c r="C31" i="32" s="1"/>
  <c r="C33" i="32" s="1"/>
  <c r="B25" i="32"/>
  <c r="B31" i="32" s="1"/>
  <c r="B33" i="32" s="1"/>
  <c r="D25" i="32"/>
  <c r="L10" i="35"/>
  <c r="L13" i="35" s="1"/>
  <c r="J18" i="35"/>
  <c r="M12" i="35"/>
  <c r="J20" i="35" s="1"/>
  <c r="H18" i="35"/>
  <c r="K10" i="35"/>
  <c r="I17" i="35"/>
  <c r="I18" i="35" s="1"/>
  <c r="I21" i="35" s="1"/>
  <c r="M10" i="35"/>
  <c r="B21" i="34"/>
  <c r="C21" i="34"/>
  <c r="D20" i="34"/>
  <c r="D21" i="34" s="1"/>
  <c r="I23" i="33"/>
  <c r="L18" i="33"/>
  <c r="I36" i="33" s="1"/>
  <c r="L23" i="33"/>
  <c r="I41" i="33" s="1"/>
  <c r="J34" i="33"/>
  <c r="I32" i="33"/>
  <c r="K14" i="33"/>
  <c r="D31" i="32" l="1"/>
  <c r="D34" i="32" s="1"/>
  <c r="C34" i="32"/>
  <c r="G29" i="37"/>
  <c r="G15" i="37"/>
  <c r="B34" i="32"/>
  <c r="D24" i="34"/>
  <c r="D27" i="34" s="1"/>
  <c r="C24" i="34"/>
  <c r="B24" i="34"/>
  <c r="D33" i="32" l="1"/>
  <c r="G30" i="37"/>
  <c r="D26" i="34"/>
  <c r="C26" i="34"/>
  <c r="C27" i="34"/>
  <c r="B27" i="34"/>
  <c r="B26" i="34"/>
  <c r="K29" i="31" l="1"/>
  <c r="L29" i="31"/>
  <c r="L33" i="31" s="1"/>
  <c r="K30" i="31"/>
  <c r="K33" i="31" s="1"/>
  <c r="L30" i="31"/>
  <c r="K31" i="31"/>
  <c r="L31" i="31"/>
  <c r="K32" i="31"/>
  <c r="L32" i="31"/>
  <c r="L28" i="31"/>
  <c r="K28" i="31"/>
  <c r="K10" i="31"/>
  <c r="L10" i="31"/>
  <c r="L24" i="31" s="1"/>
  <c r="K11" i="31"/>
  <c r="K24" i="31" s="1"/>
  <c r="L11" i="31"/>
  <c r="K12" i="31"/>
  <c r="L12" i="31"/>
  <c r="K13" i="31"/>
  <c r="L13" i="31"/>
  <c r="K14" i="31"/>
  <c r="L14" i="31"/>
  <c r="K15" i="31"/>
  <c r="L15" i="31"/>
  <c r="K16" i="31"/>
  <c r="L16" i="31"/>
  <c r="K17" i="31"/>
  <c r="L17" i="31"/>
  <c r="K18" i="31"/>
  <c r="L18" i="31"/>
  <c r="K19" i="31"/>
  <c r="L19" i="31"/>
  <c r="K20" i="31"/>
  <c r="L20" i="31"/>
  <c r="K21" i="31"/>
  <c r="L21" i="31"/>
  <c r="K22" i="31"/>
  <c r="L22" i="31"/>
  <c r="K23" i="31"/>
  <c r="L23" i="31"/>
  <c r="L9" i="31"/>
  <c r="K9" i="31"/>
  <c r="J33" i="31"/>
  <c r="I33" i="31"/>
  <c r="H33" i="31"/>
  <c r="G33" i="31"/>
  <c r="F33" i="31"/>
  <c r="E33" i="31"/>
  <c r="D33" i="31"/>
  <c r="C33" i="31"/>
  <c r="B33" i="31"/>
  <c r="M32" i="31"/>
  <c r="M31" i="31"/>
  <c r="M30" i="31"/>
  <c r="M29" i="31"/>
  <c r="M28" i="31"/>
  <c r="M33" i="31" s="1"/>
  <c r="J24" i="31"/>
  <c r="I24" i="31"/>
  <c r="H24" i="31"/>
  <c r="G24" i="31"/>
  <c r="F24" i="31"/>
  <c r="E24" i="31"/>
  <c r="D24" i="31"/>
  <c r="C24" i="31"/>
  <c r="B24" i="31"/>
  <c r="M23" i="31"/>
  <c r="M22" i="31"/>
  <c r="M21" i="31"/>
  <c r="M20" i="31"/>
  <c r="M19" i="31"/>
  <c r="M18" i="31"/>
  <c r="M17" i="31"/>
  <c r="M16" i="31"/>
  <c r="M15" i="31"/>
  <c r="M14" i="31"/>
  <c r="M13" i="31"/>
  <c r="M12" i="31"/>
  <c r="M11" i="31"/>
  <c r="M10" i="31"/>
  <c r="M9" i="31"/>
  <c r="M24" i="31" s="1"/>
  <c r="I16" i="30"/>
  <c r="H16" i="30"/>
  <c r="G16" i="30"/>
  <c r="I45" i="30"/>
  <c r="H45" i="30"/>
  <c r="D45" i="30"/>
  <c r="L45" i="30" s="1"/>
  <c r="L44" i="30"/>
  <c r="K43" i="30"/>
  <c r="J43" i="30"/>
  <c r="I43" i="30"/>
  <c r="H43" i="30"/>
  <c r="G43" i="30"/>
  <c r="F43" i="30"/>
  <c r="E43" i="30"/>
  <c r="D43" i="30"/>
  <c r="L43" i="30" s="1"/>
  <c r="C43" i="30"/>
  <c r="B43" i="30"/>
  <c r="L42" i="30"/>
  <c r="K42" i="30"/>
  <c r="J42" i="30"/>
  <c r="K22" i="30"/>
  <c r="K21" i="30"/>
  <c r="H18" i="30"/>
  <c r="H23" i="30" s="1"/>
  <c r="K17" i="30"/>
  <c r="D16" i="30"/>
  <c r="L15" i="30"/>
  <c r="K14" i="30"/>
  <c r="K18" i="30" s="1"/>
  <c r="J14" i="30"/>
  <c r="H14" i="30"/>
  <c r="G14" i="30"/>
  <c r="F14" i="30"/>
  <c r="F18" i="30" s="1"/>
  <c r="F23" i="30" s="1"/>
  <c r="E14" i="30"/>
  <c r="D14" i="30"/>
  <c r="C14" i="30"/>
  <c r="C18" i="30" s="1"/>
  <c r="C23" i="30" s="1"/>
  <c r="B14" i="30"/>
  <c r="K13" i="30"/>
  <c r="J13" i="30"/>
  <c r="I13" i="30"/>
  <c r="L13" i="30" s="1"/>
  <c r="K12" i="30"/>
  <c r="J12" i="30"/>
  <c r="I12" i="30"/>
  <c r="L12" i="30" s="1"/>
  <c r="K11" i="30"/>
  <c r="J11" i="30"/>
  <c r="I11" i="30"/>
  <c r="L11" i="30" s="1"/>
  <c r="K10" i="30"/>
  <c r="J10" i="30"/>
  <c r="I10" i="30"/>
  <c r="L10" i="30" s="1"/>
  <c r="K9" i="30"/>
  <c r="J9" i="30"/>
  <c r="I9" i="30"/>
  <c r="I14" i="30" s="1"/>
  <c r="K23" i="30" l="1"/>
  <c r="L16" i="30"/>
  <c r="L14" i="30"/>
  <c r="L9" i="30"/>
  <c r="R13" i="29" l="1"/>
  <c r="R12" i="29"/>
  <c r="R11" i="29"/>
  <c r="R10" i="29"/>
  <c r="R9" i="29"/>
  <c r="R44" i="29" l="1"/>
  <c r="Q44" i="29"/>
  <c r="P44" i="29"/>
  <c r="O44" i="29"/>
  <c r="N44" i="29"/>
  <c r="M44" i="29"/>
  <c r="L44" i="29"/>
  <c r="K44" i="29"/>
  <c r="J44" i="29"/>
  <c r="I44" i="29"/>
  <c r="H44" i="29"/>
  <c r="G44" i="29"/>
  <c r="F44" i="29"/>
  <c r="E44" i="29"/>
  <c r="D44" i="29"/>
  <c r="C44" i="29"/>
  <c r="B44" i="29"/>
  <c r="U43" i="29"/>
  <c r="U44" i="29" s="1"/>
  <c r="T43" i="29"/>
  <c r="T44" i="29" s="1"/>
  <c r="S43" i="29"/>
  <c r="S44" i="29" s="1"/>
  <c r="T20" i="29"/>
  <c r="T19" i="29"/>
  <c r="T15" i="29"/>
  <c r="R14" i="29"/>
  <c r="Q14" i="29"/>
  <c r="P14" i="29"/>
  <c r="O14" i="29"/>
  <c r="O16" i="29" s="1"/>
  <c r="O21" i="29" s="1"/>
  <c r="N14" i="29"/>
  <c r="M14" i="29"/>
  <c r="L14" i="29"/>
  <c r="L16" i="29" s="1"/>
  <c r="L21" i="29" s="1"/>
  <c r="K14" i="29"/>
  <c r="J14" i="29"/>
  <c r="I14" i="29"/>
  <c r="I16" i="29" s="1"/>
  <c r="I21" i="29" s="1"/>
  <c r="H14" i="29"/>
  <c r="G14" i="29"/>
  <c r="F14" i="29"/>
  <c r="F16" i="29" s="1"/>
  <c r="F21" i="29" s="1"/>
  <c r="E14" i="29"/>
  <c r="C14" i="29"/>
  <c r="C16" i="29" s="1"/>
  <c r="C21" i="29" s="1"/>
  <c r="B14" i="29"/>
  <c r="T13" i="29"/>
  <c r="S13" i="29"/>
  <c r="D13" i="29"/>
  <c r="U13" i="29" s="1"/>
  <c r="T12" i="29"/>
  <c r="S12" i="29"/>
  <c r="D12" i="29"/>
  <c r="U12" i="29" s="1"/>
  <c r="T11" i="29"/>
  <c r="S11" i="29"/>
  <c r="D11" i="29"/>
  <c r="U11" i="29" s="1"/>
  <c r="T10" i="29"/>
  <c r="S10" i="29"/>
  <c r="D10" i="29"/>
  <c r="U10" i="29" s="1"/>
  <c r="T9" i="29"/>
  <c r="S9" i="29"/>
  <c r="D9" i="29"/>
  <c r="U9" i="29" s="1"/>
  <c r="U14" i="29" l="1"/>
  <c r="S14" i="29"/>
  <c r="T14" i="29"/>
  <c r="T16" i="29" s="1"/>
  <c r="T21" i="29" s="1"/>
  <c r="D14" i="29"/>
  <c r="C40" i="24" l="1"/>
  <c r="C26" i="24"/>
  <c r="C25" i="24"/>
  <c r="I31" i="24"/>
  <c r="G41" i="24" l="1"/>
  <c r="G38" i="24"/>
  <c r="E38" i="24"/>
  <c r="E13" i="14"/>
  <c r="G11" i="14" s="1"/>
  <c r="G13" i="14" s="1"/>
  <c r="E11" i="14"/>
  <c r="C12" i="14"/>
  <c r="C48" i="24" l="1"/>
  <c r="G20" i="24"/>
  <c r="G21" i="24"/>
  <c r="E20" i="24"/>
  <c r="E21" i="24"/>
  <c r="C18" i="27" l="1"/>
  <c r="I12" i="28" l="1"/>
  <c r="I11" i="28"/>
  <c r="H11" i="28"/>
  <c r="H12" i="28" s="1"/>
  <c r="G11" i="28"/>
  <c r="G12" i="28" s="1"/>
  <c r="F11" i="28"/>
  <c r="F12" i="28" s="1"/>
  <c r="E11" i="28"/>
  <c r="E12" i="28" s="1"/>
  <c r="D11" i="28"/>
  <c r="D12" i="28" s="1"/>
  <c r="C11" i="28"/>
  <c r="C12" i="28" s="1"/>
  <c r="J11" i="28"/>
  <c r="J12" i="28" s="1"/>
  <c r="C39" i="24" l="1"/>
  <c r="J16" i="27" l="1"/>
  <c r="J13" i="27"/>
  <c r="J10" i="27"/>
  <c r="F8" i="24"/>
  <c r="D8" i="24"/>
  <c r="G47" i="24" l="1"/>
  <c r="G48" i="24"/>
  <c r="E47" i="24"/>
  <c r="E48" i="24"/>
  <c r="J11" i="27" l="1"/>
  <c r="I23" i="27"/>
  <c r="I14" i="27"/>
  <c r="H14" i="27"/>
  <c r="H19" i="27" s="1"/>
  <c r="G14" i="27"/>
  <c r="F14" i="27"/>
  <c r="F19" i="27" s="1"/>
  <c r="E14" i="27"/>
  <c r="E19" i="27" s="1"/>
  <c r="D14" i="27"/>
  <c r="D19" i="27" s="1"/>
  <c r="C14" i="27"/>
  <c r="C19" i="27" s="1"/>
  <c r="I11" i="27"/>
  <c r="G11" i="27"/>
  <c r="F11" i="27"/>
  <c r="E11" i="27"/>
  <c r="D11" i="27"/>
  <c r="C11" i="27"/>
  <c r="H10" i="27"/>
  <c r="H11" i="27" s="1"/>
  <c r="H17" i="27" s="1"/>
  <c r="K14" i="27" l="1"/>
  <c r="F17" i="27"/>
  <c r="F23" i="27" s="1"/>
  <c r="F24" i="27" s="1"/>
  <c r="G19" i="27"/>
  <c r="G17" i="27" s="1"/>
  <c r="D17" i="27"/>
  <c r="D23" i="27" s="1"/>
  <c r="D24" i="27" s="1"/>
  <c r="E17" i="27"/>
  <c r="E23" i="27" s="1"/>
  <c r="E24" i="27" s="1"/>
  <c r="K11" i="27"/>
  <c r="I24" i="27"/>
  <c r="C17" i="27"/>
  <c r="C23" i="27" s="1"/>
  <c r="C24" i="27" s="1"/>
  <c r="H23" i="27"/>
  <c r="H24" i="27" s="1"/>
  <c r="L14" i="27"/>
  <c r="J14" i="27"/>
  <c r="L11" i="27"/>
  <c r="J19" i="27"/>
  <c r="G23" i="27" l="1"/>
  <c r="G24" i="27" s="1"/>
  <c r="J17" i="27"/>
  <c r="L23" i="27" s="1"/>
  <c r="L24" i="27" s="1"/>
  <c r="J33" i="26"/>
  <c r="I33" i="26"/>
  <c r="G33" i="26"/>
  <c r="F33" i="26"/>
  <c r="E33" i="26"/>
  <c r="D33" i="26"/>
  <c r="C33" i="26"/>
  <c r="B33" i="26"/>
  <c r="J29" i="26"/>
  <c r="H29" i="26"/>
  <c r="H30" i="26" s="1"/>
  <c r="G29" i="26"/>
  <c r="F29" i="26"/>
  <c r="E29" i="26"/>
  <c r="C29" i="26"/>
  <c r="I28" i="26"/>
  <c r="I27" i="26"/>
  <c r="I26" i="26"/>
  <c r="I25" i="26"/>
  <c r="I24" i="26"/>
  <c r="I23" i="26"/>
  <c r="I22" i="26"/>
  <c r="I21" i="26"/>
  <c r="I20" i="26"/>
  <c r="I19" i="26"/>
  <c r="I18" i="26"/>
  <c r="I17" i="26"/>
  <c r="I16" i="26"/>
  <c r="I15" i="26"/>
  <c r="D14" i="26"/>
  <c r="I14" i="26" s="1"/>
  <c r="B14" i="26"/>
  <c r="B29" i="26" s="1"/>
  <c r="I13" i="26"/>
  <c r="I12" i="26"/>
  <c r="I11" i="26"/>
  <c r="I10" i="26"/>
  <c r="I9" i="26"/>
  <c r="K23" i="27" l="1"/>
  <c r="K24" i="27" s="1"/>
  <c r="J23" i="27"/>
  <c r="J24" i="27" s="1"/>
  <c r="I29" i="26"/>
  <c r="H33" i="26"/>
  <c r="D29" i="26"/>
  <c r="H31" i="26"/>
  <c r="H32" i="26"/>
  <c r="E31" i="25" l="1"/>
  <c r="C31" i="25"/>
  <c r="G16" i="25"/>
  <c r="E16" i="25"/>
  <c r="C16" i="25"/>
  <c r="B18" i="25"/>
  <c r="G31" i="25" l="1"/>
  <c r="G18" i="25"/>
  <c r="E18" i="25"/>
  <c r="C18" i="25"/>
  <c r="C33" i="25"/>
  <c r="D33" i="25"/>
  <c r="E33" i="25"/>
  <c r="F18" i="25"/>
  <c r="B33" i="25"/>
  <c r="D18" i="25"/>
  <c r="G33" i="25" l="1"/>
  <c r="F33" i="25"/>
  <c r="I48" i="24" l="1"/>
  <c r="I47" i="24"/>
  <c r="H45" i="24"/>
  <c r="H43" i="24"/>
  <c r="F43" i="24"/>
  <c r="D43" i="24"/>
  <c r="B43" i="24"/>
  <c r="I42" i="24"/>
  <c r="I41" i="24"/>
  <c r="I40" i="24"/>
  <c r="I39" i="24"/>
  <c r="I38" i="24"/>
  <c r="I36" i="24"/>
  <c r="I35" i="24"/>
  <c r="I34" i="24"/>
  <c r="G33" i="24"/>
  <c r="I33" i="24" s="1"/>
  <c r="E33" i="24"/>
  <c r="I32" i="24"/>
  <c r="I30" i="24"/>
  <c r="I29" i="24"/>
  <c r="I28" i="24"/>
  <c r="I27" i="24"/>
  <c r="I26" i="24"/>
  <c r="G25" i="24"/>
  <c r="E25" i="24"/>
  <c r="I24" i="24"/>
  <c r="I23" i="24"/>
  <c r="I22" i="24"/>
  <c r="I21" i="24"/>
  <c r="C20" i="24"/>
  <c r="I19" i="24"/>
  <c r="I18" i="24"/>
  <c r="I17" i="24"/>
  <c r="I16" i="24"/>
  <c r="E14" i="24"/>
  <c r="E37" i="24" s="1"/>
  <c r="E43" i="24" s="1"/>
  <c r="I13" i="24"/>
  <c r="H13" i="24"/>
  <c r="I12" i="24"/>
  <c r="H12" i="24"/>
  <c r="C12" i="24"/>
  <c r="C10" i="24" s="1"/>
  <c r="C14" i="24" s="1"/>
  <c r="C37" i="24" s="1"/>
  <c r="C43" i="24" s="1"/>
  <c r="I11" i="24"/>
  <c r="H11" i="24"/>
  <c r="G10" i="24"/>
  <c r="I10" i="24" s="1"/>
  <c r="F10" i="24"/>
  <c r="F14" i="24" s="1"/>
  <c r="E10" i="24"/>
  <c r="D10" i="24"/>
  <c r="D14" i="24" s="1"/>
  <c r="B10" i="24"/>
  <c r="H9" i="24"/>
  <c r="I8" i="24"/>
  <c r="H8" i="24"/>
  <c r="B8" i="24"/>
  <c r="B14" i="24" s="1"/>
  <c r="G14" i="24" l="1"/>
  <c r="G37" i="24" s="1"/>
  <c r="G43" i="24" s="1"/>
  <c r="I14" i="24"/>
  <c r="I25" i="24"/>
  <c r="I20" i="24"/>
  <c r="H10" i="24"/>
  <c r="H14" i="24" s="1"/>
  <c r="I37" i="24" l="1"/>
  <c r="I43" i="24" s="1"/>
  <c r="I12" i="14" l="1"/>
  <c r="I13" i="14"/>
  <c r="I14" i="14"/>
  <c r="I11" i="14"/>
  <c r="I9" i="14" l="1"/>
  <c r="C10" i="14"/>
  <c r="C15" i="14" s="1"/>
  <c r="B15" i="14"/>
  <c r="F15" i="14" l="1"/>
  <c r="G10" i="14"/>
  <c r="G15" i="14" s="1"/>
  <c r="D15" i="14"/>
  <c r="E10" i="14"/>
  <c r="E15" i="14" s="1"/>
  <c r="H15" i="14"/>
  <c r="I10" i="14" l="1"/>
  <c r="I15" i="14" s="1"/>
</calcChain>
</file>

<file path=xl/sharedStrings.xml><?xml version="1.0" encoding="utf-8"?>
<sst xmlns="http://schemas.openxmlformats.org/spreadsheetml/2006/main" count="1211" uniqueCount="242">
  <si>
    <t>Summary of Requirements</t>
  </si>
  <si>
    <t>Salaries and Expenses</t>
  </si>
  <si>
    <t>(Dollars in Thousands)</t>
  </si>
  <si>
    <t>Direct Pos.</t>
  </si>
  <si>
    <t>Amount</t>
  </si>
  <si>
    <t>Pay and Benefits</t>
  </si>
  <si>
    <t>Domestic Rent and Facilities</t>
  </si>
  <si>
    <t>Other Adjustments</t>
  </si>
  <si>
    <t>Foreign Expenses</t>
  </si>
  <si>
    <t>Program Changes</t>
  </si>
  <si>
    <t>Subtotal, Offsets</t>
  </si>
  <si>
    <t>Total Program Changes</t>
  </si>
  <si>
    <t>end of line</t>
  </si>
  <si>
    <t>end of sheet</t>
  </si>
  <si>
    <t>Total</t>
  </si>
  <si>
    <t>Reimbursable FTE</t>
  </si>
  <si>
    <t>Other FTE:</t>
  </si>
  <si>
    <t>LEAP</t>
  </si>
  <si>
    <t>Overtime</t>
  </si>
  <si>
    <t>Direct FTE</t>
  </si>
  <si>
    <t>Program Increases</t>
  </si>
  <si>
    <t>Total Offsets</t>
  </si>
  <si>
    <t>Program Offsets</t>
  </si>
  <si>
    <t>Total Program Offsets</t>
  </si>
  <si>
    <t>Agt./
Atty.</t>
  </si>
  <si>
    <t>Resources by Department of Justice Strategic Goal/Objective</t>
  </si>
  <si>
    <t>Strategic Goal and Strategic Objective</t>
  </si>
  <si>
    <t>Direct Amount</t>
  </si>
  <si>
    <t>Direct/
Reimb FTE</t>
  </si>
  <si>
    <t>Goal 1</t>
  </si>
  <si>
    <t xml:space="preserve">Prevent Terrorism and Promote the Nation's Security Consistent with the Rule of Law
</t>
  </si>
  <si>
    <t>Goal 2</t>
  </si>
  <si>
    <t>Prevent Crime, Protect the Rights of the American People, and enforce Federal Law</t>
  </si>
  <si>
    <t>Subtotal, Goal 2</t>
  </si>
  <si>
    <t>Subtotal, Goal 1</t>
  </si>
  <si>
    <t>Goal 3</t>
  </si>
  <si>
    <t>Ensure and Support the Fair, Impartial, Efficient, and Transparent Administration of Justice at the Federal, State, Local, Tribal and International Levels.</t>
  </si>
  <si>
    <t>Subtotal, Goal 3</t>
  </si>
  <si>
    <t>TOTAL</t>
  </si>
  <si>
    <t>25.6 Medical Care</t>
  </si>
  <si>
    <t xml:space="preserve"> </t>
  </si>
  <si>
    <t>Subtotal, Pay and Benefits</t>
  </si>
  <si>
    <t>Subtotal, Domestic Rent and Facilities</t>
  </si>
  <si>
    <t>Subtotal, Other Adjustments</t>
  </si>
  <si>
    <t>Subtotal, Foreign Expenses</t>
  </si>
  <si>
    <t>Subtotal, Non-Recur Non-Personnel</t>
  </si>
  <si>
    <t>Reprogramming/Transfers</t>
  </si>
  <si>
    <t xml:space="preserve">Carryover </t>
  </si>
  <si>
    <t>Crosswalk of 2013 Availability</t>
  </si>
  <si>
    <t>Summary of Reimbursable Resources</t>
  </si>
  <si>
    <t>Increase/Decrease</t>
  </si>
  <si>
    <t>Reimb. Pos.</t>
  </si>
  <si>
    <t>Reimb. FTE</t>
  </si>
  <si>
    <t>Detail of Permanent Positions by Category</t>
  </si>
  <si>
    <t>ATBs</t>
  </si>
  <si>
    <t>Category</t>
  </si>
  <si>
    <t>Accounting and Budget (500-599)</t>
  </si>
  <si>
    <t>Information &amp; Arts (1000-1099)</t>
  </si>
  <si>
    <t>Business &amp; Industry (1100-1199)</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</si>
  <si>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</si>
  <si>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</si>
  <si>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</si>
  <si>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</si>
  <si>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</si>
  <si>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</si>
  <si>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</si>
  <si>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</si>
  <si>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</si>
  <si>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</si>
  <si>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</si>
  <si>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</si>
  <si>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</si>
  <si>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</si>
  <si>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</si>
  <si>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</si>
  <si>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</si>
  <si>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</si>
  <si>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</si>
  <si>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</si>
  <si>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</si>
  <si>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</si>
  <si>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</si>
  <si>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25.7 Operation and Maintenance of Equipment</t>
  </si>
  <si>
    <t>26.0 Supplies and Materials</t>
  </si>
  <si>
    <t>31.0 Equipment</t>
  </si>
  <si>
    <t>32.0 Land and Structures</t>
  </si>
  <si>
    <t>42.0 Insurance Claims and Indemnities</t>
  </si>
  <si>
    <t>Total Obligations</t>
  </si>
  <si>
    <t>Add - Unobligated End-of-Year, Available</t>
  </si>
  <si>
    <t>Total Direct Requirements</t>
  </si>
  <si>
    <t>Full-Time Permanent</t>
  </si>
  <si>
    <t>23.1 Rental Payments to GSA (Reimbursable)</t>
  </si>
  <si>
    <t>25.3 Other Goods and Services from Federal Sources - DHS Security (Reimbursable)</t>
  </si>
  <si>
    <t>Financial Analysis of Program Changes</t>
  </si>
  <si>
    <t>Grades</t>
  </si>
  <si>
    <t>Base Adjustments</t>
  </si>
  <si>
    <t>Total Base Adjustments</t>
  </si>
  <si>
    <t>Total Technical and Base Adjustments</t>
  </si>
  <si>
    <t>Estimate FTE</t>
  </si>
  <si>
    <t>Actual FTE</t>
  </si>
  <si>
    <t>Estim. FTE</t>
  </si>
  <si>
    <t>Balance Rescission</t>
  </si>
  <si>
    <t>Total Direct</t>
  </si>
  <si>
    <t>Total Direct and Reimb. FTE</t>
  </si>
  <si>
    <t>Grand Total, FTE</t>
  </si>
  <si>
    <t>Program Activity</t>
  </si>
  <si>
    <t>Justifications for Technical and Base Adjustments</t>
  </si>
  <si>
    <t>TOTAL DIRECT TECHNICAL and BASE ADJUSTMENTS</t>
  </si>
  <si>
    <t>Recoveries/Refunds</t>
  </si>
  <si>
    <t>Obligations by Program Activity</t>
  </si>
  <si>
    <t>Total Program Change Requests</t>
  </si>
  <si>
    <t>11.5 Other Personnel Compensation</t>
  </si>
  <si>
    <t>22.0 Transportation of Things</t>
  </si>
  <si>
    <t>Subtract - Unobligated Balance, Start-of-Year</t>
  </si>
  <si>
    <t>Budgetary Resources</t>
  </si>
  <si>
    <t>Est. FTE</t>
  </si>
  <si>
    <t>Total Direct with Rescission</t>
  </si>
  <si>
    <t>Add - Unobligated End-of-Year, Expiring</t>
  </si>
  <si>
    <t>Carryover:</t>
  </si>
  <si>
    <t>Recoveries/Refunds:</t>
  </si>
  <si>
    <t>Non-Personnel Related Decreases</t>
  </si>
  <si>
    <t>Total Technical Adjustments</t>
  </si>
  <si>
    <t>Collections by Source</t>
  </si>
  <si>
    <t>Subtract - Transfers/Reprogramming</t>
  </si>
  <si>
    <t>Subtract - Recoveries/Refunds</t>
  </si>
  <si>
    <t>2013 Enacted</t>
  </si>
  <si>
    <t xml:space="preserve">  2013 Rescissions (1.877% &amp; 0.2%)</t>
  </si>
  <si>
    <t>FY 2015 Request</t>
  </si>
  <si>
    <t>Total 2013 Enacted (with Rescissions and Sequester)</t>
  </si>
  <si>
    <t>2015 Current Services</t>
  </si>
  <si>
    <t>2015 Total Request</t>
  </si>
  <si>
    <t>2015 Total Request (with Balance Rescission)</t>
  </si>
  <si>
    <t>2013 Enacted with Rescissions and Sequester</t>
  </si>
  <si>
    <t>2015 Technical and Base Adjustments</t>
  </si>
  <si>
    <t>2015 Increases</t>
  </si>
  <si>
    <t>2015 Offsets</t>
  </si>
  <si>
    <t>2015 Request</t>
  </si>
  <si>
    <t>FY 2015 Program Changes by Decision Unit</t>
  </si>
  <si>
    <t>Sequester</t>
  </si>
  <si>
    <t>2013 Actual</t>
  </si>
  <si>
    <t>Crosswalk of 2014 Availability</t>
  </si>
  <si>
    <t>2014 Availability</t>
  </si>
  <si>
    <t>2014 Planned</t>
  </si>
  <si>
    <r>
      <t xml:space="preserve">International Cooperative Administrative Support Services (ICASS):
</t>
    </r>
    <r>
      <rPr>
        <sz val="9"/>
        <color theme="1"/>
        <rFont val="Arial"/>
        <family val="2"/>
      </rPr>
      <t>The Department of State charges agencies for administrative support provided to staff based overseas.  Charges are determined by a cost distribution system.  The FY 2015 request is based on the projected FY 2014 bill for post invoices and other ICASS costs. [CRM, USMS, FBI, DEA, ATF, CIV only]</t>
    </r>
    <r>
      <rPr>
        <u/>
        <sz val="9"/>
        <color theme="1"/>
        <rFont val="Arial"/>
        <family val="2"/>
      </rPr>
      <t xml:space="preserve">
</t>
    </r>
  </si>
  <si>
    <r>
      <t xml:space="preserve">2013 Appropriation Enacted w/o Balance Rescission </t>
    </r>
    <r>
      <rPr>
        <b/>
        <vertAlign val="superscript"/>
        <sz val="11"/>
        <color theme="1"/>
        <rFont val="Arial"/>
        <family val="2"/>
      </rPr>
      <t>1</t>
    </r>
  </si>
  <si>
    <t>Footnotes:</t>
  </si>
  <si>
    <t>Prevent, disrupt, and defeat terrorist operations before they occur by integrating intelligence and law enforcement efforts to achieve a coordinated response to terrorist threats</t>
  </si>
  <si>
    <t xml:space="preserve">Prevent and intervene in crimes against vulnerable populations and uphold the rights of, and improve services to America’s crime victims </t>
  </si>
  <si>
    <t>Promote and strengthen relationships and strategies for the administration of justice with law enforcement agencies, organizations, prosecutors, and defenders, through innovative leadership and programs</t>
  </si>
  <si>
    <t>Protect judges, witnesses, and other participants in federal proceedings by anticipating, deterring, and investigating threats of violence</t>
  </si>
  <si>
    <t>Provide safe, secure, humane, and cost effective confinement and transportation of federal detainees and inmates</t>
  </si>
  <si>
    <t>Apprehend fugitives to ensure their appearance for federal judicial proceedings or confinement</t>
  </si>
  <si>
    <t>Prevent and respond to genocide and mass atrocities and ensure that perpetrators of such crimes are held accountable in the United States, and if appropriate, their home countries</t>
  </si>
  <si>
    <t xml:space="preserve">Adjudicate all immigration cases promptly and impartially in accordance with due process </t>
  </si>
  <si>
    <t>Strengthen the government-to-government relationship between tribes and the United States, improve public safety in Indian Country, and honor treaty and trust responsibilities through consistent, coordinated policies, activities, and litigation</t>
  </si>
  <si>
    <t>Supplementals</t>
  </si>
  <si>
    <t>1) The 2013 Enacted appropriation includes the 2 across-the-board rescissions of 1.877% and 0.2%</t>
  </si>
  <si>
    <t xml:space="preserve">  2013 Sequester</t>
  </si>
  <si>
    <t>2013 Balance Rescission</t>
  </si>
  <si>
    <t>2014 Balance Rescission</t>
  </si>
  <si>
    <t>2015 Balance Rescission</t>
  </si>
  <si>
    <t>Direct Positions</t>
  </si>
  <si>
    <t>FTE</t>
  </si>
  <si>
    <t>Note: The FTE for FY 2013 is actual and for FY 2014 and FY 2015 is estimated.</t>
  </si>
  <si>
    <t>Location of Description in Narrative</t>
  </si>
  <si>
    <t>2013 Enacted with Rescissions &amp; Sequestration</t>
  </si>
  <si>
    <t>2014 Enacted</t>
  </si>
  <si>
    <t>Total 2014 Enacted (with Balance Rescission)</t>
  </si>
  <si>
    <t>FY 2014 Enacted</t>
  </si>
  <si>
    <t>A: Organizational Chart</t>
  </si>
  <si>
    <t>2012 template</t>
  </si>
  <si>
    <t>FY 2011 CJ Submission</t>
  </si>
  <si>
    <t>2014 - 2015 Total Change</t>
  </si>
  <si>
    <t>25.3 DHS Security (GSA)</t>
  </si>
  <si>
    <t>25.9 Lease Expirations</t>
  </si>
  <si>
    <t>United States Marshals Service</t>
  </si>
  <si>
    <t>Construction</t>
  </si>
  <si>
    <t>Social science, Psychology, and Welfare (100-199)</t>
  </si>
  <si>
    <t>Medical/Public Health (600-699)</t>
  </si>
  <si>
    <t>Architecture (808)</t>
  </si>
  <si>
    <t>Electronics Technical (856)</t>
  </si>
  <si>
    <t>Paralegal Specialist (950)</t>
  </si>
  <si>
    <t>Mathematics and Statistics (1500-1599)</t>
  </si>
  <si>
    <t>Equipment, Facilities, and Services (1600-1699)</t>
  </si>
  <si>
    <t>Detention Enforcement Officers (1802)</t>
  </si>
  <si>
    <t>Transportation (2100-2199)</t>
  </si>
  <si>
    <t>Information Technology Management  (2210)</t>
  </si>
  <si>
    <t>Judicial and Courthouse Security</t>
  </si>
  <si>
    <t>Fugitive Apprehension</t>
  </si>
  <si>
    <t>Prisoner Security and Transportation</t>
  </si>
  <si>
    <t>Protection of Witnesses</t>
  </si>
  <si>
    <t>Tactical Operations</t>
  </si>
  <si>
    <t xml:space="preserve">Attorneys (905) </t>
  </si>
  <si>
    <t>Intelligence Series (132)</t>
  </si>
  <si>
    <t>Miscellaneous Operations (010-099)</t>
  </si>
  <si>
    <t>Security Specialists (080)</t>
  </si>
  <si>
    <t>Personnel Management (200-299)</t>
  </si>
  <si>
    <t>Clerical and Office Services (300-399)</t>
  </si>
  <si>
    <t>Note: FY 2013 through FY 2015 include additional 10 direct positions from the merger of the USMS and Office of the Federal Detention Trustee.</t>
  </si>
  <si>
    <t>25.8 Other Services</t>
  </si>
  <si>
    <t>Unobligated balance transfers of $17,052,192 include transfers for USMS S&amp;E (15-1213-0324) to/from High Intensity Drug Trafficking Area (HIDTA 11-1213-1070) in the amounts of $127,885 transfer in and $75,693 transfer out and for USMS S&amp;E no-year (15-X-0324) from prior year S&amp;E annual (15-11-0324), $4,000,000 and S&amp;E annual (15-12-0324), $13,000,000.  Also includes non-expenditure transfers of appropriations from Federal Prisoner Detention (15-X-1020) through the reprogramming process, $36,462,000; and from HIDTA (11-1314-1070), $1,345,219.</t>
  </si>
  <si>
    <t>Unobligated balances brought forward include $1,114,099 from HIDTA (11-1213-1070) and $7,290,513 from S&amp;E No-Year (15-X-0324).</t>
  </si>
  <si>
    <t>Unobligated Balances that were carried over from FY 2012 include $930,402 from Construction No-Year (15-0133-X) for renovation and related costs.</t>
  </si>
  <si>
    <t>Recoveries from Prior Year obligations amounted to $580,881 to support courthouse renovations and related costs.</t>
  </si>
  <si>
    <t>Recoveries of prior year obligations amounting to $621,677 are from S&amp;E No-Year (15-X-0324).  Refunds sources amountint to $3,818,488 include Service of Process Fees, Visa Rebates, Proceeds from Vehicle Sales, Purchase Refunds, and Commissions.</t>
  </si>
  <si>
    <t>Unobligated balance transfers of $9,909,097 include transfers for USMS S&amp;E (15-1314-0324) to High Intensity Drug Trafficking Area (HIDTA 11-1213-1070) in the amounts of $90,097, USMS S&amp;E no-year (15-X-0324) from prior year S&amp;E annual (15-13-0324) of $10,000,000 and anticipated transfers from S&amp;E no-year (15-X-0324) of $7,500,000 to S&amp;E annual (15-14-0324).</t>
  </si>
  <si>
    <t>Unobligated balances brought forward include $1,180,276 from HIDTA (11-1314-1070) and $7,290,513 from S&amp;E No-Year (15-X-0324).</t>
  </si>
  <si>
    <t>Recoveries from prior year obligations are estimated at $1,000,000 from S&amp;E No-Year (15-X-0324) as reported in the FY 2014 Spend Plan under Section 210 Notification, to support information technology enhancements.  Anticipated sources from Refunds amounting to $7,700,000 include Service of Process Fees, Visa Rebates, Proceeds from Vehicle Sales, Purchase Refunds, and Commissions.</t>
  </si>
  <si>
    <t>Unobligated Balances that were carried over from FY 2012 include $823,618 from Construction No-Year (15-0133-X) for renovation and related costs.</t>
  </si>
  <si>
    <t>Recoveries from Prior Year obligations are estimated at $1,000,000 as reported in the FY 2014 Spend Plan under Section 210 Notification, to support courthouse renovation and related costs.</t>
  </si>
  <si>
    <t xml:space="preserve">Criminal Investigative Series (082, 1801, 1810, 1811) </t>
  </si>
  <si>
    <t>Administrative Office of the U.S. Courts (AOUSC)</t>
  </si>
  <si>
    <t>Assets Forfeiture Fund (AFF)</t>
  </si>
  <si>
    <t>Centers for Disease Control (CDC)</t>
  </si>
  <si>
    <t>Department of Defense (DOD)</t>
  </si>
  <si>
    <t>Department of Homeland Security (DHS)</t>
  </si>
  <si>
    <t>Department of Justice (DOJ)</t>
  </si>
  <si>
    <t>Department of State (DOS)</t>
  </si>
  <si>
    <t>Executive Office of the U.S. Attorneys (EOUSA)</t>
  </si>
  <si>
    <t>Federal Law Enforcement Training Center (FLETC)</t>
  </si>
  <si>
    <t>Office of National Drug Control Policy (ONDCP)</t>
  </si>
  <si>
    <t>Organized Crime Drug Enforcement Task Force (OCDETF)</t>
  </si>
  <si>
    <t>Service of Process (SOP)</t>
  </si>
  <si>
    <t>U.S. Tax Court</t>
  </si>
  <si>
    <t>Various Federal Sources</t>
  </si>
  <si>
    <t xml:space="preserve">Offsets: </t>
  </si>
  <si>
    <t>Miscellaneous Program and Administrative Reductions</t>
  </si>
  <si>
    <t xml:space="preserve">Judicial and Courthouse Security </t>
  </si>
  <si>
    <t>Total 2013 Enacted (Rescissions and Sequester)</t>
  </si>
  <si>
    <r>
      <t xml:space="preserve">Annualization of 2014 Pay Raise:
</t>
    </r>
    <r>
      <rPr>
        <sz val="9"/>
        <color theme="1"/>
        <rFont val="Arial"/>
        <family val="2"/>
      </rPr>
      <t>This pay annualization represents first quarter amounts (October through December) of the 2014 pay increase of 1.0% included in the 2014 President's Budget.  The amount requested $1,632, represents the pay amounts for 1/4 of the fiscal year plus appropriate benefits ($ 1,138 for pay and $494 for benefits).</t>
    </r>
  </si>
  <si>
    <r>
      <rPr>
        <u/>
        <sz val="9"/>
        <color theme="1"/>
        <rFont val="Arial"/>
        <family val="2"/>
      </rPr>
      <t xml:space="preserve">FERS Regular/Law Enforcement Retirement Contribution:
</t>
    </r>
    <r>
      <rPr>
        <sz val="9"/>
        <color theme="1"/>
        <rFont val="Arial"/>
        <family val="2"/>
      </rPr>
      <t xml:space="preserve">Effective October 1, 2014 (FY 2015), the </t>
    </r>
    <r>
      <rPr>
        <b/>
        <sz val="9"/>
        <color theme="1"/>
        <rFont val="Arial"/>
        <family val="2"/>
      </rPr>
      <t xml:space="preserve">new agency contribution rates of 13.2% (up from the current 11.9%, or an increase of 1.3%) and 28.8% for law enforcement personnel (up from the current 26.3%, or an increase of 2.5%).  </t>
    </r>
    <r>
      <rPr>
        <sz val="9"/>
        <color theme="1"/>
        <rFont val="Arial"/>
        <family val="2"/>
      </rPr>
      <t xml:space="preserve">The amount requested, $13,299, represents the funds needed to cover this increase. </t>
    </r>
  </si>
  <si>
    <r>
      <t>Health Insurance:</t>
    </r>
    <r>
      <rPr>
        <sz val="9"/>
        <color theme="1"/>
        <rFont val="Arial"/>
        <family val="2"/>
      </rPr>
      <t xml:space="preserve">
Effective January 2015, the component's contribution to Federal employees' health insurance increases by 4% percent.  Applied against the 2014 estimate of $39,425, the additional amount required is $1,577.</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</si>
  <si>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$1,251 is necessary to meet our increased retirement obligations as a result of this conversion.</t>
    </r>
  </si>
  <si>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$9,141, is required to meet our commitment to GSA.  The costs associated with GSA rent were derived through the use of an automated system, which uses the latest inventory data, including rate increases to be effective FY 2015 for each building currently occupied by Department of Justice components, as well as the costs of new space to be occupied.  GSA provides data on the rate increases.</t>
    </r>
  </si>
  <si>
    <r>
      <t>Guard Services:</t>
    </r>
    <r>
      <rPr>
        <sz val="9"/>
        <color theme="1"/>
        <rFont val="Arial"/>
        <family val="2"/>
      </rPr>
      <t xml:space="preserve">
This includes Department of Homeland Security (DHS) Federal Protective Service charges, Justice Protective Service charges and other security services across the country.  The requested increase of $383 is required to meet these commitments.</t>
    </r>
  </si>
  <si>
    <r>
      <t xml:space="preserve">Capital Security Cost Sharing (CSCS):
</t>
    </r>
    <r>
      <rPr>
        <sz val="9"/>
        <color theme="1"/>
        <rFont val="Arial"/>
        <family val="2"/>
      </rPr>
      <t>Per P.L. 108-447 and subsequent acts, “all agencies with personnel overseas subject to chief of mission authority…shall participate and provide funding in advance for their share of costs of providing new, safe, secure U.S. diplomatic facilities, without offsets, on the basis of the total overseas presence of each agency as determined by the Secretary of State.”  Originally authorized for FY 2000-2004, the program has been extended annually by OMB and Congress and has also been expanded beyond new embassy construction to include maintenance and renovation costs of the new facilities.  For the purpose of this program, State’s personnel totals for DOJ include current and projected staffing.  The estimated cost to the Department, as provided by State, for FY 2015 is $513.  The USMS currently has 17 positions overseas, and funding of $513 is requested for this account. 
[CRM, USMS, FBI, DEA, ATF, CIV only]</t>
    </r>
    <r>
      <rPr>
        <u/>
        <sz val="9"/>
        <color theme="1"/>
        <rFont val="Arial"/>
        <family val="2"/>
      </rPr>
      <t xml:space="preserve">
</t>
    </r>
  </si>
  <si>
    <t>All Decision Units</t>
  </si>
  <si>
    <t>Federal Bureau of Investigation (FBI)</t>
  </si>
  <si>
    <t>Miscellaneous Program &amp; Administrative Reductions</t>
  </si>
  <si>
    <r>
      <t xml:space="preserve">Land Mobile Radio, Operations and Maintenance (O&amp;M):
</t>
    </r>
    <r>
      <rPr>
        <sz val="9"/>
        <color theme="1"/>
        <rFont val="Arial"/>
        <family val="2"/>
      </rPr>
      <t>In FY 2013, the funding for the Department's Radio/Interoperability program was realigned.  This change generated savings and allowed the Department to increase our investments in improved technology and interoperability.  As part of the realignment, base operations and maintenance (O&amp;M) funding for radios was transferred back to components.  In order to fully fund the O&amp;M requirements, an ATB increase of $893 is requested for the USMS.</t>
    </r>
  </si>
  <si>
    <r>
      <t xml:space="preserve">2015 Pay Raise:
</t>
    </r>
    <r>
      <rPr>
        <sz val="9"/>
        <color theme="1"/>
        <rFont val="Arial"/>
        <family val="2"/>
      </rPr>
      <t>This request provides for a proposed 1 percent pay raise to be effective in January of 2015.  The amount request, $4,970, represents the pay amounts for 3/4 of the fiscal year plus appropriate benefits ($3,465 for pay and $1,505 for benefits).</t>
    </r>
  </si>
  <si>
    <r>
      <t xml:space="preserve">Miscellaneous Program and Administrative Reductions:
</t>
    </r>
    <r>
      <rPr>
        <sz val="9"/>
        <color theme="1"/>
        <rFont val="Arial"/>
        <family val="2"/>
      </rPr>
      <t>Reductions to existing operations and services necessary to pay for mandatory increases in existing costs, including pay raises, FERS contributions, State Department charges, and GSA rent, among others.  The operations and services that will be reduced will be specified in spending plans after funds have been appropriated.  Such reductions could include funds for travel, training, contracts, supplies, and other costs related to current operations.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</si>
</sst>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 #,##0_);_(* \(#,##0\);_(* &quot;-&quot;??_);_(@_)"/>
    <numFmt numFmtId="165" formatCode="mm/dd/yy"/>
    <numFmt numFmtId="166" formatCode="0_);[Red]\(0\)"/>
    <numFmt numFmtId="167" formatCode="0.000_)"/>
    <numFmt numFmtId="168" formatCode="0.0000000000"/>
  </numFmts>
  <fonts count="74" x14ac:knownFonts="1">
    <font>
      <sz val="11"/>
      <color theme="1"/>
      <name val="Calibri"/>
      <family val="2"/>
      <scheme val="minor"/>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sz val="14"/>
      <color theme="0"/>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b/>
      <sz val="10"/>
      <color theme="1"/>
      <name val="Arial"/>
      <family val="2"/>
    </font>
    <font>
      <i/>
      <sz val="11"/>
      <color theme="1"/>
      <name val="Arial"/>
      <family val="2"/>
    </font>
    <font>
      <b/>
      <sz val="11"/>
      <color theme="0"/>
      <name val="Arial"/>
      <family val="2"/>
    </font>
    <font>
      <sz val="11"/>
      <name val="Arial"/>
      <family val="2"/>
    </font>
    <font>
      <b/>
      <sz val="11"/>
      <name val="Arial"/>
      <family val="2"/>
    </font>
    <font>
      <b/>
      <u/>
      <sz val="11"/>
      <color theme="0"/>
      <name val="Arial"/>
      <family val="2"/>
    </font>
    <font>
      <b/>
      <u/>
      <sz val="14"/>
      <color theme="0"/>
      <name val="Arial"/>
      <family val="2"/>
    </font>
    <font>
      <sz val="12"/>
      <color theme="0"/>
      <name val="Arial"/>
      <family val="2"/>
    </font>
    <font>
      <sz val="10"/>
      <color theme="0"/>
      <name val="Arial"/>
      <family val="2"/>
    </font>
    <font>
      <b/>
      <vertAlign val="superscript"/>
      <sz val="11"/>
      <color theme="1"/>
      <name val="Arial"/>
      <family val="2"/>
    </font>
    <font>
      <u/>
      <sz val="11"/>
      <color theme="1"/>
      <name val="Arial"/>
      <family val="2"/>
    </font>
    <font>
      <sz val="10"/>
      <name val="Arial"/>
      <family val="2"/>
    </font>
    <font>
      <sz val="12"/>
      <name val="Arial"/>
      <family val="2"/>
    </font>
    <font>
      <sz val="9"/>
      <color rgb="FF1F497D"/>
      <name val="Arial"/>
      <family val="2"/>
    </font>
    <font>
      <b/>
      <sz val="12"/>
      <name val="Arial"/>
      <family val="2"/>
    </font>
    <font>
      <sz val="12"/>
      <name val="Arial"/>
      <family val="2"/>
    </font>
    <font>
      <b/>
      <sz val="16"/>
      <name val="Times New Roman"/>
      <family val="1"/>
    </font>
    <font>
      <sz val="8"/>
      <color indexed="9"/>
      <name val="Arial"/>
      <family val="2"/>
    </font>
    <font>
      <sz val="10"/>
      <color indexed="9"/>
      <name val="Times New Roman"/>
      <family val="1"/>
    </font>
    <font>
      <b/>
      <u/>
      <sz val="12"/>
      <name val="Times New Roman"/>
      <family val="1"/>
    </font>
    <font>
      <sz val="12"/>
      <name val="Times New Roman"/>
      <family val="1"/>
    </font>
    <font>
      <b/>
      <sz val="12"/>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Times New Roman"/>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7.5"/>
      <color indexed="12"/>
      <name val="Arial"/>
      <family val="2"/>
    </font>
    <font>
      <sz val="11"/>
      <color indexed="62"/>
      <name val="Calibri"/>
      <family val="2"/>
    </font>
    <font>
      <sz val="11"/>
      <color indexed="52"/>
      <name val="Calibri"/>
      <family val="2"/>
    </font>
    <font>
      <sz val="11"/>
      <color indexed="60"/>
      <name val="Calibri"/>
      <family val="2"/>
    </font>
    <font>
      <sz val="14"/>
      <name val="Arial Narrow"/>
      <family val="2"/>
    </font>
    <font>
      <sz val="10"/>
      <name val="Tahoma"/>
      <family val="2"/>
    </font>
    <font>
      <sz val="10"/>
      <color theme="1"/>
      <name val="Times New Roman"/>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11"/>
      <name val="Tms Rmn"/>
      <family val="1"/>
    </font>
    <font>
      <sz val="10"/>
      <name val="System"/>
      <family val="2"/>
    </font>
    <font>
      <b/>
      <sz val="18"/>
      <name val="Arial"/>
      <family val="2"/>
    </font>
    <font>
      <sz val="10"/>
      <color theme="1"/>
      <name val="Calibri"/>
      <family val="2"/>
    </font>
    <font>
      <sz val="10"/>
      <name val="MS Sans Serif"/>
      <family val="2"/>
    </font>
  </fonts>
  <fills count="2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26"/>
        <bgColor indexed="64"/>
      </patternFill>
    </fill>
  </fills>
  <borders count="1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style="thin">
        <color auto="1"/>
      </left>
      <right/>
      <top/>
      <bottom style="thin">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right style="medium">
        <color auto="1"/>
      </right>
      <top/>
      <bottom/>
      <diagonal/>
    </border>
    <border>
      <left/>
      <right/>
      <top style="medium">
        <color rgb="FFFF0000"/>
      </top>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medium">
        <color auto="1"/>
      </right>
      <top style="dashed">
        <color theme="0" tint="-0.14996795556505021"/>
      </top>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right style="medium">
        <color auto="1"/>
      </right>
      <top style="thin">
        <color auto="1"/>
      </top>
      <bottom style="dashed">
        <color theme="0" tint="-0.14996795556505021"/>
      </bottom>
      <diagonal/>
    </border>
    <border>
      <left style="medium">
        <color auto="1"/>
      </left>
      <right/>
      <top/>
      <bottom style="thin">
        <color auto="1"/>
      </bottom>
      <diagonal/>
    </border>
    <border>
      <left/>
      <right style="medium">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bottom/>
      <diagonal/>
    </border>
    <border>
      <left/>
      <right/>
      <top style="medium">
        <color indexed="64"/>
      </top>
      <bottom style="medium">
        <color indexed="64"/>
      </bottom>
      <diagonal/>
    </border>
    <border>
      <left/>
      <right/>
      <top style="double">
        <color indexed="0"/>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auto="1"/>
      </left>
      <right/>
      <top style="thin">
        <color auto="1"/>
      </top>
      <bottom style="medium">
        <color auto="1"/>
      </bottom>
      <diagonal/>
    </border>
    <border>
      <left style="medium">
        <color auto="1"/>
      </left>
      <right/>
      <top style="dashed">
        <color theme="0" tint="-0.14996795556505021"/>
      </top>
      <bottom style="dotted">
        <color theme="0" tint="-0.14996795556505021"/>
      </bottom>
      <diagonal/>
    </border>
    <border>
      <left style="thin">
        <color auto="1"/>
      </left>
      <right style="thin">
        <color auto="1"/>
      </right>
      <top style="dashed">
        <color theme="0" tint="-0.14996795556505021"/>
      </top>
      <bottom style="dotted">
        <color theme="0" tint="-0.14996795556505021"/>
      </bottom>
      <diagonal/>
    </border>
    <border>
      <left/>
      <right style="medium">
        <color auto="1"/>
      </right>
      <top style="dashed">
        <color theme="0" tint="-0.14996795556505021"/>
      </top>
      <bottom style="dotted">
        <color theme="0" tint="-0.14996795556505021"/>
      </bottom>
      <diagonal/>
    </border>
    <border>
      <left style="medium">
        <color auto="1"/>
      </left>
      <right/>
      <top style="dotted">
        <color theme="0" tint="-0.14996795556505021"/>
      </top>
      <bottom style="dashed">
        <color theme="0" tint="-0.14996795556505021"/>
      </bottom>
      <diagonal/>
    </border>
    <border>
      <left style="thin">
        <color auto="1"/>
      </left>
      <right style="thin">
        <color auto="1"/>
      </right>
      <top style="dotted">
        <color theme="0" tint="-0.14996795556505021"/>
      </top>
      <bottom style="dashed">
        <color theme="0" tint="-0.14996795556505021"/>
      </bottom>
      <diagonal/>
    </border>
    <border>
      <left/>
      <right style="medium">
        <color auto="1"/>
      </right>
      <top style="dotted">
        <color theme="0" tint="-0.14996795556505021"/>
      </top>
      <bottom style="dashed">
        <color theme="0" tint="-0.14996795556505021"/>
      </bottom>
      <diagonal/>
    </border>
    <border>
      <left style="medium">
        <color auto="1"/>
      </left>
      <right style="thin">
        <color auto="1"/>
      </right>
      <top style="thin">
        <color auto="1"/>
      </top>
      <bottom style="medium">
        <color auto="1"/>
      </bottom>
      <diagonal/>
    </border>
    <border>
      <left style="thin">
        <color auto="1"/>
      </left>
      <right/>
      <top/>
      <bottom/>
      <diagonal/>
    </border>
  </borders>
  <cellStyleXfs count="210">
    <xf numFmtId="0" fontId="0" fillId="0" borderId="0"/>
    <xf numFmtId="43" fontId="10" fillId="0" borderId="0" applyFont="0" applyFill="0" applyBorder="0" applyAlignment="0" applyProtection="0"/>
    <xf numFmtId="0" fontId="35"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36" fillId="0" borderId="0"/>
    <xf numFmtId="0" fontId="36" fillId="0" borderId="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36" fillId="0" borderId="0"/>
    <xf numFmtId="0" fontId="39" fillId="0" borderId="0"/>
    <xf numFmtId="0" fontId="46" fillId="5"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46" fillId="12" borderId="0" applyNumberFormat="0" applyBorder="0" applyAlignment="0" applyProtection="0"/>
    <xf numFmtId="0" fontId="46" fillId="13" borderId="0" applyNumberFormat="0" applyBorder="0" applyAlignment="0" applyProtection="0"/>
    <xf numFmtId="0" fontId="46" fillId="8" borderId="0" applyNumberFormat="0" applyBorder="0" applyAlignment="0" applyProtection="0"/>
    <xf numFmtId="0" fontId="46" fillId="11" borderId="0" applyNumberFormat="0" applyBorder="0" applyAlignment="0" applyProtection="0"/>
    <xf numFmtId="0" fontId="46" fillId="14" borderId="0" applyNumberFormat="0" applyBorder="0" applyAlignment="0" applyProtection="0"/>
    <xf numFmtId="0" fontId="47" fillId="15" borderId="0" applyNumberFormat="0" applyBorder="0" applyAlignment="0" applyProtection="0"/>
    <xf numFmtId="0" fontId="47" fillId="12" borderId="0" applyNumberFormat="0" applyBorder="0" applyAlignment="0" applyProtection="0"/>
    <xf numFmtId="0" fontId="47" fillId="13" borderId="0" applyNumberFormat="0" applyBorder="0" applyAlignment="0" applyProtection="0"/>
    <xf numFmtId="0" fontId="47" fillId="16"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19"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16" borderId="0" applyNumberFormat="0" applyBorder="0" applyAlignment="0" applyProtection="0"/>
    <xf numFmtId="0" fontId="47" fillId="17" borderId="0" applyNumberFormat="0" applyBorder="0" applyAlignment="0" applyProtection="0"/>
    <xf numFmtId="0" fontId="47" fillId="22" borderId="0" applyNumberFormat="0" applyBorder="0" applyAlignment="0" applyProtection="0"/>
    <xf numFmtId="0" fontId="48" fillId="6" borderId="0" applyNumberFormat="0" applyBorder="0" applyAlignment="0" applyProtection="0"/>
    <xf numFmtId="0" fontId="49" fillId="23" borderId="91" applyNumberFormat="0" applyAlignment="0" applyProtection="0"/>
    <xf numFmtId="0" fontId="49" fillId="23" borderId="91" applyNumberFormat="0" applyAlignment="0" applyProtection="0"/>
    <xf numFmtId="0" fontId="49" fillId="23" borderId="91" applyNumberFormat="0" applyAlignment="0" applyProtection="0"/>
    <xf numFmtId="0" fontId="50" fillId="24" borderId="92" applyNumberFormat="0" applyAlignment="0" applyProtection="0"/>
    <xf numFmtId="43" fontId="5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165" fontId="35" fillId="0" borderId="0" applyFont="0" applyFill="0" applyBorder="0" applyAlignment="0" applyProtection="0"/>
    <xf numFmtId="0" fontId="52" fillId="0" borderId="0" applyNumberFormat="0" applyFill="0" applyBorder="0" applyAlignment="0" applyProtection="0"/>
    <xf numFmtId="166" fontId="35" fillId="0" borderId="0" applyFont="0" applyFill="0" applyBorder="0" applyAlignment="0" applyProtection="0"/>
    <xf numFmtId="0" fontId="53" fillId="7" borderId="0" applyNumberFormat="0" applyBorder="0" applyAlignment="0" applyProtection="0"/>
    <xf numFmtId="0" fontId="54" fillId="0" borderId="93" applyNumberFormat="0" applyFill="0" applyAlignment="0" applyProtection="0"/>
    <xf numFmtId="0" fontId="55" fillId="0" borderId="94" applyNumberFormat="0" applyFill="0" applyAlignment="0" applyProtection="0"/>
    <xf numFmtId="0" fontId="56" fillId="0" borderId="95" applyNumberFormat="0" applyFill="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0" fontId="58" fillId="10" borderId="91" applyNumberFormat="0" applyAlignment="0" applyProtection="0"/>
    <xf numFmtId="0" fontId="58" fillId="10" borderId="91" applyNumberFormat="0" applyAlignment="0" applyProtection="0"/>
    <xf numFmtId="0" fontId="58" fillId="10" borderId="91" applyNumberFormat="0" applyAlignment="0" applyProtection="0"/>
    <xf numFmtId="0" fontId="59" fillId="0" borderId="96" applyNumberFormat="0" applyFill="0" applyAlignment="0" applyProtection="0"/>
    <xf numFmtId="0" fontId="60" fillId="25" borderId="0" applyNumberFormat="0" applyBorder="0" applyAlignment="0" applyProtection="0"/>
    <xf numFmtId="165" fontId="61" fillId="0" borderId="0" applyFill="0" applyBorder="0" applyAlignment="0" applyProtection="0"/>
    <xf numFmtId="0" fontId="35" fillId="0" borderId="0"/>
    <xf numFmtId="0" fontId="36" fillId="0" borderId="0"/>
    <xf numFmtId="0" fontId="36" fillId="0" borderId="0"/>
    <xf numFmtId="0" fontId="35" fillId="0" borderId="0"/>
    <xf numFmtId="0" fontId="35" fillId="0" borderId="0"/>
    <xf numFmtId="0" fontId="62" fillId="0" borderId="0"/>
    <xf numFmtId="0" fontId="36" fillId="0" borderId="0"/>
    <xf numFmtId="0" fontId="10" fillId="0" borderId="0"/>
    <xf numFmtId="0" fontId="63" fillId="0" borderId="0"/>
    <xf numFmtId="0" fontId="35" fillId="0" borderId="0"/>
    <xf numFmtId="0" fontId="10" fillId="0" borderId="0"/>
    <xf numFmtId="0" fontId="10" fillId="0" borderId="0"/>
    <xf numFmtId="0" fontId="10" fillId="0" borderId="0"/>
    <xf numFmtId="0" fontId="10" fillId="0" borderId="0"/>
    <xf numFmtId="0" fontId="35" fillId="0" borderId="0"/>
    <xf numFmtId="0" fontId="10" fillId="0" borderId="0"/>
    <xf numFmtId="0" fontId="10" fillId="0" borderId="0"/>
    <xf numFmtId="0" fontId="36" fillId="0" borderId="0"/>
    <xf numFmtId="0" fontId="35" fillId="26" borderId="97" applyNumberFormat="0" applyFont="0" applyAlignment="0" applyProtection="0"/>
    <xf numFmtId="0" fontId="35" fillId="26" borderId="97" applyNumberFormat="0" applyFont="0" applyAlignment="0" applyProtection="0"/>
    <xf numFmtId="0" fontId="35" fillId="26" borderId="97" applyNumberFormat="0" applyFont="0" applyAlignment="0" applyProtection="0"/>
    <xf numFmtId="0" fontId="64" fillId="23" borderId="98" applyNumberFormat="0" applyAlignment="0" applyProtection="0"/>
    <xf numFmtId="0" fontId="64" fillId="23" borderId="98" applyNumberFormat="0" applyAlignment="0" applyProtection="0"/>
    <xf numFmtId="0" fontId="64" fillId="23" borderId="98"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9" fontId="35" fillId="0" borderId="0" applyFont="0" applyFill="0" applyBorder="0" applyAlignment="0" applyProtection="0"/>
    <xf numFmtId="49" fontId="35" fillId="0" borderId="0" applyFont="0" applyFill="0" applyBorder="0" applyAlignment="0" applyProtection="0"/>
    <xf numFmtId="0" fontId="65" fillId="0" borderId="0" applyNumberFormat="0" applyFill="0" applyBorder="0" applyAlignment="0" applyProtection="0"/>
    <xf numFmtId="0" fontId="66" fillId="0" borderId="99" applyNumberFormat="0" applyFill="0" applyAlignment="0" applyProtection="0"/>
    <xf numFmtId="0" fontId="66" fillId="0" borderId="99" applyNumberFormat="0" applyFill="0" applyAlignment="0" applyProtection="0"/>
    <xf numFmtId="0" fontId="66" fillId="0" borderId="99" applyNumberFormat="0" applyFill="0" applyAlignment="0" applyProtection="0"/>
    <xf numFmtId="0" fontId="67" fillId="0" borderId="0" applyNumberFormat="0" applyFill="0" applyBorder="0" applyAlignment="0" applyProtection="0"/>
    <xf numFmtId="0" fontId="49" fillId="23" borderId="91" applyNumberFormat="0" applyAlignment="0" applyProtection="0"/>
    <xf numFmtId="0" fontId="49" fillId="23" borderId="91" applyNumberFormat="0" applyAlignment="0" applyProtection="0"/>
    <xf numFmtId="0" fontId="49" fillId="23" borderId="91" applyNumberFormat="0" applyAlignment="0" applyProtection="0"/>
    <xf numFmtId="0" fontId="49" fillId="23" borderId="91" applyNumberFormat="0" applyAlignment="0" applyProtection="0"/>
    <xf numFmtId="0" fontId="49" fillId="23" borderId="91" applyNumberFormat="0" applyAlignment="0" applyProtection="0"/>
    <xf numFmtId="0" fontId="49" fillId="23" borderId="91" applyNumberFormat="0" applyAlignment="0" applyProtection="0"/>
    <xf numFmtId="0" fontId="49" fillId="23" borderId="91" applyNumberFormat="0" applyAlignment="0" applyProtection="0"/>
    <xf numFmtId="0" fontId="49" fillId="23" borderId="91" applyNumberFormat="0" applyAlignment="0" applyProtection="0"/>
    <xf numFmtId="0" fontId="49" fillId="23" borderId="91" applyNumberFormat="0" applyAlignment="0" applyProtection="0"/>
    <xf numFmtId="0" fontId="58" fillId="10" borderId="91" applyNumberFormat="0" applyAlignment="0" applyProtection="0"/>
    <xf numFmtId="0" fontId="58" fillId="10" borderId="91" applyNumberFormat="0" applyAlignment="0" applyProtection="0"/>
    <xf numFmtId="0" fontId="58" fillId="10" borderId="91" applyNumberFormat="0" applyAlignment="0" applyProtection="0"/>
    <xf numFmtId="0" fontId="58" fillId="10" borderId="91" applyNumberFormat="0" applyAlignment="0" applyProtection="0"/>
    <xf numFmtId="0" fontId="58" fillId="10" borderId="91" applyNumberFormat="0" applyAlignment="0" applyProtection="0"/>
    <xf numFmtId="0" fontId="58" fillId="10" borderId="91" applyNumberFormat="0" applyAlignment="0" applyProtection="0"/>
    <xf numFmtId="0" fontId="58" fillId="10" borderId="91" applyNumberFormat="0" applyAlignment="0" applyProtection="0"/>
    <xf numFmtId="0" fontId="58" fillId="10" borderId="91" applyNumberFormat="0" applyAlignment="0" applyProtection="0"/>
    <xf numFmtId="0" fontId="58" fillId="10" borderId="91" applyNumberFormat="0" applyAlignment="0" applyProtection="0"/>
    <xf numFmtId="0" fontId="36" fillId="0" borderId="0"/>
    <xf numFmtId="0" fontId="35" fillId="26" borderId="97" applyNumberFormat="0" applyFont="0" applyAlignment="0" applyProtection="0"/>
    <xf numFmtId="0" fontId="35" fillId="26" borderId="97" applyNumberFormat="0" applyFont="0" applyAlignment="0" applyProtection="0"/>
    <xf numFmtId="0" fontId="35" fillId="26" borderId="97" applyNumberFormat="0" applyFont="0" applyAlignment="0" applyProtection="0"/>
    <xf numFmtId="0" fontId="35" fillId="26" borderId="97" applyNumberFormat="0" applyFont="0" applyAlignment="0" applyProtection="0"/>
    <xf numFmtId="0" fontId="35" fillId="26" borderId="97" applyNumberFormat="0" applyFont="0" applyAlignment="0" applyProtection="0"/>
    <xf numFmtId="0" fontId="35" fillId="26" borderId="97" applyNumberFormat="0" applyFont="0" applyAlignment="0" applyProtection="0"/>
    <xf numFmtId="0" fontId="35" fillId="26" borderId="97" applyNumberFormat="0" applyFont="0" applyAlignment="0" applyProtection="0"/>
    <xf numFmtId="0" fontId="35" fillId="26" borderId="97" applyNumberFormat="0" applyFont="0" applyAlignment="0" applyProtection="0"/>
    <xf numFmtId="0" fontId="35" fillId="26" borderId="97" applyNumberFormat="0" applyFont="0" applyAlignment="0" applyProtection="0"/>
    <xf numFmtId="0" fontId="64" fillId="23" borderId="98" applyNumberFormat="0" applyAlignment="0" applyProtection="0"/>
    <xf numFmtId="0" fontId="64" fillId="23" borderId="98" applyNumberFormat="0" applyAlignment="0" applyProtection="0"/>
    <xf numFmtId="0" fontId="64" fillId="23" borderId="98" applyNumberFormat="0" applyAlignment="0" applyProtection="0"/>
    <xf numFmtId="0" fontId="64" fillId="23" borderId="98" applyNumberFormat="0" applyAlignment="0" applyProtection="0"/>
    <xf numFmtId="0" fontId="64" fillId="23" borderId="98" applyNumberFormat="0" applyAlignment="0" applyProtection="0"/>
    <xf numFmtId="0" fontId="64" fillId="23" borderId="98" applyNumberFormat="0" applyAlignment="0" applyProtection="0"/>
    <xf numFmtId="0" fontId="64" fillId="23" borderId="98" applyNumberFormat="0" applyAlignment="0" applyProtection="0"/>
    <xf numFmtId="0" fontId="66" fillId="0" borderId="99" applyNumberFormat="0" applyFill="0" applyAlignment="0" applyProtection="0"/>
    <xf numFmtId="0" fontId="66" fillId="0" borderId="99" applyNumberFormat="0" applyFill="0" applyAlignment="0" applyProtection="0"/>
    <xf numFmtId="0" fontId="66" fillId="0" borderId="99" applyNumberFormat="0" applyFill="0" applyAlignment="0" applyProtection="0"/>
    <xf numFmtId="0" fontId="66" fillId="0" borderId="99" applyNumberFormat="0" applyFill="0" applyAlignment="0" applyProtection="0"/>
    <xf numFmtId="0" fontId="66" fillId="0" borderId="99" applyNumberFormat="0" applyFill="0" applyAlignment="0" applyProtection="0"/>
    <xf numFmtId="0" fontId="66" fillId="0" borderId="99" applyNumberFormat="0" applyFill="0" applyAlignment="0" applyProtection="0"/>
    <xf numFmtId="0" fontId="66" fillId="0" borderId="99" applyNumberFormat="0" applyFill="0" applyAlignment="0" applyProtection="0"/>
    <xf numFmtId="0" fontId="66" fillId="0" borderId="99" applyNumberFormat="0" applyFill="0" applyAlignment="0" applyProtection="0"/>
    <xf numFmtId="0" fontId="66" fillId="0" borderId="99" applyNumberFormat="0" applyFill="0" applyAlignment="0" applyProtection="0"/>
    <xf numFmtId="0" fontId="68" fillId="0" borderId="0" applyNumberFormat="0" applyAlignment="0"/>
    <xf numFmtId="0" fontId="68" fillId="0" borderId="0" applyNumberFormat="0" applyAlignment="0"/>
    <xf numFmtId="167" fontId="69" fillId="0" borderId="0"/>
    <xf numFmtId="167" fontId="69" fillId="0" borderId="0"/>
    <xf numFmtId="167" fontId="69" fillId="0" borderId="0"/>
    <xf numFmtId="167" fontId="69" fillId="0" borderId="0"/>
    <xf numFmtId="167" fontId="69" fillId="0" borderId="0"/>
    <xf numFmtId="167" fontId="69" fillId="0" borderId="0"/>
    <xf numFmtId="167" fontId="69" fillId="0" borderId="0"/>
    <xf numFmtId="167" fontId="69"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3" fontId="35" fillId="0" borderId="0" applyFont="0" applyFill="0" applyBorder="0" applyAlignment="0" applyProtection="0"/>
    <xf numFmtId="3" fontId="35"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0" fontId="70" fillId="0" borderId="0" applyFont="0" applyFill="0" applyBorder="0" applyAlignment="0" applyProtection="0"/>
    <xf numFmtId="0" fontId="70" fillId="0" borderId="0" applyFont="0" applyFill="0" applyBorder="0" applyAlignment="0" applyProtection="0"/>
    <xf numFmtId="2" fontId="70" fillId="0" borderId="0" applyFont="0" applyFill="0" applyBorder="0" applyAlignment="0" applyProtection="0"/>
    <xf numFmtId="2" fontId="70" fillId="0" borderId="0" applyFont="0" applyFill="0" applyBorder="0" applyAlignment="0" applyProtection="0"/>
    <xf numFmtId="38" fontId="68" fillId="27" borderId="0" applyNumberFormat="0" applyBorder="0" applyAlignment="0" applyProtection="0"/>
    <xf numFmtId="38" fontId="68" fillId="27" borderId="0" applyNumberFormat="0" applyBorder="0" applyAlignment="0" applyProtection="0"/>
    <xf numFmtId="0" fontId="38" fillId="0" borderId="110" applyNumberFormat="0" applyAlignment="0" applyProtection="0">
      <alignment horizontal="left" vertical="center"/>
    </xf>
    <xf numFmtId="0" fontId="38" fillId="0" borderId="68">
      <alignment horizontal="left" vertical="center"/>
    </xf>
    <xf numFmtId="0" fontId="71" fillId="0" borderId="0" applyNumberFormat="0" applyFont="0" applyFill="0" applyAlignment="0" applyProtection="0"/>
    <xf numFmtId="0" fontId="38" fillId="0" borderId="0" applyNumberFormat="0" applyFont="0" applyFill="0" applyAlignment="0" applyProtection="0"/>
    <xf numFmtId="0" fontId="38" fillId="0" borderId="0" applyNumberFormat="0" applyFont="0" applyFill="0" applyAlignment="0" applyProtection="0"/>
    <xf numFmtId="0" fontId="38" fillId="0" borderId="0" applyNumberFormat="0" applyFont="0" applyFill="0" applyAlignment="0" applyProtection="0"/>
    <xf numFmtId="10" fontId="68" fillId="28" borderId="1" applyNumberFormat="0" applyBorder="0" applyAlignment="0" applyProtection="0"/>
    <xf numFmtId="10" fontId="68" fillId="28" borderId="1" applyNumberFormat="0" applyBorder="0" applyAlignment="0" applyProtection="0"/>
    <xf numFmtId="0" fontId="58" fillId="10" borderId="91" applyNumberFormat="0" applyAlignment="0" applyProtection="0"/>
    <xf numFmtId="0" fontId="58" fillId="10" borderId="91" applyNumberFormat="0" applyAlignment="0" applyProtection="0"/>
    <xf numFmtId="0" fontId="58" fillId="10" borderId="91" applyNumberFormat="0" applyAlignment="0" applyProtection="0"/>
    <xf numFmtId="0" fontId="58" fillId="10" borderId="91" applyNumberFormat="0" applyAlignment="0" applyProtection="0"/>
    <xf numFmtId="0" fontId="58" fillId="10" borderId="91" applyNumberFormat="0" applyAlignment="0" applyProtection="0"/>
    <xf numFmtId="0" fontId="58" fillId="10" borderId="91" applyNumberFormat="0" applyAlignment="0" applyProtection="0"/>
    <xf numFmtId="0" fontId="58" fillId="10" borderId="91" applyNumberFormat="0" applyAlignment="0" applyProtection="0"/>
    <xf numFmtId="0" fontId="58" fillId="10" borderId="91" applyNumberFormat="0" applyAlignment="0" applyProtection="0"/>
    <xf numFmtId="0" fontId="58" fillId="10" borderId="91" applyNumberFormat="0" applyAlignment="0" applyProtection="0"/>
    <xf numFmtId="0" fontId="58" fillId="10" borderId="91" applyNumberFormat="0" applyAlignment="0" applyProtection="0"/>
    <xf numFmtId="0" fontId="58" fillId="10" borderId="91" applyNumberFormat="0" applyAlignment="0" applyProtection="0"/>
    <xf numFmtId="0" fontId="58" fillId="10" borderId="91" applyNumberFormat="0" applyAlignment="0" applyProtection="0"/>
    <xf numFmtId="0" fontId="58" fillId="10" borderId="91" applyNumberFormat="0" applyAlignment="0" applyProtection="0"/>
    <xf numFmtId="0" fontId="58" fillId="10" borderId="91" applyNumberFormat="0" applyAlignment="0" applyProtection="0"/>
    <xf numFmtId="168" fontId="35" fillId="0" borderId="0"/>
    <xf numFmtId="168" fontId="35" fillId="0" borderId="0"/>
    <xf numFmtId="0" fontId="35" fillId="0" borderId="0"/>
    <xf numFmtId="0" fontId="72" fillId="0" borderId="0"/>
    <xf numFmtId="0" fontId="10" fillId="0" borderId="0"/>
    <xf numFmtId="0" fontId="35" fillId="0" borderId="0"/>
    <xf numFmtId="10" fontId="35" fillId="0" borderId="0" applyFont="0" applyFill="0" applyBorder="0" applyAlignment="0" applyProtection="0"/>
    <xf numFmtId="10" fontId="35" fillId="0" borderId="0" applyFont="0" applyFill="0" applyBorder="0" applyAlignment="0" applyProtection="0"/>
    <xf numFmtId="0" fontId="73" fillId="0" borderId="0" applyNumberFormat="0" applyFont="0" applyFill="0" applyBorder="0" applyAlignment="0" applyProtection="0">
      <alignment horizontal="left"/>
    </xf>
    <xf numFmtId="0" fontId="70" fillId="0" borderId="111" applyNumberFormat="0" applyFont="0" applyBorder="0" applyAlignment="0" applyProtection="0"/>
  </cellStyleXfs>
  <cellXfs count="426">
    <xf numFmtId="0" fontId="0" fillId="0" borderId="0" xfId="0"/>
    <xf numFmtId="3" fontId="14" fillId="0" borderId="6" xfId="0" applyNumberFormat="1" applyFont="1" applyBorder="1" applyAlignment="1">
      <alignment horizontal="center" vertical="top" wrapText="1"/>
    </xf>
    <xf numFmtId="3" fontId="14" fillId="0" borderId="7" xfId="0" applyNumberFormat="1" applyFont="1" applyBorder="1" applyAlignment="1">
      <alignment horizontal="center" vertical="top" wrapText="1"/>
    </xf>
    <xf numFmtId="164" fontId="14" fillId="0" borderId="8" xfId="1" applyNumberFormat="1" applyFont="1" applyBorder="1" applyAlignment="1">
      <alignment horizontal="center" vertical="top" wrapText="1"/>
    </xf>
    <xf numFmtId="0" fontId="15" fillId="0" borderId="0" xfId="0" applyFont="1"/>
    <xf numFmtId="0" fontId="14" fillId="0" borderId="0" xfId="0" applyFont="1"/>
    <xf numFmtId="0" fontId="12" fillId="0" borderId="0" xfId="0" applyFont="1" applyAlignment="1"/>
    <xf numFmtId="0" fontId="13" fillId="0" borderId="0" xfId="0" applyFont="1" applyAlignment="1"/>
    <xf numFmtId="0" fontId="11" fillId="0" borderId="0" xfId="0" applyFont="1" applyAlignment="1"/>
    <xf numFmtId="0" fontId="9" fillId="0" borderId="0" xfId="0" applyFont="1"/>
    <xf numFmtId="0" fontId="9" fillId="0" borderId="0" xfId="0" applyFont="1" applyAlignment="1"/>
    <xf numFmtId="0" fontId="9" fillId="0" borderId="1" xfId="0" applyFont="1" applyBorder="1" applyAlignment="1">
      <alignment horizontal="center" vertical="top" wrapText="1"/>
    </xf>
    <xf numFmtId="0" fontId="9" fillId="0" borderId="14" xfId="0" applyFont="1" applyBorder="1" applyAlignment="1">
      <alignment horizontal="center" vertical="top" wrapText="1"/>
    </xf>
    <xf numFmtId="0" fontId="14" fillId="0" borderId="16" xfId="0" applyFont="1" applyBorder="1" applyAlignment="1">
      <alignment horizontal="right"/>
    </xf>
    <xf numFmtId="0" fontId="9" fillId="0" borderId="18" xfId="0" applyFont="1" applyBorder="1"/>
    <xf numFmtId="0" fontId="9" fillId="0" borderId="19" xfId="0" applyFont="1" applyBorder="1"/>
    <xf numFmtId="0" fontId="17" fillId="0" borderId="0" xfId="0" applyFont="1" applyAlignment="1"/>
    <xf numFmtId="0" fontId="8" fillId="0" borderId="1" xfId="0" applyFont="1" applyBorder="1" applyAlignment="1">
      <alignment horizontal="center" vertical="top" wrapText="1"/>
    </xf>
    <xf numFmtId="0" fontId="14" fillId="0" borderId="0" xfId="0" applyFont="1" applyAlignment="1"/>
    <xf numFmtId="0" fontId="8" fillId="0" borderId="0" xfId="0" applyFont="1"/>
    <xf numFmtId="0" fontId="14" fillId="0" borderId="6" xfId="0" applyFont="1" applyBorder="1" applyAlignment="1">
      <alignment horizontal="right"/>
    </xf>
    <xf numFmtId="0" fontId="14" fillId="0" borderId="32" xfId="0" applyFont="1" applyBorder="1" applyAlignment="1">
      <alignment horizontal="right"/>
    </xf>
    <xf numFmtId="0" fontId="8" fillId="0" borderId="14" xfId="0" applyFont="1" applyBorder="1" applyAlignment="1">
      <alignment horizontal="center" vertical="top" wrapText="1"/>
    </xf>
    <xf numFmtId="3" fontId="9" fillId="0" borderId="21" xfId="0" applyNumberFormat="1" applyFont="1" applyBorder="1"/>
    <xf numFmtId="3" fontId="9" fillId="0" borderId="21" xfId="1" applyNumberFormat="1" applyFont="1" applyBorder="1"/>
    <xf numFmtId="3" fontId="8" fillId="0" borderId="21" xfId="0" applyNumberFormat="1" applyFont="1" applyBorder="1"/>
    <xf numFmtId="3" fontId="8" fillId="0" borderId="22" xfId="0" applyNumberFormat="1" applyFont="1" applyBorder="1"/>
    <xf numFmtId="3" fontId="14" fillId="0" borderId="39" xfId="0" applyNumberFormat="1" applyFont="1" applyBorder="1"/>
    <xf numFmtId="3" fontId="14" fillId="0" borderId="40" xfId="0" applyNumberFormat="1" applyFont="1" applyBorder="1"/>
    <xf numFmtId="0" fontId="14" fillId="0" borderId="38" xfId="0" applyFont="1" applyBorder="1" applyAlignment="1">
      <alignment horizontal="right"/>
    </xf>
    <xf numFmtId="0" fontId="14" fillId="0" borderId="44" xfId="0" applyFont="1" applyBorder="1" applyAlignment="1">
      <alignment vertical="top"/>
    </xf>
    <xf numFmtId="0" fontId="9" fillId="0" borderId="45" xfId="0" applyFont="1" applyBorder="1" applyAlignment="1">
      <alignment vertical="top"/>
    </xf>
    <xf numFmtId="0" fontId="9" fillId="0" borderId="46" xfId="0" applyFont="1" applyBorder="1"/>
    <xf numFmtId="0" fontId="9" fillId="0" borderId="47" xfId="0" applyFont="1" applyBorder="1"/>
    <xf numFmtId="0" fontId="14" fillId="0" borderId="32" xfId="0" applyFont="1" applyBorder="1" applyAlignment="1">
      <alignment horizontal="center"/>
    </xf>
    <xf numFmtId="3" fontId="14" fillId="0" borderId="7" xfId="0" applyNumberFormat="1" applyFont="1" applyBorder="1"/>
    <xf numFmtId="0" fontId="11" fillId="0" borderId="0" xfId="0" applyFont="1" applyBorder="1" applyAlignment="1"/>
    <xf numFmtId="0" fontId="14" fillId="0" borderId="30" xfId="0" applyFont="1" applyBorder="1" applyAlignment="1">
      <alignment vertical="top" wrapText="1"/>
    </xf>
    <xf numFmtId="0" fontId="14" fillId="0" borderId="38" xfId="0" applyFont="1" applyBorder="1" applyAlignment="1">
      <alignment horizontal="right" vertical="top"/>
    </xf>
    <xf numFmtId="0" fontId="19" fillId="0" borderId="35" xfId="0" applyFont="1" applyBorder="1" applyAlignment="1">
      <alignment vertical="center" wrapText="1"/>
    </xf>
    <xf numFmtId="0" fontId="22" fillId="0" borderId="0" xfId="0" applyFont="1" applyAlignment="1"/>
    <xf numFmtId="0" fontId="20" fillId="0" borderId="0" xfId="0" applyFont="1"/>
    <xf numFmtId="0" fontId="20" fillId="0" borderId="45" xfId="0" applyFont="1" applyBorder="1" applyAlignment="1">
      <alignment vertical="top"/>
    </xf>
    <xf numFmtId="0" fontId="20" fillId="0" borderId="46" xfId="0" applyFont="1" applyBorder="1"/>
    <xf numFmtId="0" fontId="22" fillId="0" borderId="0" xfId="0" applyFont="1"/>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3" fontId="20" fillId="0" borderId="21" xfId="0" applyNumberFormat="1" applyFont="1" applyBorder="1"/>
    <xf numFmtId="3" fontId="19" fillId="0" borderId="39" xfId="0" applyNumberFormat="1" applyFont="1" applyBorder="1"/>
    <xf numFmtId="3" fontId="20" fillId="0" borderId="18" xfId="0" applyNumberFormat="1" applyFont="1" applyBorder="1"/>
    <xf numFmtId="0" fontId="20" fillId="0" borderId="44" xfId="0" applyFont="1" applyBorder="1" applyAlignment="1">
      <alignment vertical="top"/>
    </xf>
    <xf numFmtId="3" fontId="19" fillId="0" borderId="21" xfId="0" applyNumberFormat="1" applyFont="1" applyBorder="1"/>
    <xf numFmtId="3" fontId="19" fillId="0" borderId="51" xfId="0" applyNumberFormat="1" applyFont="1" applyBorder="1"/>
    <xf numFmtId="0" fontId="20" fillId="0" borderId="49" xfId="0" applyFont="1" applyBorder="1" applyAlignment="1">
      <alignment vertical="top"/>
    </xf>
    <xf numFmtId="0" fontId="20" fillId="0" borderId="48" xfId="0" applyFont="1" applyBorder="1" applyAlignment="1">
      <alignment vertical="top"/>
    </xf>
    <xf numFmtId="3" fontId="19" fillId="0" borderId="55" xfId="0" applyNumberFormat="1" applyFont="1" applyBorder="1"/>
    <xf numFmtId="0" fontId="19" fillId="0" borderId="3" xfId="0" applyFont="1" applyBorder="1" applyAlignment="1">
      <alignment horizontal="center" vertical="center" wrapText="1"/>
    </xf>
    <xf numFmtId="3" fontId="20" fillId="0" borderId="22" xfId="0" applyNumberFormat="1" applyFont="1" applyBorder="1"/>
    <xf numFmtId="3" fontId="19" fillId="0" borderId="40" xfId="0" applyNumberFormat="1" applyFont="1" applyBorder="1"/>
    <xf numFmtId="3" fontId="20" fillId="0" borderId="19" xfId="0" applyNumberFormat="1" applyFont="1" applyBorder="1"/>
    <xf numFmtId="3" fontId="19" fillId="0" borderId="56" xfId="0" applyNumberFormat="1" applyFont="1" applyBorder="1"/>
    <xf numFmtId="3" fontId="19" fillId="0" borderId="57" xfId="0" applyNumberFormat="1" applyFont="1" applyBorder="1"/>
    <xf numFmtId="0" fontId="11" fillId="0" borderId="0" xfId="0" applyFont="1"/>
    <xf numFmtId="0" fontId="24" fillId="0" borderId="0" xfId="0" applyFont="1"/>
    <xf numFmtId="0" fontId="15" fillId="0" borderId="0" xfId="0" applyFont="1" applyAlignment="1"/>
    <xf numFmtId="0" fontId="14" fillId="0" borderId="0" xfId="0" applyFont="1" applyAlignment="1">
      <alignment wrapText="1"/>
    </xf>
    <xf numFmtId="0" fontId="7" fillId="0" borderId="1" xfId="0" applyFont="1" applyBorder="1" applyAlignment="1">
      <alignment horizontal="center" vertical="top" wrapText="1"/>
    </xf>
    <xf numFmtId="0" fontId="14" fillId="0" borderId="9" xfId="0" applyFont="1" applyBorder="1" applyAlignment="1">
      <alignment horizontal="center"/>
    </xf>
    <xf numFmtId="0" fontId="7" fillId="0" borderId="17" xfId="0" applyFont="1" applyBorder="1" applyAlignment="1">
      <alignment horizontal="left" indent="2"/>
    </xf>
    <xf numFmtId="0" fontId="7" fillId="0" borderId="20" xfId="0" applyFont="1" applyBorder="1" applyAlignment="1">
      <alignment horizontal="left" indent="2"/>
    </xf>
    <xf numFmtId="0" fontId="14" fillId="0" borderId="20" xfId="0" applyFont="1" applyBorder="1" applyAlignment="1">
      <alignment horizontal="center"/>
    </xf>
    <xf numFmtId="0" fontId="14" fillId="0" borderId="63" xfId="0" applyFont="1" applyBorder="1" applyAlignment="1">
      <alignment horizontal="center"/>
    </xf>
    <xf numFmtId="0" fontId="7" fillId="0" borderId="63" xfId="0" applyFont="1" applyBorder="1" applyAlignment="1">
      <alignment horizontal="left" wrapText="1" indent="2"/>
    </xf>
    <xf numFmtId="0" fontId="7" fillId="0" borderId="66" xfId="0" applyFont="1" applyBorder="1"/>
    <xf numFmtId="0" fontId="11" fillId="0" borderId="0" xfId="0" applyFont="1" applyAlignment="1">
      <alignment wrapText="1"/>
    </xf>
    <xf numFmtId="0" fontId="14" fillId="0" borderId="0" xfId="0" applyFont="1" applyBorder="1"/>
    <xf numFmtId="0" fontId="14" fillId="0" borderId="1" xfId="0" applyFont="1" applyBorder="1" applyAlignment="1">
      <alignment horizontal="right" indent="1"/>
    </xf>
    <xf numFmtId="0" fontId="14" fillId="0" borderId="72" xfId="0" applyFont="1" applyBorder="1"/>
    <xf numFmtId="3" fontId="14" fillId="0" borderId="20" xfId="0" applyNumberFormat="1" applyFont="1" applyBorder="1"/>
    <xf numFmtId="3" fontId="14" fillId="0" borderId="21" xfId="0" applyNumberFormat="1" applyFont="1" applyBorder="1"/>
    <xf numFmtId="0" fontId="14" fillId="0" borderId="73" xfId="0" applyFont="1" applyBorder="1" applyAlignment="1">
      <alignment horizontal="left" indent="1"/>
    </xf>
    <xf numFmtId="3" fontId="14" fillId="0" borderId="22" xfId="0" applyNumberFormat="1" applyFont="1" applyBorder="1"/>
    <xf numFmtId="0" fontId="14" fillId="0" borderId="73" xfId="0" applyFont="1" applyBorder="1"/>
    <xf numFmtId="0" fontId="14" fillId="0" borderId="73" xfId="0" applyFont="1" applyBorder="1" applyAlignment="1">
      <alignment horizontal="left" indent="3"/>
    </xf>
    <xf numFmtId="0" fontId="14" fillId="0" borderId="71" xfId="0" applyFont="1" applyBorder="1" applyAlignment="1">
      <alignment horizontal="left"/>
    </xf>
    <xf numFmtId="3" fontId="14" fillId="0" borderId="45" xfId="0" applyNumberFormat="1" applyFont="1" applyBorder="1"/>
    <xf numFmtId="3" fontId="14" fillId="0" borderId="74" xfId="0" applyNumberFormat="1" applyFont="1" applyBorder="1"/>
    <xf numFmtId="0" fontId="14" fillId="0" borderId="73" xfId="0" applyFont="1" applyBorder="1" applyAlignment="1">
      <alignment horizontal="left"/>
    </xf>
    <xf numFmtId="0" fontId="14" fillId="0" borderId="72" xfId="0" applyFont="1" applyBorder="1" applyAlignment="1">
      <alignment horizontal="left" indent="1"/>
    </xf>
    <xf numFmtId="0" fontId="14" fillId="0" borderId="76" xfId="0" applyFont="1" applyBorder="1"/>
    <xf numFmtId="3" fontId="14" fillId="0" borderId="77" xfId="0" applyNumberFormat="1" applyFont="1" applyBorder="1"/>
    <xf numFmtId="3" fontId="14" fillId="0" borderId="65" xfId="0" applyNumberFormat="1" applyFont="1" applyBorder="1"/>
    <xf numFmtId="3" fontId="14" fillId="0" borderId="78" xfId="0" applyNumberFormat="1" applyFont="1" applyBorder="1"/>
    <xf numFmtId="3" fontId="14" fillId="0" borderId="33" xfId="0" applyNumberFormat="1" applyFont="1" applyBorder="1"/>
    <xf numFmtId="3" fontId="14" fillId="0" borderId="15" xfId="0" applyNumberFormat="1" applyFont="1" applyBorder="1"/>
    <xf numFmtId="3" fontId="14" fillId="0" borderId="79" xfId="0" applyNumberFormat="1" applyFont="1" applyBorder="1"/>
    <xf numFmtId="0" fontId="14" fillId="0" borderId="26" xfId="0" applyFont="1" applyBorder="1" applyAlignment="1">
      <alignment horizontal="left"/>
    </xf>
    <xf numFmtId="0" fontId="6" fillId="0" borderId="1" xfId="0" applyFont="1" applyBorder="1" applyAlignment="1">
      <alignment horizontal="center" vertical="top" wrapText="1"/>
    </xf>
    <xf numFmtId="0" fontId="6" fillId="0" borderId="20" xfId="0" applyFont="1" applyBorder="1" applyAlignment="1">
      <alignment horizontal="left" indent="2"/>
    </xf>
    <xf numFmtId="0" fontId="27" fillId="0" borderId="0" xfId="0" applyFont="1" applyBorder="1" applyAlignment="1">
      <alignment horizontal="left" vertical="top"/>
    </xf>
    <xf numFmtId="0" fontId="27" fillId="0" borderId="0" xfId="0" applyFont="1"/>
    <xf numFmtId="0" fontId="28" fillId="0" borderId="0" xfId="0" applyFont="1"/>
    <xf numFmtId="0" fontId="5" fillId="0" borderId="0" xfId="0" applyFont="1"/>
    <xf numFmtId="0" fontId="4" fillId="0" borderId="20" xfId="0" applyFont="1" applyBorder="1" applyAlignment="1">
      <alignment horizontal="left" indent="2"/>
    </xf>
    <xf numFmtId="3" fontId="14" fillId="0" borderId="49" xfId="0" applyNumberFormat="1" applyFont="1" applyBorder="1"/>
    <xf numFmtId="3" fontId="14" fillId="0" borderId="82" xfId="0" applyNumberFormat="1" applyFont="1" applyBorder="1"/>
    <xf numFmtId="3" fontId="14" fillId="0" borderId="46" xfId="0" applyNumberFormat="1" applyFont="1" applyBorder="1"/>
    <xf numFmtId="3" fontId="14" fillId="0" borderId="67" xfId="0" applyNumberFormat="1" applyFont="1" applyBorder="1"/>
    <xf numFmtId="3" fontId="14" fillId="0" borderId="37" xfId="0" applyNumberFormat="1" applyFont="1" applyBorder="1"/>
    <xf numFmtId="3" fontId="14" fillId="0" borderId="83" xfId="0" applyNumberFormat="1" applyFont="1" applyBorder="1"/>
    <xf numFmtId="3" fontId="34" fillId="0" borderId="22" xfId="0" applyNumberFormat="1" applyFont="1" applyBorder="1"/>
    <xf numFmtId="3" fontId="9" fillId="0" borderId="18" xfId="0" applyNumberFormat="1" applyFont="1" applyBorder="1"/>
    <xf numFmtId="3" fontId="9" fillId="0" borderId="19" xfId="0" applyNumberFormat="1" applyFont="1" applyBorder="1"/>
    <xf numFmtId="3" fontId="9" fillId="0" borderId="22" xfId="0" applyNumberFormat="1" applyFont="1" applyBorder="1"/>
    <xf numFmtId="3" fontId="14" fillId="0" borderId="1" xfId="0" applyNumberFormat="1" applyFont="1" applyBorder="1"/>
    <xf numFmtId="3" fontId="14" fillId="0" borderId="14" xfId="0" applyNumberFormat="1" applyFont="1" applyBorder="1"/>
    <xf numFmtId="3" fontId="14" fillId="0" borderId="18" xfId="0" applyNumberFormat="1" applyFont="1" applyBorder="1"/>
    <xf numFmtId="3" fontId="9" fillId="0" borderId="24" xfId="0" applyNumberFormat="1" applyFont="1" applyBorder="1"/>
    <xf numFmtId="3" fontId="9" fillId="0" borderId="39" xfId="0" applyNumberFormat="1" applyFont="1" applyBorder="1"/>
    <xf numFmtId="3" fontId="9" fillId="0" borderId="40" xfId="0" applyNumberFormat="1" applyFont="1" applyBorder="1"/>
    <xf numFmtId="3" fontId="14" fillId="0" borderId="8" xfId="0" applyNumberFormat="1" applyFont="1" applyBorder="1"/>
    <xf numFmtId="3" fontId="14" fillId="0" borderId="55" xfId="0" applyNumberFormat="1" applyFont="1" applyBorder="1"/>
    <xf numFmtId="3" fontId="14" fillId="0" borderId="57" xfId="0" applyNumberFormat="1" applyFont="1" applyBorder="1"/>
    <xf numFmtId="3" fontId="9" fillId="0" borderId="65" xfId="0" applyNumberFormat="1" applyFont="1" applyBorder="1"/>
    <xf numFmtId="3" fontId="9" fillId="0" borderId="64" xfId="0" applyNumberFormat="1" applyFont="1" applyBorder="1"/>
    <xf numFmtId="3" fontId="9" fillId="0" borderId="55" xfId="0" applyNumberFormat="1" applyFont="1" applyBorder="1"/>
    <xf numFmtId="3" fontId="9" fillId="0" borderId="57" xfId="0" applyNumberFormat="1" applyFont="1" applyBorder="1"/>
    <xf numFmtId="3" fontId="14" fillId="0" borderId="52" xfId="0" applyNumberFormat="1" applyFont="1" applyBorder="1"/>
    <xf numFmtId="3" fontId="14" fillId="0" borderId="24" xfId="0" applyNumberFormat="1" applyFont="1" applyBorder="1"/>
    <xf numFmtId="0" fontId="3" fillId="0" borderId="20" xfId="0" applyFont="1" applyBorder="1" applyAlignment="1">
      <alignment horizontal="left" indent="2"/>
    </xf>
    <xf numFmtId="0" fontId="3" fillId="0" borderId="0" xfId="0" applyFont="1" applyAlignment="1">
      <alignment horizontal="left" indent="2"/>
    </xf>
    <xf numFmtId="0" fontId="3" fillId="0" borderId="0" xfId="0" applyFont="1"/>
    <xf numFmtId="0" fontId="20" fillId="0" borderId="33" xfId="0" applyFont="1" applyBorder="1" applyAlignment="1">
      <alignment vertical="top"/>
    </xf>
    <xf numFmtId="3" fontId="20" fillId="0" borderId="51" xfId="0" applyNumberFormat="1" applyFont="1" applyBorder="1"/>
    <xf numFmtId="3" fontId="20" fillId="0" borderId="56" xfId="0" applyNumberFormat="1" applyFont="1" applyBorder="1"/>
    <xf numFmtId="3" fontId="3" fillId="0" borderId="0" xfId="0" applyNumberFormat="1" applyFont="1"/>
    <xf numFmtId="164" fontId="3" fillId="0" borderId="0" xfId="1" applyNumberFormat="1" applyFont="1"/>
    <xf numFmtId="0" fontId="3" fillId="0" borderId="73" xfId="0" applyFont="1" applyBorder="1" applyAlignment="1">
      <alignment horizontal="left" indent="1"/>
    </xf>
    <xf numFmtId="3" fontId="3" fillId="0" borderId="83" xfId="0" applyNumberFormat="1" applyFont="1" applyBorder="1"/>
    <xf numFmtId="3" fontId="3" fillId="0" borderId="22" xfId="0" applyNumberFormat="1" applyFont="1" applyBorder="1"/>
    <xf numFmtId="3" fontId="3" fillId="0" borderId="84" xfId="0" applyNumberFormat="1" applyFont="1" applyBorder="1"/>
    <xf numFmtId="3" fontId="3" fillId="0" borderId="20" xfId="0" applyNumberFormat="1" applyFont="1" applyBorder="1"/>
    <xf numFmtId="3" fontId="3" fillId="0" borderId="21" xfId="0" applyNumberFormat="1" applyFont="1" applyBorder="1"/>
    <xf numFmtId="0" fontId="3" fillId="0" borderId="73" xfId="0" applyFont="1" applyBorder="1" applyAlignment="1">
      <alignment horizontal="left" indent="3"/>
    </xf>
    <xf numFmtId="0" fontId="3" fillId="0" borderId="73" xfId="0" applyFont="1" applyBorder="1" applyAlignment="1">
      <alignment horizontal="left" indent="4"/>
    </xf>
    <xf numFmtId="0" fontId="3" fillId="0" borderId="27" xfId="0" applyFont="1" applyBorder="1" applyAlignment="1">
      <alignment horizontal="left"/>
    </xf>
    <xf numFmtId="3" fontId="3" fillId="0" borderId="75" xfId="0" applyNumberFormat="1" applyFont="1" applyBorder="1"/>
    <xf numFmtId="0" fontId="37" fillId="0" borderId="0" xfId="0" applyFont="1" applyAlignment="1">
      <alignment vertical="center"/>
    </xf>
    <xf numFmtId="0" fontId="2" fillId="0" borderId="0" xfId="0" applyFont="1"/>
    <xf numFmtId="0" fontId="2" fillId="0" borderId="0" xfId="0" applyFont="1" applyAlignment="1">
      <alignment horizontal="left"/>
    </xf>
    <xf numFmtId="0" fontId="1" fillId="0" borderId="0" xfId="0" applyFont="1"/>
    <xf numFmtId="0" fontId="1" fillId="0" borderId="0" xfId="0" applyFont="1" applyAlignment="1"/>
    <xf numFmtId="0" fontId="3" fillId="0" borderId="0" xfId="0" applyFont="1" applyAlignment="1"/>
    <xf numFmtId="0" fontId="3" fillId="0" borderId="72" xfId="0" applyFont="1" applyBorder="1"/>
    <xf numFmtId="3" fontId="14" fillId="0" borderId="88" xfId="0" applyNumberFormat="1" applyFont="1" applyBorder="1"/>
    <xf numFmtId="3" fontId="14" fillId="0" borderId="17" xfId="0" applyNumberFormat="1" applyFont="1" applyBorder="1"/>
    <xf numFmtId="0" fontId="16" fillId="0" borderId="0" xfId="0" applyFont="1" applyBorder="1" applyAlignment="1">
      <alignment horizontal="left" indent="3"/>
    </xf>
    <xf numFmtId="3" fontId="14" fillId="0" borderId="2" xfId="0" applyNumberFormat="1" applyFont="1" applyBorder="1"/>
    <xf numFmtId="3" fontId="14" fillId="0" borderId="89" xfId="0" applyNumberFormat="1" applyFont="1" applyBorder="1"/>
    <xf numFmtId="0" fontId="3" fillId="0" borderId="31" xfId="0" applyFont="1" applyBorder="1" applyAlignment="1">
      <alignment vertical="top" wrapText="1"/>
    </xf>
    <xf numFmtId="0" fontId="9" fillId="0" borderId="52" xfId="0" applyFont="1" applyBorder="1" applyAlignment="1">
      <alignment vertical="top"/>
    </xf>
    <xf numFmtId="0" fontId="3" fillId="0" borderId="87" xfId="0" applyFont="1" applyBorder="1" applyAlignment="1">
      <alignment vertical="top" wrapText="1"/>
    </xf>
    <xf numFmtId="3" fontId="8" fillId="0" borderId="24" xfId="0" applyNumberFormat="1" applyFont="1" applyBorder="1"/>
    <xf numFmtId="3" fontId="8" fillId="0" borderId="25" xfId="0" applyNumberFormat="1" applyFont="1" applyBorder="1"/>
    <xf numFmtId="0" fontId="3" fillId="0" borderId="0" xfId="0" applyFont="1" applyAlignment="1">
      <alignment vertical="center" wrapText="1"/>
    </xf>
    <xf numFmtId="0" fontId="40" fillId="0" borderId="0" xfId="20" applyFont="1"/>
    <xf numFmtId="0" fontId="39" fillId="0" borderId="0" xfId="20"/>
    <xf numFmtId="0" fontId="41" fillId="0" borderId="0" xfId="20" applyFont="1"/>
    <xf numFmtId="0" fontId="38" fillId="0" borderId="0" xfId="20" applyFont="1"/>
    <xf numFmtId="0" fontId="36" fillId="3" borderId="0" xfId="20" applyFont="1" applyFill="1" applyAlignment="1"/>
    <xf numFmtId="0" fontId="36" fillId="3" borderId="0" xfId="20" applyFont="1" applyFill="1" applyBorder="1" applyAlignment="1">
      <alignment vertical="top" wrapText="1"/>
    </xf>
    <xf numFmtId="0" fontId="45" fillId="2" borderId="0" xfId="20" applyFont="1" applyFill="1" applyProtection="1">
      <protection hidden="1"/>
    </xf>
    <xf numFmtId="0" fontId="1" fillId="0" borderId="0" xfId="0" applyFont="1" applyAlignment="1">
      <alignment horizontal="center"/>
    </xf>
    <xf numFmtId="0" fontId="15" fillId="0" borderId="0" xfId="0" applyFont="1"/>
    <xf numFmtId="0" fontId="12" fillId="0" borderId="0" xfId="0" applyFont="1" applyAlignment="1"/>
    <xf numFmtId="0" fontId="13" fillId="0" borderId="0" xfId="0" applyFont="1" applyAlignment="1"/>
    <xf numFmtId="0" fontId="15" fillId="0" borderId="0" xfId="0" applyFont="1" applyAlignment="1"/>
    <xf numFmtId="0" fontId="25" fillId="0" borderId="20" xfId="0" applyFont="1" applyBorder="1" applyAlignment="1">
      <alignment horizontal="left" indent="8"/>
    </xf>
    <xf numFmtId="0" fontId="14" fillId="0" borderId="20" xfId="0" applyFont="1" applyBorder="1"/>
    <xf numFmtId="0" fontId="14" fillId="0" borderId="20" xfId="0" applyFont="1" applyBorder="1" applyAlignment="1">
      <alignment horizontal="center"/>
    </xf>
    <xf numFmtId="0" fontId="14" fillId="0" borderId="63" xfId="0" applyFont="1" applyBorder="1" applyAlignment="1">
      <alignment horizontal="center"/>
    </xf>
    <xf numFmtId="3" fontId="14" fillId="0" borderId="21" xfId="0" applyNumberFormat="1" applyFont="1" applyBorder="1"/>
    <xf numFmtId="3" fontId="14" fillId="0" borderId="22" xfId="0" applyNumberFormat="1" applyFont="1" applyBorder="1"/>
    <xf numFmtId="3" fontId="14" fillId="0" borderId="51" xfId="0" applyNumberFormat="1" applyFont="1" applyBorder="1"/>
    <xf numFmtId="3" fontId="14" fillId="0" borderId="56" xfId="0" applyNumberFormat="1" applyFont="1" applyBorder="1"/>
    <xf numFmtId="3" fontId="3" fillId="0" borderId="18" xfId="0" applyNumberFormat="1" applyFont="1" applyBorder="1"/>
    <xf numFmtId="3" fontId="25" fillId="0" borderId="21" xfId="0" applyNumberFormat="1" applyFont="1" applyBorder="1"/>
    <xf numFmtId="3" fontId="25" fillId="0" borderId="22" xfId="0" applyNumberFormat="1" applyFont="1" applyBorder="1"/>
    <xf numFmtId="3" fontId="14" fillId="0" borderId="55" xfId="0" applyNumberFormat="1" applyFont="1" applyBorder="1"/>
    <xf numFmtId="3" fontId="14" fillId="0" borderId="57" xfId="0" applyNumberFormat="1" applyFont="1" applyBorder="1"/>
    <xf numFmtId="0" fontId="3" fillId="0" borderId="20" xfId="0" applyFont="1" applyBorder="1" applyAlignment="1">
      <alignment horizontal="left" indent="2"/>
    </xf>
    <xf numFmtId="0" fontId="3" fillId="0" borderId="44" xfId="0" applyFont="1" applyBorder="1"/>
    <xf numFmtId="0" fontId="3" fillId="0" borderId="45" xfId="0" applyFont="1" applyBorder="1"/>
    <xf numFmtId="3" fontId="3" fillId="0" borderId="51" xfId="0" applyNumberFormat="1" applyFont="1" applyBorder="1"/>
    <xf numFmtId="0" fontId="3" fillId="0" borderId="51" xfId="0" applyFont="1" applyBorder="1" applyAlignment="1">
      <alignment horizontal="left" indent="1"/>
    </xf>
    <xf numFmtId="0" fontId="3" fillId="0" borderId="1" xfId="0" applyFont="1" applyBorder="1" applyAlignment="1">
      <alignment horizontal="center" vertical="top" wrapText="1"/>
    </xf>
    <xf numFmtId="3" fontId="3" fillId="0" borderId="15" xfId="0" applyNumberFormat="1" applyFont="1" applyBorder="1"/>
    <xf numFmtId="0" fontId="3" fillId="0" borderId="15" xfId="0" applyFont="1" applyBorder="1" applyAlignment="1">
      <alignment horizontal="left" indent="1"/>
    </xf>
    <xf numFmtId="3" fontId="3" fillId="0" borderId="39" xfId="0" applyNumberFormat="1" applyFont="1" applyBorder="1"/>
    <xf numFmtId="0" fontId="3" fillId="0" borderId="0" xfId="0" applyFont="1" applyBorder="1"/>
    <xf numFmtId="0" fontId="1" fillId="0" borderId="0" xfId="0" applyFont="1" applyBorder="1" applyAlignment="1"/>
    <xf numFmtId="0" fontId="3" fillId="0" borderId="14" xfId="0" applyFont="1" applyBorder="1" applyAlignment="1">
      <alignment horizontal="center" vertical="top" wrapText="1"/>
    </xf>
    <xf numFmtId="3" fontId="3" fillId="0" borderId="19" xfId="0" applyNumberFormat="1" applyFont="1" applyBorder="1"/>
    <xf numFmtId="0" fontId="3" fillId="0" borderId="49" xfId="0" applyFont="1" applyBorder="1" applyAlignment="1">
      <alignment horizontal="left" indent="1"/>
    </xf>
    <xf numFmtId="0" fontId="3" fillId="0" borderId="45" xfId="0" applyFont="1" applyBorder="1" applyAlignment="1">
      <alignment horizontal="left" indent="1"/>
    </xf>
    <xf numFmtId="0" fontId="14" fillId="0" borderId="47" xfId="0" applyFont="1" applyBorder="1" applyAlignment="1">
      <alignment horizontal="center"/>
    </xf>
    <xf numFmtId="3" fontId="9" fillId="0" borderId="0" xfId="0" applyNumberFormat="1" applyFont="1"/>
    <xf numFmtId="0" fontId="3" fillId="0" borderId="100" xfId="0" applyFont="1" applyBorder="1" applyAlignment="1">
      <alignment horizontal="center" vertical="top" wrapText="1"/>
    </xf>
    <xf numFmtId="0" fontId="3" fillId="0" borderId="101" xfId="0" applyFont="1" applyBorder="1" applyAlignment="1">
      <alignment horizontal="center" vertical="top" wrapText="1"/>
    </xf>
    <xf numFmtId="0" fontId="14" fillId="0" borderId="102" xfId="0" applyFont="1" applyBorder="1" applyAlignment="1">
      <alignment vertical="top"/>
    </xf>
    <xf numFmtId="0" fontId="3" fillId="0" borderId="103" xfId="0" applyFont="1" applyBorder="1"/>
    <xf numFmtId="0" fontId="3" fillId="0" borderId="104" xfId="0" applyFont="1" applyBorder="1"/>
    <xf numFmtId="0" fontId="3" fillId="0" borderId="45" xfId="0" applyFont="1" applyBorder="1" applyAlignment="1">
      <alignment vertical="top"/>
    </xf>
    <xf numFmtId="0" fontId="3" fillId="0" borderId="46" xfId="0" applyFont="1" applyBorder="1"/>
    <xf numFmtId="0" fontId="3" fillId="0" borderId="105" xfId="0" applyFont="1" applyBorder="1"/>
    <xf numFmtId="0" fontId="14" fillId="0" borderId="106" xfId="0" applyFont="1" applyBorder="1" applyAlignment="1">
      <alignment horizontal="center"/>
    </xf>
    <xf numFmtId="3" fontId="14" fillId="0" borderId="107" xfId="0" applyNumberFormat="1" applyFont="1" applyBorder="1"/>
    <xf numFmtId="3" fontId="14" fillId="0" borderId="108" xfId="0" applyNumberFormat="1" applyFont="1" applyBorder="1"/>
    <xf numFmtId="0" fontId="3" fillId="4" borderId="0" xfId="0" applyFont="1" applyFill="1"/>
    <xf numFmtId="3" fontId="3" fillId="0" borderId="104" xfId="0" applyNumberFormat="1" applyFont="1" applyBorder="1"/>
    <xf numFmtId="0" fontId="14" fillId="0" borderId="4" xfId="0" applyFont="1" applyBorder="1" applyAlignment="1">
      <alignment horizontal="center" vertical="center" wrapText="1"/>
    </xf>
    <xf numFmtId="0" fontId="1" fillId="0" borderId="35" xfId="0" applyFont="1" applyBorder="1" applyAlignment="1"/>
    <xf numFmtId="0" fontId="3" fillId="0" borderId="17" xfId="0" applyFont="1" applyBorder="1" applyAlignment="1">
      <alignment horizontal="left" indent="3"/>
    </xf>
    <xf numFmtId="0" fontId="3" fillId="0" borderId="20" xfId="0" applyFont="1" applyBorder="1" applyAlignment="1">
      <alignment horizontal="left" indent="3"/>
    </xf>
    <xf numFmtId="0" fontId="3" fillId="0" borderId="10" xfId="0" applyFont="1" applyBorder="1" applyAlignment="1">
      <alignment horizontal="left" indent="3"/>
    </xf>
    <xf numFmtId="3" fontId="3" fillId="0" borderId="2" xfId="0" applyNumberFormat="1" applyFont="1" applyBorder="1"/>
    <xf numFmtId="3" fontId="3" fillId="0" borderId="11" xfId="0" applyNumberFormat="1" applyFont="1" applyBorder="1"/>
    <xf numFmtId="0" fontId="3" fillId="0" borderId="67" xfId="0" applyFont="1" applyBorder="1" applyAlignment="1">
      <alignment horizontal="left" indent="3"/>
    </xf>
    <xf numFmtId="3" fontId="3" fillId="0" borderId="56" xfId="0" applyNumberFormat="1" applyFont="1" applyBorder="1"/>
    <xf numFmtId="0" fontId="3" fillId="0" borderId="20" xfId="0" applyFont="1" applyBorder="1" applyAlignment="1">
      <alignment horizontal="left" indent="5"/>
    </xf>
    <xf numFmtId="0" fontId="3" fillId="0" borderId="23" xfId="0" applyFont="1" applyBorder="1" applyAlignment="1">
      <alignment horizontal="left" indent="5"/>
    </xf>
    <xf numFmtId="3" fontId="3" fillId="0" borderId="24" xfId="0" applyNumberFormat="1" applyFont="1" applyBorder="1"/>
    <xf numFmtId="3" fontId="3" fillId="0" borderId="25" xfId="0" applyNumberFormat="1" applyFont="1" applyBorder="1"/>
    <xf numFmtId="0" fontId="3" fillId="0" borderId="6" xfId="0" applyFont="1" applyBorder="1" applyAlignment="1">
      <alignment horizontal="left" indent="3"/>
    </xf>
    <xf numFmtId="3" fontId="3" fillId="0" borderId="7" xfId="0" applyNumberFormat="1" applyFont="1" applyBorder="1"/>
    <xf numFmtId="3" fontId="3" fillId="0" borderId="8" xfId="0" applyNumberFormat="1" applyFont="1" applyBorder="1"/>
    <xf numFmtId="3" fontId="3" fillId="0" borderId="0" xfId="0" applyNumberFormat="1" applyFont="1" applyBorder="1"/>
    <xf numFmtId="0" fontId="15" fillId="0" borderId="0" xfId="204" applyFont="1" applyAlignment="1"/>
    <xf numFmtId="0" fontId="12" fillId="0" borderId="0" xfId="204" applyFont="1" applyAlignment="1"/>
    <xf numFmtId="0" fontId="3" fillId="0" borderId="0" xfId="204" applyFont="1"/>
    <xf numFmtId="0" fontId="13" fillId="0" borderId="0" xfId="204" applyFont="1" applyAlignment="1"/>
    <xf numFmtId="0" fontId="3" fillId="0" borderId="0" xfId="204" applyFont="1" applyAlignment="1"/>
    <xf numFmtId="0" fontId="1" fillId="0" borderId="0" xfId="204" applyFont="1" applyAlignment="1"/>
    <xf numFmtId="0" fontId="1" fillId="0" borderId="35" xfId="204" applyFont="1" applyBorder="1" applyAlignment="1"/>
    <xf numFmtId="0" fontId="14" fillId="0" borderId="4" xfId="204" applyFont="1" applyBorder="1" applyAlignment="1">
      <alignment horizontal="center" vertical="center" wrapText="1"/>
    </xf>
    <xf numFmtId="0" fontId="14" fillId="0" borderId="0" xfId="204" applyFont="1"/>
    <xf numFmtId="0" fontId="3" fillId="0" borderId="1" xfId="204" applyFont="1" applyBorder="1" applyAlignment="1">
      <alignment horizontal="center" vertical="top" wrapText="1"/>
    </xf>
    <xf numFmtId="0" fontId="3" fillId="0" borderId="14" xfId="204" applyFont="1" applyBorder="1" applyAlignment="1">
      <alignment horizontal="center" vertical="top" wrapText="1"/>
    </xf>
    <xf numFmtId="0" fontId="3" fillId="0" borderId="17" xfId="204" applyFont="1" applyBorder="1" applyAlignment="1">
      <alignment horizontal="left" indent="3"/>
    </xf>
    <xf numFmtId="3" fontId="3" fillId="0" borderId="18" xfId="204" applyNumberFormat="1" applyFont="1" applyBorder="1"/>
    <xf numFmtId="3" fontId="3" fillId="0" borderId="19" xfId="204" applyNumberFormat="1" applyFont="1" applyBorder="1"/>
    <xf numFmtId="0" fontId="3" fillId="0" borderId="0" xfId="204" applyFont="1" applyAlignment="1">
      <alignment horizontal="left" indent="2"/>
    </xf>
    <xf numFmtId="0" fontId="3" fillId="0" borderId="20" xfId="204" applyFont="1" applyBorder="1" applyAlignment="1">
      <alignment horizontal="left" indent="3"/>
    </xf>
    <xf numFmtId="3" fontId="3" fillId="0" borderId="21" xfId="204" applyNumberFormat="1" applyFont="1" applyBorder="1"/>
    <xf numFmtId="3" fontId="3" fillId="0" borderId="22" xfId="204" applyNumberFormat="1" applyFont="1" applyBorder="1"/>
    <xf numFmtId="0" fontId="3" fillId="0" borderId="10" xfId="204" applyFont="1" applyBorder="1" applyAlignment="1">
      <alignment horizontal="left" indent="3"/>
    </xf>
    <xf numFmtId="3" fontId="3" fillId="0" borderId="2" xfId="204" applyNumberFormat="1" applyFont="1" applyBorder="1"/>
    <xf numFmtId="3" fontId="3" fillId="0" borderId="11" xfId="204" applyNumberFormat="1" applyFont="1" applyBorder="1"/>
    <xf numFmtId="0" fontId="14" fillId="0" borderId="16" xfId="204" applyFont="1" applyBorder="1" applyAlignment="1">
      <alignment horizontal="right"/>
    </xf>
    <xf numFmtId="3" fontId="14" fillId="0" borderId="1" xfId="204" applyNumberFormat="1" applyFont="1" applyBorder="1"/>
    <xf numFmtId="3" fontId="14" fillId="0" borderId="14" xfId="204" applyNumberFormat="1" applyFont="1" applyBorder="1"/>
    <xf numFmtId="0" fontId="3" fillId="0" borderId="81" xfId="204" applyFont="1" applyBorder="1" applyAlignment="1">
      <alignment horizontal="left" indent="1"/>
    </xf>
    <xf numFmtId="0" fontId="3" fillId="0" borderId="10" xfId="204" applyFont="1" applyBorder="1" applyAlignment="1">
      <alignment horizontal="left" indent="1"/>
    </xf>
    <xf numFmtId="3" fontId="3" fillId="0" borderId="39" xfId="204" applyNumberFormat="1" applyFont="1" applyBorder="1"/>
    <xf numFmtId="3" fontId="3" fillId="0" borderId="40" xfId="204" applyNumberFormat="1" applyFont="1" applyBorder="1"/>
    <xf numFmtId="0" fontId="14" fillId="0" borderId="0" xfId="204" applyFont="1" applyAlignment="1"/>
    <xf numFmtId="0" fontId="3" fillId="0" borderId="67" xfId="204" applyFont="1" applyBorder="1" applyAlignment="1">
      <alignment horizontal="left" indent="3"/>
    </xf>
    <xf numFmtId="3" fontId="3" fillId="0" borderId="51" xfId="204" applyNumberFormat="1" applyFont="1" applyBorder="1"/>
    <xf numFmtId="3" fontId="3" fillId="0" borderId="56" xfId="204" applyNumberFormat="1" applyFont="1" applyBorder="1"/>
    <xf numFmtId="0" fontId="3" fillId="0" borderId="20" xfId="204" applyFont="1" applyBorder="1" applyAlignment="1">
      <alignment horizontal="left" indent="5"/>
    </xf>
    <xf numFmtId="0" fontId="3" fillId="0" borderId="23" xfId="204" applyFont="1" applyBorder="1" applyAlignment="1">
      <alignment horizontal="left" indent="5"/>
    </xf>
    <xf numFmtId="3" fontId="3" fillId="0" borderId="24" xfId="204" applyNumberFormat="1" applyFont="1" applyBorder="1"/>
    <xf numFmtId="3" fontId="3" fillId="0" borderId="25" xfId="204" applyNumberFormat="1" applyFont="1" applyBorder="1"/>
    <xf numFmtId="0" fontId="3" fillId="0" borderId="6" xfId="204" applyFont="1" applyBorder="1" applyAlignment="1">
      <alignment horizontal="left" indent="3"/>
    </xf>
    <xf numFmtId="3" fontId="3" fillId="0" borderId="7" xfId="204" applyNumberFormat="1" applyFont="1" applyBorder="1"/>
    <xf numFmtId="3" fontId="3" fillId="0" borderId="8" xfId="204" applyNumberFormat="1" applyFont="1" applyBorder="1"/>
    <xf numFmtId="0" fontId="15" fillId="0" borderId="0" xfId="204" applyFont="1"/>
    <xf numFmtId="0" fontId="14" fillId="0" borderId="0" xfId="203" applyFont="1"/>
    <xf numFmtId="0" fontId="3" fillId="0" borderId="0" xfId="203" applyFont="1"/>
    <xf numFmtId="0" fontId="3" fillId="0" borderId="0" xfId="203" applyFont="1" applyAlignment="1">
      <alignment wrapText="1"/>
    </xf>
    <xf numFmtId="0" fontId="3" fillId="0" borderId="0" xfId="203" applyFont="1" applyAlignment="1">
      <alignment horizontal="center" wrapText="1"/>
    </xf>
    <xf numFmtId="0" fontId="3" fillId="0" borderId="112" xfId="204" applyFont="1" applyBorder="1" applyAlignment="1">
      <alignment horizontal="left" indent="1"/>
    </xf>
    <xf numFmtId="3" fontId="3" fillId="0" borderId="55" xfId="204" applyNumberFormat="1" applyFont="1" applyBorder="1"/>
    <xf numFmtId="3" fontId="3" fillId="0" borderId="57" xfId="204" applyNumberFormat="1" applyFont="1" applyBorder="1"/>
    <xf numFmtId="0" fontId="3" fillId="0" borderId="0" xfId="204" applyFont="1" applyAlignment="1">
      <alignment horizontal="center" wrapText="1"/>
    </xf>
    <xf numFmtId="0" fontId="3" fillId="0" borderId="0" xfId="0" applyFont="1" applyAlignment="1">
      <alignment wrapText="1"/>
    </xf>
    <xf numFmtId="3" fontId="3" fillId="0" borderId="18" xfId="0" applyNumberFormat="1" applyFont="1" applyFill="1" applyBorder="1"/>
    <xf numFmtId="3" fontId="3" fillId="0" borderId="21" xfId="0" applyNumberFormat="1" applyFont="1" applyFill="1" applyBorder="1"/>
    <xf numFmtId="0" fontId="3" fillId="0" borderId="23" xfId="0" applyFont="1" applyBorder="1" applyAlignment="1">
      <alignment horizontal="left" indent="3"/>
    </xf>
    <xf numFmtId="0" fontId="3" fillId="0" borderId="37" xfId="0" applyFont="1" applyBorder="1" applyAlignment="1">
      <alignment horizontal="left" indent="3"/>
    </xf>
    <xf numFmtId="3" fontId="3" fillId="0" borderId="40" xfId="0" applyNumberFormat="1" applyFont="1" applyBorder="1"/>
    <xf numFmtId="3" fontId="3" fillId="0" borderId="113" xfId="0" applyNumberFormat="1" applyFont="1" applyBorder="1"/>
    <xf numFmtId="3" fontId="3" fillId="0" borderId="114" xfId="0" applyNumberFormat="1" applyFont="1" applyBorder="1"/>
    <xf numFmtId="0" fontId="3" fillId="0" borderId="109" xfId="0" applyFont="1" applyBorder="1" applyAlignment="1">
      <alignment horizontal="left" indent="3"/>
    </xf>
    <xf numFmtId="0" fontId="3" fillId="0" borderId="17" xfId="0" applyFont="1" applyBorder="1" applyAlignment="1">
      <alignment horizontal="left" indent="2"/>
    </xf>
    <xf numFmtId="0" fontId="3" fillId="0" borderId="37" xfId="0" applyFont="1" applyBorder="1" applyAlignment="1">
      <alignment horizontal="left" indent="2"/>
    </xf>
    <xf numFmtId="3" fontId="3" fillId="0" borderId="33" xfId="0" applyNumberFormat="1" applyFont="1" applyBorder="1"/>
    <xf numFmtId="3" fontId="3" fillId="0" borderId="79" xfId="0" applyNumberFormat="1" applyFont="1" applyBorder="1"/>
    <xf numFmtId="3" fontId="14" fillId="0" borderId="90" xfId="0" applyNumberFormat="1" applyFont="1" applyBorder="1"/>
    <xf numFmtId="0" fontId="3" fillId="0" borderId="36" xfId="0" applyFont="1" applyBorder="1" applyAlignment="1">
      <alignment horizontal="center" vertical="top" wrapText="1"/>
    </xf>
    <xf numFmtId="0" fontId="3" fillId="0" borderId="16" xfId="0" applyFont="1" applyBorder="1" applyAlignment="1">
      <alignment horizontal="left" indent="3"/>
    </xf>
    <xf numFmtId="0" fontId="3" fillId="0" borderId="62" xfId="0" applyFont="1" applyBorder="1" applyAlignment="1">
      <alignment horizontal="center"/>
    </xf>
    <xf numFmtId="3" fontId="3" fillId="0" borderId="1" xfId="0" applyNumberFormat="1" applyFont="1" applyBorder="1"/>
    <xf numFmtId="3" fontId="3" fillId="0" borderId="36" xfId="0" applyNumberFormat="1" applyFont="1" applyBorder="1"/>
    <xf numFmtId="3" fontId="3" fillId="0" borderId="14" xfId="0" applyNumberFormat="1" applyFont="1" applyBorder="1"/>
    <xf numFmtId="3" fontId="14" fillId="0" borderId="115" xfId="0" applyNumberFormat="1" applyFont="1" applyBorder="1"/>
    <xf numFmtId="0" fontId="3" fillId="0" borderId="0" xfId="0" applyFont="1" applyAlignment="1">
      <alignment vertical="top" wrapText="1"/>
    </xf>
    <xf numFmtId="0" fontId="15" fillId="0" borderId="0" xfId="0" applyFont="1" applyBorder="1"/>
    <xf numFmtId="0" fontId="29" fillId="0" borderId="80" xfId="0" applyFont="1" applyBorder="1" applyAlignment="1">
      <alignment horizontal="center"/>
    </xf>
    <xf numFmtId="0" fontId="26" fillId="0" borderId="0" xfId="0" applyFont="1" applyBorder="1"/>
    <xf numFmtId="0" fontId="12" fillId="0" borderId="0" xfId="0" applyFont="1" applyBorder="1" applyAlignment="1"/>
    <xf numFmtId="0" fontId="29" fillId="0" borderId="0" xfId="0" applyFont="1" applyBorder="1" applyAlignment="1">
      <alignment horizontal="center"/>
    </xf>
    <xf numFmtId="0" fontId="30" fillId="0" borderId="0" xfId="0" applyFont="1" applyBorder="1" applyAlignment="1">
      <alignment horizontal="center"/>
    </xf>
    <xf numFmtId="0" fontId="31" fillId="0" borderId="0" xfId="0" applyFont="1" applyBorder="1" applyAlignment="1"/>
    <xf numFmtId="0" fontId="15" fillId="0" borderId="0" xfId="0" applyFont="1" applyBorder="1" applyAlignment="1"/>
    <xf numFmtId="0" fontId="32" fillId="0" borderId="0" xfId="0" applyFont="1" applyBorder="1" applyAlignment="1"/>
    <xf numFmtId="0" fontId="12" fillId="0" borderId="0" xfId="204" applyFont="1" applyBorder="1" applyAlignment="1"/>
    <xf numFmtId="0" fontId="13" fillId="0" borderId="0" xfId="204" applyFont="1" applyBorder="1" applyAlignment="1"/>
    <xf numFmtId="0" fontId="15" fillId="0" borderId="0" xfId="204" applyFont="1" applyBorder="1"/>
    <xf numFmtId="0" fontId="26" fillId="0" borderId="0" xfId="204" applyFont="1" applyBorder="1"/>
    <xf numFmtId="0" fontId="29" fillId="0" borderId="80" xfId="204" applyFont="1" applyBorder="1" applyAlignment="1">
      <alignment horizontal="center"/>
    </xf>
    <xf numFmtId="0" fontId="13" fillId="0" borderId="0" xfId="0" applyFont="1" applyBorder="1" applyAlignment="1"/>
    <xf numFmtId="0" fontId="3" fillId="0" borderId="0" xfId="0" applyFont="1" applyBorder="1" applyAlignment="1"/>
    <xf numFmtId="0" fontId="24" fillId="0" borderId="0" xfId="0" applyFont="1" applyBorder="1"/>
    <xf numFmtId="0" fontId="42" fillId="0" borderId="0" xfId="20" applyFont="1" applyBorder="1" applyAlignment="1"/>
    <xf numFmtId="0" fontId="36" fillId="0" borderId="0" xfId="20" applyFont="1" applyBorder="1" applyAlignment="1"/>
    <xf numFmtId="0" fontId="43" fillId="3" borderId="0" xfId="20" applyFont="1" applyFill="1" applyBorder="1" applyAlignment="1">
      <alignment horizontal="center" vertical="top"/>
    </xf>
    <xf numFmtId="0" fontId="44" fillId="4" borderId="0" xfId="20" applyFont="1" applyFill="1" applyBorder="1" applyAlignment="1">
      <alignment vertical="top" wrapText="1"/>
    </xf>
    <xf numFmtId="0" fontId="3" fillId="0" borderId="0" xfId="0" applyFont="1" applyAlignment="1">
      <alignment horizontal="left" vertical="top"/>
    </xf>
    <xf numFmtId="0" fontId="33" fillId="0" borderId="0" xfId="0" applyFont="1" applyAlignment="1">
      <alignment horizontal="left" vertical="top"/>
    </xf>
    <xf numFmtId="0" fontId="12" fillId="0" borderId="0" xfId="0" applyFont="1" applyAlignment="1">
      <alignment horizontal="center"/>
    </xf>
    <xf numFmtId="0" fontId="13" fillId="0" borderId="0" xfId="0" applyFont="1" applyAlignment="1">
      <alignment horizontal="center"/>
    </xf>
    <xf numFmtId="0" fontId="3" fillId="0" borderId="0" xfId="0" applyFont="1" applyAlignment="1">
      <alignment horizontal="center"/>
    </xf>
    <xf numFmtId="0" fontId="1" fillId="0" borderId="0" xfId="0" applyFont="1" applyAlignment="1">
      <alignment horizontal="center"/>
    </xf>
    <xf numFmtId="0" fontId="14" fillId="0" borderId="3" xfId="0" applyFont="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0" fontId="14" fillId="0" borderId="13" xfId="0" applyFont="1" applyBorder="1" applyAlignment="1">
      <alignment horizontal="center" vertical="center"/>
    </xf>
    <xf numFmtId="0" fontId="14" fillId="0" borderId="10" xfId="0" applyFont="1" applyBorder="1" applyAlignment="1">
      <alignment horizontal="center" vertic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4" xfId="0" applyFont="1" applyBorder="1" applyAlignment="1">
      <alignment horizontal="center" vertical="center" wrapText="1"/>
    </xf>
    <xf numFmtId="0" fontId="1" fillId="0" borderId="35" xfId="0" applyFont="1" applyBorder="1" applyAlignment="1">
      <alignment horizontal="center"/>
    </xf>
    <xf numFmtId="0" fontId="1" fillId="0" borderId="0" xfId="0" applyFont="1" applyBorder="1" applyAlignment="1">
      <alignment horizontal="center"/>
    </xf>
    <xf numFmtId="3" fontId="16" fillId="0" borderId="0" xfId="0" applyNumberFormat="1" applyFont="1" applyAlignment="1">
      <alignment horizontal="left" vertical="top"/>
    </xf>
    <xf numFmtId="0" fontId="16" fillId="0" borderId="0" xfId="0" applyFont="1" applyAlignment="1">
      <alignment horizontal="left" vertical="top"/>
    </xf>
    <xf numFmtId="0" fontId="14" fillId="0" borderId="13"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 xfId="0" applyFont="1" applyBorder="1" applyAlignment="1">
      <alignment horizontal="center" vertical="center" wrapText="1"/>
    </xf>
    <xf numFmtId="0" fontId="9" fillId="0" borderId="35" xfId="0" applyFont="1" applyBorder="1" applyAlignment="1">
      <alignment horizontal="center"/>
    </xf>
    <xf numFmtId="0" fontId="8" fillId="0" borderId="0" xfId="0" applyFont="1" applyAlignment="1">
      <alignment horizontal="center"/>
    </xf>
    <xf numFmtId="0" fontId="11" fillId="0" borderId="0" xfId="0" applyFont="1" applyAlignment="1">
      <alignment horizontal="center"/>
    </xf>
    <xf numFmtId="0" fontId="9" fillId="0" borderId="0" xfId="0" applyFont="1" applyAlignment="1">
      <alignment horizontal="center"/>
    </xf>
    <xf numFmtId="0" fontId="19" fillId="0" borderId="41" xfId="0" applyFont="1" applyBorder="1" applyAlignment="1">
      <alignment horizontal="left" vertical="top"/>
    </xf>
    <xf numFmtId="0" fontId="19" fillId="0" borderId="31" xfId="0" applyFont="1" applyBorder="1" applyAlignment="1">
      <alignment horizontal="left" vertical="top"/>
    </xf>
    <xf numFmtId="0" fontId="23" fillId="0" borderId="41" xfId="0" applyFont="1" applyBorder="1" applyAlignment="1">
      <alignment horizontal="left" vertical="top" wrapText="1"/>
    </xf>
    <xf numFmtId="0" fontId="23" fillId="0" borderId="31" xfId="0" applyFont="1" applyBorder="1" applyAlignment="1">
      <alignment horizontal="left" vertical="top" wrapText="1"/>
    </xf>
    <xf numFmtId="0" fontId="19" fillId="0" borderId="42" xfId="0" applyFont="1" applyBorder="1" applyAlignment="1">
      <alignment horizontal="right" vertical="top"/>
    </xf>
    <xf numFmtId="0" fontId="19" fillId="0" borderId="54" xfId="0" applyFont="1" applyBorder="1" applyAlignment="1">
      <alignment horizontal="center" vertical="top"/>
    </xf>
    <xf numFmtId="0" fontId="19" fillId="0" borderId="32" xfId="0" applyFont="1" applyBorder="1" applyAlignment="1">
      <alignment horizontal="center" vertical="top"/>
    </xf>
    <xf numFmtId="0" fontId="23" fillId="0" borderId="41" xfId="0" applyFont="1" applyBorder="1" applyAlignment="1">
      <alignment horizontal="left" vertical="top"/>
    </xf>
    <xf numFmtId="0" fontId="23" fillId="0" borderId="31" xfId="0" applyFont="1" applyBorder="1" applyAlignment="1">
      <alignment horizontal="left" vertical="top"/>
    </xf>
    <xf numFmtId="0" fontId="19" fillId="0" borderId="50" xfId="0" applyFont="1" applyBorder="1" applyAlignment="1">
      <alignment horizontal="left" vertical="top"/>
    </xf>
    <xf numFmtId="0" fontId="19" fillId="0" borderId="53" xfId="0" applyFont="1" applyBorder="1" applyAlignment="1">
      <alignment horizontal="left" vertical="top"/>
    </xf>
    <xf numFmtId="0" fontId="19" fillId="0" borderId="50" xfId="0" applyFont="1" applyBorder="1" applyAlignment="1">
      <alignment horizontal="left" vertical="top" wrapText="1"/>
    </xf>
    <xf numFmtId="0" fontId="23" fillId="0" borderId="86" xfId="0" applyFont="1" applyBorder="1" applyAlignment="1">
      <alignment horizontal="left" vertical="top" wrapText="1"/>
    </xf>
    <xf numFmtId="0" fontId="0" fillId="0" borderId="86" xfId="0" applyBorder="1" applyAlignment="1">
      <alignment horizontal="left" vertical="top" wrapText="1"/>
    </xf>
    <xf numFmtId="0" fontId="0" fillId="0" borderId="87" xfId="0" applyBorder="1" applyAlignment="1">
      <alignment horizontal="left" vertical="top" wrapText="1"/>
    </xf>
    <xf numFmtId="0" fontId="0" fillId="0" borderId="50" xfId="0" applyBorder="1" applyAlignment="1">
      <alignment horizontal="left" vertical="top" wrapText="1"/>
    </xf>
    <xf numFmtId="0" fontId="0" fillId="0" borderId="53" xfId="0" applyBorder="1" applyAlignment="1">
      <alignment horizontal="left" vertical="top" wrapText="1"/>
    </xf>
    <xf numFmtId="0" fontId="20" fillId="0" borderId="86" xfId="0" applyFont="1" applyBorder="1" applyAlignment="1">
      <alignment horizontal="left" vertical="top" wrapText="1"/>
    </xf>
    <xf numFmtId="0" fontId="20" fillId="0" borderId="87" xfId="0" applyFont="1" applyBorder="1" applyAlignment="1">
      <alignment horizontal="left" vertical="top" wrapText="1"/>
    </xf>
    <xf numFmtId="0" fontId="20" fillId="0" borderId="50" xfId="0" applyFont="1" applyBorder="1" applyAlignment="1">
      <alignment horizontal="left" vertical="top" wrapText="1"/>
    </xf>
    <xf numFmtId="0" fontId="20" fillId="0" borderId="53" xfId="0" applyFont="1" applyBorder="1" applyAlignment="1">
      <alignment horizontal="left" vertical="top" wrapText="1"/>
    </xf>
    <xf numFmtId="0" fontId="20" fillId="0" borderId="41" xfId="0" applyFont="1" applyBorder="1" applyAlignment="1">
      <alignment horizontal="left" vertical="top" wrapText="1"/>
    </xf>
    <xf numFmtId="0" fontId="20" fillId="0" borderId="31" xfId="0" applyFont="1" applyBorder="1" applyAlignment="1">
      <alignment horizontal="left" vertical="top" wrapText="1"/>
    </xf>
    <xf numFmtId="0" fontId="18" fillId="0" borderId="0" xfId="0" applyFont="1" applyAlignment="1">
      <alignment horizontal="center"/>
    </xf>
    <xf numFmtId="0" fontId="20" fillId="0" borderId="0" xfId="0" applyFont="1" applyAlignment="1">
      <alignment horizontal="center"/>
    </xf>
    <xf numFmtId="0" fontId="21" fillId="0" borderId="0" xfId="0" applyFont="1" applyAlignment="1">
      <alignment horizontal="center"/>
    </xf>
    <xf numFmtId="0" fontId="3" fillId="0" borderId="0" xfId="0" applyFont="1" applyBorder="1" applyAlignment="1">
      <alignment horizontal="center"/>
    </xf>
    <xf numFmtId="0" fontId="3" fillId="0" borderId="35" xfId="0" applyFont="1" applyBorder="1" applyAlignment="1">
      <alignment horizontal="center"/>
    </xf>
    <xf numFmtId="0" fontId="3" fillId="0" borderId="0" xfId="0" applyFont="1" applyAlignment="1">
      <alignment horizontal="left"/>
    </xf>
    <xf numFmtId="0" fontId="3" fillId="0" borderId="0" xfId="0" applyFont="1" applyAlignment="1">
      <alignment wrapText="1"/>
    </xf>
    <xf numFmtId="0" fontId="3" fillId="0" borderId="0" xfId="0" applyFont="1" applyAlignment="1">
      <alignment horizontal="center" wrapText="1"/>
    </xf>
    <xf numFmtId="0" fontId="14" fillId="0" borderId="61" xfId="0" applyFont="1" applyBorder="1" applyAlignment="1">
      <alignment horizontal="center" vertical="center" wrapText="1"/>
    </xf>
    <xf numFmtId="0" fontId="14" fillId="0" borderId="85" xfId="0" applyFont="1" applyBorder="1" applyAlignment="1">
      <alignment horizontal="center" vertical="center" wrapText="1"/>
    </xf>
    <xf numFmtId="0" fontId="3" fillId="0" borderId="0" xfId="204" applyFont="1" applyAlignment="1">
      <alignment wrapText="1"/>
    </xf>
    <xf numFmtId="0" fontId="1" fillId="0" borderId="0" xfId="204" applyFont="1" applyAlignment="1">
      <alignment horizontal="center"/>
    </xf>
    <xf numFmtId="0" fontId="14" fillId="0" borderId="13" xfId="204" applyFont="1" applyBorder="1" applyAlignment="1">
      <alignment horizontal="center" vertical="center"/>
    </xf>
    <xf numFmtId="0" fontId="14" fillId="0" borderId="10" xfId="204" applyFont="1" applyBorder="1" applyAlignment="1">
      <alignment horizontal="center" vertical="center"/>
    </xf>
    <xf numFmtId="0" fontId="14" fillId="0" borderId="4" xfId="204" applyFont="1" applyBorder="1" applyAlignment="1">
      <alignment horizontal="center" vertical="center" wrapText="1"/>
    </xf>
    <xf numFmtId="0" fontId="14" fillId="0" borderId="5" xfId="204" applyFont="1" applyBorder="1" applyAlignment="1">
      <alignment horizontal="center" vertical="center" wrapText="1"/>
    </xf>
    <xf numFmtId="0" fontId="3" fillId="0" borderId="0" xfId="204" applyFont="1" applyAlignment="1">
      <alignment horizontal="left" wrapText="1"/>
    </xf>
    <xf numFmtId="0" fontId="3" fillId="0" borderId="0" xfId="204" applyFont="1" applyAlignment="1">
      <alignment horizontal="center"/>
    </xf>
    <xf numFmtId="0" fontId="12" fillId="0" borderId="0" xfId="204" applyFont="1" applyAlignment="1">
      <alignment horizontal="center"/>
    </xf>
    <xf numFmtId="0" fontId="13" fillId="0" borderId="0" xfId="204" applyFont="1" applyAlignment="1">
      <alignment horizontal="center"/>
    </xf>
    <xf numFmtId="0" fontId="3" fillId="0" borderId="0" xfId="203" applyFont="1" applyAlignment="1">
      <alignment wrapText="1"/>
    </xf>
    <xf numFmtId="0" fontId="3" fillId="0" borderId="0" xfId="203" applyFont="1" applyAlignment="1">
      <alignment horizontal="left" wrapText="1"/>
    </xf>
    <xf numFmtId="0" fontId="14" fillId="0" borderId="60"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70" xfId="0" applyFont="1" applyBorder="1" applyAlignment="1">
      <alignment horizontal="center" vertical="center" wrapText="1"/>
    </xf>
    <xf numFmtId="0" fontId="14" fillId="0" borderId="58" xfId="0" applyFont="1" applyBorder="1" applyAlignment="1">
      <alignment horizontal="center" vertical="center" wrapText="1"/>
    </xf>
    <xf numFmtId="3" fontId="14" fillId="0" borderId="116" xfId="0" applyNumberFormat="1" applyFont="1" applyBorder="1"/>
    <xf numFmtId="3" fontId="14" fillId="0" borderId="117" xfId="0" applyNumberFormat="1" applyFont="1" applyBorder="1"/>
    <xf numFmtId="3" fontId="3" fillId="0" borderId="118" xfId="0" applyNumberFormat="1" applyFont="1" applyBorder="1"/>
    <xf numFmtId="3" fontId="14" fillId="0" borderId="119" xfId="0" applyNumberFormat="1" applyFont="1" applyBorder="1"/>
    <xf numFmtId="3" fontId="14" fillId="0" borderId="120" xfId="0" applyNumberFormat="1" applyFont="1" applyBorder="1"/>
    <xf numFmtId="3" fontId="3" fillId="0" borderId="121" xfId="0" applyNumberFormat="1" applyFont="1" applyBorder="1"/>
    <xf numFmtId="0" fontId="9" fillId="0" borderId="104" xfId="0" applyFont="1" applyBorder="1"/>
    <xf numFmtId="0" fontId="14" fillId="0" borderId="122" xfId="0" applyFont="1" applyBorder="1" applyAlignment="1">
      <alignment horizontal="right"/>
    </xf>
    <xf numFmtId="0" fontId="3" fillId="0" borderId="103" xfId="0" applyFont="1" applyBorder="1" applyAlignment="1">
      <alignment horizontal="left" indent="1"/>
    </xf>
    <xf numFmtId="0" fontId="7" fillId="0" borderId="21" xfId="0" applyFont="1" applyBorder="1" applyAlignment="1">
      <alignment horizontal="left" indent="1"/>
    </xf>
    <xf numFmtId="0" fontId="14" fillId="0" borderId="123" xfId="0" applyFont="1" applyBorder="1" applyAlignment="1">
      <alignment horizontal="right" indent="1"/>
    </xf>
    <xf numFmtId="0" fontId="3" fillId="0" borderId="123" xfId="0" applyFont="1" applyBorder="1"/>
    <xf numFmtId="0" fontId="3" fillId="0" borderId="2" xfId="0" applyFont="1" applyBorder="1" applyAlignment="1">
      <alignment horizontal="left" indent="1"/>
    </xf>
  </cellXfs>
  <cellStyles count="210">
    <cellStyle name="20% - Accent1 2" xfId="21"/>
    <cellStyle name="20% - Accent2 2" xfId="22"/>
    <cellStyle name="20% - Accent3 2" xfId="23"/>
    <cellStyle name="20% - Accent4 2" xfId="24"/>
    <cellStyle name="20% - Accent5 2" xfId="25"/>
    <cellStyle name="20% - Accent6 2" xfId="26"/>
    <cellStyle name="40% - Accent1 2" xfId="27"/>
    <cellStyle name="40% - Accent2 2" xfId="28"/>
    <cellStyle name="40% - Accent3 2" xfId="29"/>
    <cellStyle name="40% - Accent4 2" xfId="30"/>
    <cellStyle name="40% - Accent5 2" xfId="31"/>
    <cellStyle name="40% - Accent6 2" xfId="32"/>
    <cellStyle name="60% - Accent1 2" xfId="33"/>
    <cellStyle name="60% - Accent2 2" xfId="34"/>
    <cellStyle name="60% - Accent3 2" xfId="35"/>
    <cellStyle name="60% - Accent4 2" xfId="36"/>
    <cellStyle name="60% - Accent5 2" xfId="37"/>
    <cellStyle name="60% - Accent6 2" xfId="38"/>
    <cellStyle name="Accent1 2" xfId="39"/>
    <cellStyle name="Accent2 2" xfId="40"/>
    <cellStyle name="Accent3 2" xfId="41"/>
    <cellStyle name="Accent4 2" xfId="42"/>
    <cellStyle name="Accent5 2" xfId="43"/>
    <cellStyle name="Accent6 2" xfId="44"/>
    <cellStyle name="active" xfId="147"/>
    <cellStyle name="active 2" xfId="148"/>
    <cellStyle name="Bad 2" xfId="45"/>
    <cellStyle name="Calculation 2" xfId="46"/>
    <cellStyle name="Calculation 2 2" xfId="47"/>
    <cellStyle name="Calculation 2 2 2" xfId="103"/>
    <cellStyle name="Calculation 2 2 3" xfId="104"/>
    <cellStyle name="Calculation 2 2 4" xfId="105"/>
    <cellStyle name="Calculation 2 3" xfId="48"/>
    <cellStyle name="Calculation 2 3 2" xfId="106"/>
    <cellStyle name="Calculation 2 3 3" xfId="107"/>
    <cellStyle name="Calculation 2 3 4" xfId="108"/>
    <cellStyle name="Calculation 2 4" xfId="109"/>
    <cellStyle name="Calculation 2 5" xfId="110"/>
    <cellStyle name="Calculation 2 6" xfId="111"/>
    <cellStyle name="Check Cell 2" xfId="49"/>
    <cellStyle name="Comma" xfId="1" builtinId="3"/>
    <cellStyle name="Comma  - Style1" xfId="149"/>
    <cellStyle name="Comma  - Style2" xfId="150"/>
    <cellStyle name="Comma  - Style3" xfId="151"/>
    <cellStyle name="Comma  - Style4" xfId="152"/>
    <cellStyle name="Comma  - Style5" xfId="153"/>
    <cellStyle name="Comma  - Style6" xfId="154"/>
    <cellStyle name="Comma  - Style7" xfId="155"/>
    <cellStyle name="Comma  - Style8" xfId="156"/>
    <cellStyle name="Comma 10" xfId="157"/>
    <cellStyle name="Comma 11" xfId="158"/>
    <cellStyle name="Comma 12" xfId="159"/>
    <cellStyle name="Comma 13" xfId="160"/>
    <cellStyle name="Comma 14" xfId="161"/>
    <cellStyle name="Comma 15" xfId="162"/>
    <cellStyle name="Comma 16" xfId="163"/>
    <cellStyle name="Comma 2" xfId="3"/>
    <cellStyle name="Comma 2 2" xfId="4"/>
    <cellStyle name="Comma 3" xfId="5"/>
    <cellStyle name="Comma 4" xfId="6"/>
    <cellStyle name="Comma 4 2" xfId="7"/>
    <cellStyle name="Comma 4 2 2" xfId="50"/>
    <cellStyle name="Comma 5" xfId="51"/>
    <cellStyle name="Comma 6" xfId="52"/>
    <cellStyle name="Comma 7" xfId="164"/>
    <cellStyle name="Comma 70" xfId="165"/>
    <cellStyle name="Comma 8" xfId="166"/>
    <cellStyle name="Comma 9" xfId="167"/>
    <cellStyle name="Comma0" xfId="168"/>
    <cellStyle name="Comma0 2" xfId="169"/>
    <cellStyle name="Currency 2" xfId="8"/>
    <cellStyle name="Currency 2 2" xfId="9"/>
    <cellStyle name="Currency 3" xfId="10"/>
    <cellStyle name="Currency 4" xfId="11"/>
    <cellStyle name="Currency 4 2" xfId="12"/>
    <cellStyle name="Currency 5" xfId="53"/>
    <cellStyle name="Currency 6" xfId="54"/>
    <cellStyle name="Currency0" xfId="170"/>
    <cellStyle name="Currency0 2" xfId="171"/>
    <cellStyle name="Date" xfId="55"/>
    <cellStyle name="Date 2" xfId="172"/>
    <cellStyle name="Date_FY2012_SF133_123012" xfId="173"/>
    <cellStyle name="Explanatory Text 2" xfId="56"/>
    <cellStyle name="Fixed" xfId="57"/>
    <cellStyle name="Fixed 2" xfId="174"/>
    <cellStyle name="Fixed_FY2012_SF133_123012" xfId="175"/>
    <cellStyle name="Good 2" xfId="58"/>
    <cellStyle name="Grey" xfId="176"/>
    <cellStyle name="Grey 2" xfId="177"/>
    <cellStyle name="Header1" xfId="178"/>
    <cellStyle name="Header2" xfId="179"/>
    <cellStyle name="Heading 1 2" xfId="59"/>
    <cellStyle name="Heading 1 3" xfId="180"/>
    <cellStyle name="Heading 2 2" xfId="60"/>
    <cellStyle name="Heading 2 2 2" xfId="181"/>
    <cellStyle name="Heading 2 2_FY2012_SF133_123012" xfId="182"/>
    <cellStyle name="Heading 2 3" xfId="183"/>
    <cellStyle name="Heading 3 2" xfId="61"/>
    <cellStyle name="Heading 4 2" xfId="62"/>
    <cellStyle name="Hyperlink 2" xfId="63"/>
    <cellStyle name="Input [yellow]" xfId="184"/>
    <cellStyle name="Input [yellow] 2" xfId="185"/>
    <cellStyle name="Input 10" xfId="186"/>
    <cellStyle name="Input 11" xfId="187"/>
    <cellStyle name="Input 12" xfId="188"/>
    <cellStyle name="Input 13" xfId="189"/>
    <cellStyle name="Input 14" xfId="190"/>
    <cellStyle name="Input 15" xfId="191"/>
    <cellStyle name="Input 16" xfId="192"/>
    <cellStyle name="Input 2" xfId="64"/>
    <cellStyle name="Input 2 2" xfId="65"/>
    <cellStyle name="Input 2 2 2" xfId="112"/>
    <cellStyle name="Input 2 2 3" xfId="113"/>
    <cellStyle name="Input 2 2 4" xfId="114"/>
    <cellStyle name="Input 2 3" xfId="66"/>
    <cellStyle name="Input 2 3 2" xfId="115"/>
    <cellStyle name="Input 2 3 3" xfId="116"/>
    <cellStyle name="Input 2 3 4" xfId="117"/>
    <cellStyle name="Input 2 4" xfId="118"/>
    <cellStyle name="Input 2 5" xfId="119"/>
    <cellStyle name="Input 2 6" xfId="120"/>
    <cellStyle name="Input 3" xfId="193"/>
    <cellStyle name="Input 4" xfId="194"/>
    <cellStyle name="Input 5" xfId="195"/>
    <cellStyle name="Input 6" xfId="196"/>
    <cellStyle name="Input 7" xfId="197"/>
    <cellStyle name="Input 8" xfId="198"/>
    <cellStyle name="Input 9" xfId="199"/>
    <cellStyle name="Linked Cell 2" xfId="67"/>
    <cellStyle name="Neutral 2" xfId="68"/>
    <cellStyle name="Normal" xfId="0" builtinId="0"/>
    <cellStyle name="Normal - Style1" xfId="200"/>
    <cellStyle name="Normal - Style1 2" xfId="201"/>
    <cellStyle name="Normal 10" xfId="202"/>
    <cellStyle name="Normal 10 2" xfId="203"/>
    <cellStyle name="Normal 11" xfId="204"/>
    <cellStyle name="Normal 2" xfId="13"/>
    <cellStyle name="Normal 2 2" xfId="69"/>
    <cellStyle name="Normal 2 3" xfId="70"/>
    <cellStyle name="Normal 2 4" xfId="71"/>
    <cellStyle name="Normal 3" xfId="2"/>
    <cellStyle name="Normal 3 2" xfId="72"/>
    <cellStyle name="Normal 3 2 2" xfId="73"/>
    <cellStyle name="Normal 3 3" xfId="74"/>
    <cellStyle name="Normal 4" xfId="14"/>
    <cellStyle name="Normal 4 2" xfId="75"/>
    <cellStyle name="Normal 4 3" xfId="76"/>
    <cellStyle name="Normal 5" xfId="19"/>
    <cellStyle name="Normal 5 2" xfId="77"/>
    <cellStyle name="Normal 5 2 2" xfId="78"/>
    <cellStyle name="Normal 5 3" xfId="79"/>
    <cellStyle name="Normal 5 4" xfId="80"/>
    <cellStyle name="Normal 5 5" xfId="81"/>
    <cellStyle name="Normal 5 6" xfId="82"/>
    <cellStyle name="Normal 5 7" xfId="83"/>
    <cellStyle name="Normal 5 8" xfId="121"/>
    <cellStyle name="Normal 6" xfId="20"/>
    <cellStyle name="Normal 6 2" xfId="84"/>
    <cellStyle name="Normal 7" xfId="85"/>
    <cellStyle name="Normal 7 2" xfId="86"/>
    <cellStyle name="Normal 8" xfId="87"/>
    <cellStyle name="Normal 9" xfId="205"/>
    <cellStyle name="Note 2" xfId="88"/>
    <cellStyle name="Note 2 2" xfId="89"/>
    <cellStyle name="Note 2 2 2" xfId="122"/>
    <cellStyle name="Note 2 2 3" xfId="123"/>
    <cellStyle name="Note 2 2 4" xfId="124"/>
    <cellStyle name="Note 2 3" xfId="90"/>
    <cellStyle name="Note 2 3 2" xfId="125"/>
    <cellStyle name="Note 2 3 3" xfId="126"/>
    <cellStyle name="Note 2 3 4" xfId="127"/>
    <cellStyle name="Note 2 4" xfId="128"/>
    <cellStyle name="Note 2 5" xfId="129"/>
    <cellStyle name="Note 2 6" xfId="130"/>
    <cellStyle name="Output 2" xfId="91"/>
    <cellStyle name="Output 2 2" xfId="92"/>
    <cellStyle name="Output 2 2 2" xfId="131"/>
    <cellStyle name="Output 2 2 3" xfId="132"/>
    <cellStyle name="Output 2 3" xfId="93"/>
    <cellStyle name="Output 2 3 2" xfId="133"/>
    <cellStyle name="Output 2 3 3" xfId="134"/>
    <cellStyle name="Output 2 4" xfId="135"/>
    <cellStyle name="Output 2 5" xfId="136"/>
    <cellStyle name="Output 2 6" xfId="137"/>
    <cellStyle name="Percent [2]" xfId="206"/>
    <cellStyle name="Percent [2] 2" xfId="207"/>
    <cellStyle name="Percent 2" xfId="15"/>
    <cellStyle name="Percent 2 2" xfId="16"/>
    <cellStyle name="Percent 3" xfId="17"/>
    <cellStyle name="Percent 3 2" xfId="18"/>
    <cellStyle name="Percent 3 2 2" xfId="94"/>
    <cellStyle name="Percent 3 3" xfId="95"/>
    <cellStyle name="Percent 3 4" xfId="96"/>
    <cellStyle name="PSChar" xfId="208"/>
    <cellStyle name="Text" xfId="97"/>
    <cellStyle name="Title 2" xfId="98"/>
    <cellStyle name="Total 2" xfId="99"/>
    <cellStyle name="Total 2 2" xfId="100"/>
    <cellStyle name="Total 2 2 2" xfId="138"/>
    <cellStyle name="Total 2 2 3" xfId="139"/>
    <cellStyle name="Total 2 2 4" xfId="140"/>
    <cellStyle name="Total 2 3" xfId="101"/>
    <cellStyle name="Total 2 3 2" xfId="141"/>
    <cellStyle name="Total 2 3 3" xfId="142"/>
    <cellStyle name="Total 2 3 4" xfId="143"/>
    <cellStyle name="Total 2 4" xfId="144"/>
    <cellStyle name="Total 2 5" xfId="145"/>
    <cellStyle name="Total 2 6" xfId="146"/>
    <cellStyle name="Total 3" xfId="209"/>
    <cellStyle name="Warning Text 2" xfId="10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419100</xdr:colOff>
      <xdr:row>1</xdr:row>
      <xdr:rowOff>0</xdr:rowOff>
    </xdr:from>
    <xdr:ext cx="6981825" cy="5312701"/>
    <xdr:pic>
      <xdr:nvPicPr>
        <xdr:cNvPr id="3" name="Picture 3" descr="USMS is managed by a Director and Deputy Director.  The Office of Equal Employment Opportunity reports to the Director.  The Office of General Counsel, Office of Communications, Office of Inspections, Associate Director for Operations, Associate Director for Administration and the ninety four U.S. Marshals report to the Deputy Director.  The following Divisions report to the Associate Director for Operations: Judicial Security, Investigative Operations, Witness Security, Justice Prisoner and Alien Transportation System, Tactical Operations and Prisoner Operations.  The following Divisions report to the Associate Director for Administration: Training, Human Resources, Information Technology, Management Support, Financial Services and Asset Forfeiture." title="Organization Char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254000"/>
          <a:ext cx="6981825" cy="5312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6"/>
  <sheetViews>
    <sheetView tabSelected="1" view="pageBreakPreview" zoomScale="75" zoomScaleNormal="75" zoomScaleSheetLayoutView="75" workbookViewId="0">
      <selection activeCell="R12" sqref="R12"/>
    </sheetView>
  </sheetViews>
  <sheetFormatPr defaultColWidth="9.140625" defaultRowHeight="15" x14ac:dyDescent="0.2"/>
  <cols>
    <col min="1" max="13" width="9.140625" style="166"/>
    <col min="14" max="14" width="2.85546875" style="167" customWidth="1"/>
    <col min="15" max="16384" width="9.140625" style="166"/>
  </cols>
  <sheetData>
    <row r="1" spans="1:14" ht="20.25" x14ac:dyDescent="0.3">
      <c r="A1" s="165" t="s">
        <v>169</v>
      </c>
      <c r="N1" s="167" t="s">
        <v>12</v>
      </c>
    </row>
    <row r="2" spans="1:14" x14ac:dyDescent="0.2">
      <c r="N2" s="167" t="s">
        <v>12</v>
      </c>
    </row>
    <row r="3" spans="1:14" x14ac:dyDescent="0.2">
      <c r="N3" s="167" t="s">
        <v>12</v>
      </c>
    </row>
    <row r="4" spans="1:14" x14ac:dyDescent="0.2">
      <c r="N4" s="167" t="s">
        <v>12</v>
      </c>
    </row>
    <row r="5" spans="1:14" ht="15.75" x14ac:dyDescent="0.25">
      <c r="B5" s="168"/>
      <c r="N5" s="167" t="s">
        <v>12</v>
      </c>
    </row>
    <row r="6" spans="1:14" x14ac:dyDescent="0.2">
      <c r="N6" s="167" t="s">
        <v>12</v>
      </c>
    </row>
    <row r="7" spans="1:14" x14ac:dyDescent="0.2">
      <c r="N7" s="167" t="s">
        <v>12</v>
      </c>
    </row>
    <row r="8" spans="1:14" x14ac:dyDescent="0.2">
      <c r="N8" s="167" t="s">
        <v>12</v>
      </c>
    </row>
    <row r="9" spans="1:14" x14ac:dyDescent="0.2">
      <c r="N9" s="167" t="s">
        <v>12</v>
      </c>
    </row>
    <row r="10" spans="1:14" x14ac:dyDescent="0.2">
      <c r="N10" s="167" t="s">
        <v>12</v>
      </c>
    </row>
    <row r="11" spans="1:14" x14ac:dyDescent="0.2">
      <c r="N11" s="167" t="s">
        <v>12</v>
      </c>
    </row>
    <row r="12" spans="1:14" x14ac:dyDescent="0.2">
      <c r="N12" s="167" t="s">
        <v>12</v>
      </c>
    </row>
    <row r="13" spans="1:14" x14ac:dyDescent="0.2">
      <c r="N13" s="167" t="s">
        <v>12</v>
      </c>
    </row>
    <row r="14" spans="1:14" x14ac:dyDescent="0.2">
      <c r="N14" s="167" t="s">
        <v>12</v>
      </c>
    </row>
    <row r="15" spans="1:14" x14ac:dyDescent="0.2">
      <c r="N15" s="167" t="s">
        <v>12</v>
      </c>
    </row>
    <row r="16" spans="1:14" x14ac:dyDescent="0.2">
      <c r="N16" s="167" t="s">
        <v>12</v>
      </c>
    </row>
    <row r="17" spans="1:14" x14ac:dyDescent="0.2">
      <c r="N17" s="167" t="s">
        <v>12</v>
      </c>
    </row>
    <row r="18" spans="1:14" x14ac:dyDescent="0.2">
      <c r="N18" s="167" t="s">
        <v>12</v>
      </c>
    </row>
    <row r="19" spans="1:14" x14ac:dyDescent="0.2">
      <c r="N19" s="167" t="s">
        <v>12</v>
      </c>
    </row>
    <row r="20" spans="1:14" x14ac:dyDescent="0.2">
      <c r="N20" s="167" t="s">
        <v>12</v>
      </c>
    </row>
    <row r="21" spans="1:14" x14ac:dyDescent="0.2">
      <c r="N21" s="167" t="s">
        <v>12</v>
      </c>
    </row>
    <row r="22" spans="1:14" x14ac:dyDescent="0.25">
      <c r="N22" s="167" t="s">
        <v>12</v>
      </c>
    </row>
    <row r="23" spans="1:14" x14ac:dyDescent="0.25">
      <c r="N23" s="167" t="s">
        <v>12</v>
      </c>
    </row>
    <row r="24" spans="1:14" x14ac:dyDescent="0.25">
      <c r="N24" s="167" t="s">
        <v>12</v>
      </c>
    </row>
    <row r="25" spans="1:14" x14ac:dyDescent="0.25">
      <c r="N25" s="167" t="s">
        <v>12</v>
      </c>
    </row>
    <row r="26" spans="1:14" x14ac:dyDescent="0.25">
      <c r="N26" s="167" t="s">
        <v>12</v>
      </c>
    </row>
    <row r="27" spans="1:14" x14ac:dyDescent="0.25">
      <c r="N27" s="167" t="s">
        <v>12</v>
      </c>
    </row>
    <row r="28" spans="1:14" x14ac:dyDescent="0.25">
      <c r="N28" s="167" t="s">
        <v>12</v>
      </c>
    </row>
    <row r="29" spans="1:14" x14ac:dyDescent="0.25">
      <c r="A29" s="324"/>
      <c r="B29" s="325"/>
      <c r="C29" s="325"/>
      <c r="D29" s="325"/>
      <c r="E29" s="325"/>
      <c r="F29" s="325"/>
      <c r="G29" s="325"/>
      <c r="H29" s="325"/>
      <c r="I29" s="325"/>
      <c r="J29" s="325"/>
      <c r="K29" s="325"/>
      <c r="L29" s="325"/>
      <c r="M29" s="325"/>
      <c r="N29" s="167" t="s">
        <v>13</v>
      </c>
    </row>
    <row r="31" spans="1:14" ht="21" customHeight="1" x14ac:dyDescent="0.25">
      <c r="A31" s="326"/>
      <c r="B31" s="326"/>
      <c r="C31" s="326"/>
      <c r="D31" s="326"/>
      <c r="E31" s="326"/>
      <c r="F31" s="326"/>
      <c r="G31" s="326"/>
      <c r="H31" s="326"/>
      <c r="I31" s="326"/>
      <c r="J31" s="326"/>
      <c r="K31" s="169"/>
    </row>
    <row r="32" spans="1:14" ht="72.75" customHeight="1" x14ac:dyDescent="0.2">
      <c r="A32" s="327"/>
      <c r="B32" s="327"/>
      <c r="C32" s="327"/>
      <c r="D32" s="327"/>
      <c r="E32" s="327"/>
      <c r="F32" s="327"/>
      <c r="G32" s="327"/>
      <c r="H32" s="327"/>
      <c r="I32" s="327"/>
      <c r="J32" s="327"/>
      <c r="K32" s="170"/>
    </row>
    <row r="200" spans="1:1" x14ac:dyDescent="0.2">
      <c r="A200" s="166" t="s">
        <v>170</v>
      </c>
    </row>
    <row r="256" spans="1:1" ht="15.75" x14ac:dyDescent="0.25">
      <c r="A256" s="171" t="s">
        <v>171</v>
      </c>
    </row>
  </sheetData>
  <mergeCells count="3">
    <mergeCell ref="A29:M29"/>
    <mergeCell ref="A31:J31"/>
    <mergeCell ref="A32:J32"/>
  </mergeCells>
  <printOptions horizontalCentered="1"/>
  <pageMargins left="0.75" right="0.75" top="1" bottom="1" header="0.5" footer="0.5"/>
  <pageSetup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2"/>
  <sheetViews>
    <sheetView view="pageBreakPreview" topLeftCell="A16" zoomScale="80" zoomScaleNormal="100" zoomScaleSheetLayoutView="80" workbookViewId="0">
      <selection activeCell="R10" sqref="R10"/>
    </sheetView>
  </sheetViews>
  <sheetFormatPr defaultColWidth="9.140625" defaultRowHeight="14.25" x14ac:dyDescent="0.2"/>
  <cols>
    <col min="1" max="1" width="42" style="131" bestFit="1" customWidth="1"/>
    <col min="2" max="3" width="8.28515625" style="131" customWidth="1"/>
    <col min="4" max="4" width="12.7109375" style="131" customWidth="1"/>
    <col min="5" max="5" width="7.140625" style="131" hidden="1" customWidth="1"/>
    <col min="6" max="7" width="8.7109375" style="131" hidden="1" customWidth="1"/>
    <col min="8" max="8" width="7.140625" style="131" hidden="1" customWidth="1"/>
    <col min="9" max="10" width="8.7109375" style="131" hidden="1" customWidth="1"/>
    <col min="11" max="11" width="7.140625" style="131" customWidth="1"/>
    <col min="12" max="12" width="8.7109375" style="131" customWidth="1"/>
    <col min="13" max="13" width="8.7109375" style="131" bestFit="1" customWidth="1"/>
    <col min="14" max="15" width="8.28515625" style="131" customWidth="1"/>
    <col min="16" max="16" width="11.5703125" style="131" customWidth="1"/>
    <col min="17" max="17" width="11.28515625" style="131" bestFit="1" customWidth="1"/>
    <col min="18" max="18" width="12.7109375" style="131" customWidth="1"/>
    <col min="19" max="20" width="8.28515625" style="131" customWidth="1"/>
    <col min="21" max="21" width="11" style="131" bestFit="1" customWidth="1"/>
    <col min="22" max="22" width="14" style="173" bestFit="1" customWidth="1"/>
    <col min="23" max="23" width="4.5703125" style="131" customWidth="1"/>
    <col min="24" max="24" width="116.7109375" style="131" customWidth="1"/>
    <col min="25" max="26" width="8.28515625" style="131" customWidth="1"/>
    <col min="27" max="27" width="12.7109375" style="131" customWidth="1"/>
    <col min="28" max="29" width="8.28515625" style="131" customWidth="1"/>
    <col min="30" max="30" width="12.7109375" style="131" customWidth="1"/>
    <col min="31" max="16384" width="9.140625" style="131"/>
  </cols>
  <sheetData>
    <row r="1" spans="1:30" ht="18" x14ac:dyDescent="0.25">
      <c r="A1" s="330" t="s">
        <v>48</v>
      </c>
      <c r="B1" s="330"/>
      <c r="C1" s="330"/>
      <c r="D1" s="330"/>
      <c r="E1" s="330"/>
      <c r="F1" s="330"/>
      <c r="G1" s="330"/>
      <c r="H1" s="330"/>
      <c r="I1" s="330"/>
      <c r="J1" s="330"/>
      <c r="K1" s="330"/>
      <c r="L1" s="330"/>
      <c r="M1" s="330"/>
      <c r="N1" s="330"/>
      <c r="O1" s="330"/>
      <c r="P1" s="330"/>
      <c r="Q1" s="330"/>
      <c r="R1" s="330"/>
      <c r="S1" s="330"/>
      <c r="T1" s="330"/>
      <c r="U1" s="330"/>
      <c r="V1" s="176" t="s">
        <v>12</v>
      </c>
      <c r="W1" s="174"/>
      <c r="X1" s="311"/>
      <c r="Y1" s="174"/>
      <c r="Z1" s="174"/>
      <c r="AA1" s="174"/>
      <c r="AB1" s="174"/>
      <c r="AC1" s="174"/>
      <c r="AD1" s="174"/>
    </row>
    <row r="2" spans="1:30" ht="15" x14ac:dyDescent="0.2">
      <c r="A2" s="331" t="s">
        <v>175</v>
      </c>
      <c r="B2" s="331"/>
      <c r="C2" s="331"/>
      <c r="D2" s="331"/>
      <c r="E2" s="331"/>
      <c r="F2" s="331"/>
      <c r="G2" s="331"/>
      <c r="H2" s="331"/>
      <c r="I2" s="331"/>
      <c r="J2" s="331"/>
      <c r="K2" s="331"/>
      <c r="L2" s="331"/>
      <c r="M2" s="331"/>
      <c r="N2" s="331"/>
      <c r="O2" s="331"/>
      <c r="P2" s="331"/>
      <c r="Q2" s="331"/>
      <c r="R2" s="331"/>
      <c r="S2" s="331"/>
      <c r="T2" s="331"/>
      <c r="U2" s="331"/>
      <c r="V2" s="176" t="s">
        <v>12</v>
      </c>
      <c r="W2" s="175"/>
      <c r="X2" s="307"/>
      <c r="Y2" s="175"/>
      <c r="Z2" s="175"/>
      <c r="AA2" s="175"/>
      <c r="AB2" s="175"/>
      <c r="AC2" s="175"/>
      <c r="AD2" s="175"/>
    </row>
    <row r="3" spans="1:30" x14ac:dyDescent="0.2">
      <c r="A3" s="332" t="s">
        <v>1</v>
      </c>
      <c r="B3" s="332"/>
      <c r="C3" s="332"/>
      <c r="D3" s="332"/>
      <c r="E3" s="332"/>
      <c r="F3" s="332"/>
      <c r="G3" s="332"/>
      <c r="H3" s="332"/>
      <c r="I3" s="332"/>
      <c r="J3" s="332"/>
      <c r="K3" s="332"/>
      <c r="L3" s="332"/>
      <c r="M3" s="332"/>
      <c r="N3" s="332"/>
      <c r="O3" s="332"/>
      <c r="P3" s="332"/>
      <c r="Q3" s="332"/>
      <c r="R3" s="332"/>
      <c r="S3" s="332"/>
      <c r="T3" s="332"/>
      <c r="U3" s="332"/>
      <c r="V3" s="176" t="s">
        <v>12</v>
      </c>
      <c r="W3" s="152"/>
      <c r="X3" s="307"/>
      <c r="Y3" s="152"/>
      <c r="Z3" s="152"/>
      <c r="AA3" s="152"/>
      <c r="AB3" s="152"/>
      <c r="AC3" s="152"/>
      <c r="AD3" s="152"/>
    </row>
    <row r="4" spans="1:30" x14ac:dyDescent="0.2">
      <c r="A4" s="333" t="s">
        <v>2</v>
      </c>
      <c r="B4" s="333"/>
      <c r="C4" s="333"/>
      <c r="D4" s="333"/>
      <c r="E4" s="333"/>
      <c r="F4" s="333"/>
      <c r="G4" s="333"/>
      <c r="H4" s="333"/>
      <c r="I4" s="333"/>
      <c r="J4" s="333"/>
      <c r="K4" s="333"/>
      <c r="L4" s="333"/>
      <c r="M4" s="333"/>
      <c r="N4" s="333"/>
      <c r="O4" s="333"/>
      <c r="P4" s="333"/>
      <c r="Q4" s="333"/>
      <c r="R4" s="333"/>
      <c r="S4" s="333"/>
      <c r="T4" s="333"/>
      <c r="U4" s="333"/>
      <c r="V4" s="176" t="s">
        <v>12</v>
      </c>
      <c r="W4" s="151"/>
      <c r="X4" s="307"/>
      <c r="Y4" s="151"/>
      <c r="Z4" s="151"/>
      <c r="AA4" s="151"/>
      <c r="AB4" s="151"/>
      <c r="AC4" s="151"/>
      <c r="AD4" s="151"/>
    </row>
    <row r="5" spans="1:30" ht="15" x14ac:dyDescent="0.25">
      <c r="A5" s="151"/>
      <c r="B5" s="151"/>
      <c r="C5" s="151"/>
      <c r="D5" s="151"/>
      <c r="E5" s="151"/>
      <c r="F5" s="151"/>
      <c r="G5" s="151"/>
      <c r="H5" s="151"/>
      <c r="I5" s="151"/>
      <c r="J5" s="151"/>
      <c r="K5" s="151"/>
      <c r="L5" s="151"/>
      <c r="M5" s="151"/>
      <c r="N5" s="151"/>
      <c r="O5" s="151"/>
      <c r="P5" s="151"/>
      <c r="Q5" s="151"/>
      <c r="R5" s="151"/>
      <c r="S5" s="151"/>
      <c r="T5" s="151"/>
      <c r="U5" s="151"/>
      <c r="V5" s="176" t="s">
        <v>12</v>
      </c>
      <c r="W5" s="151"/>
      <c r="X5" s="309"/>
      <c r="Y5" s="151"/>
      <c r="Z5" s="151"/>
      <c r="AA5" s="151"/>
      <c r="AB5" s="151"/>
      <c r="AC5" s="151"/>
      <c r="AD5" s="151"/>
    </row>
    <row r="6" spans="1:30" ht="15" thickBot="1" x14ac:dyDescent="0.25">
      <c r="A6" s="221"/>
      <c r="B6" s="221"/>
      <c r="C6" s="221"/>
      <c r="D6" s="221"/>
      <c r="E6" s="221"/>
      <c r="F6" s="221"/>
      <c r="G6" s="221"/>
      <c r="H6" s="221"/>
      <c r="I6" s="221"/>
      <c r="J6" s="221"/>
      <c r="K6" s="221"/>
      <c r="L6" s="221"/>
      <c r="M6" s="221"/>
      <c r="N6" s="221"/>
      <c r="O6" s="221"/>
      <c r="P6" s="221"/>
      <c r="Q6" s="221"/>
      <c r="R6" s="221"/>
      <c r="S6" s="221"/>
      <c r="T6" s="221"/>
      <c r="U6" s="221"/>
      <c r="V6" s="176" t="s">
        <v>12</v>
      </c>
      <c r="W6" s="151"/>
      <c r="Y6" s="151"/>
      <c r="Z6" s="151"/>
      <c r="AA6" s="151"/>
      <c r="AB6" s="151"/>
      <c r="AC6" s="151"/>
      <c r="AD6" s="151"/>
    </row>
    <row r="7" spans="1:30" ht="33.75" customHeight="1" x14ac:dyDescent="0.25">
      <c r="A7" s="337" t="s">
        <v>105</v>
      </c>
      <c r="B7" s="339" t="s">
        <v>144</v>
      </c>
      <c r="C7" s="339"/>
      <c r="D7" s="339"/>
      <c r="E7" s="339" t="s">
        <v>155</v>
      </c>
      <c r="F7" s="387"/>
      <c r="G7" s="388"/>
      <c r="H7" s="339" t="s">
        <v>101</v>
      </c>
      <c r="I7" s="387"/>
      <c r="J7" s="388"/>
      <c r="K7" s="339" t="s">
        <v>138</v>
      </c>
      <c r="L7" s="387"/>
      <c r="M7" s="388"/>
      <c r="N7" s="339" t="s">
        <v>46</v>
      </c>
      <c r="O7" s="339"/>
      <c r="P7" s="339"/>
      <c r="Q7" s="220" t="s">
        <v>47</v>
      </c>
      <c r="R7" s="220" t="s">
        <v>108</v>
      </c>
      <c r="S7" s="339" t="s">
        <v>139</v>
      </c>
      <c r="T7" s="339"/>
      <c r="U7" s="340"/>
      <c r="V7" s="176" t="s">
        <v>12</v>
      </c>
      <c r="X7" s="5"/>
    </row>
    <row r="8" spans="1:30" ht="28.5" x14ac:dyDescent="0.25">
      <c r="A8" s="338"/>
      <c r="B8" s="195" t="s">
        <v>3</v>
      </c>
      <c r="C8" s="195" t="s">
        <v>99</v>
      </c>
      <c r="D8" s="195" t="s">
        <v>4</v>
      </c>
      <c r="E8" s="195" t="s">
        <v>3</v>
      </c>
      <c r="F8" s="195" t="s">
        <v>99</v>
      </c>
      <c r="G8" s="195" t="s">
        <v>4</v>
      </c>
      <c r="H8" s="195" t="s">
        <v>3</v>
      </c>
      <c r="I8" s="195" t="s">
        <v>99</v>
      </c>
      <c r="J8" s="195" t="s">
        <v>4</v>
      </c>
      <c r="K8" s="195" t="s">
        <v>3</v>
      </c>
      <c r="L8" s="195" t="s">
        <v>99</v>
      </c>
      <c r="M8" s="195" t="s">
        <v>4</v>
      </c>
      <c r="N8" s="195" t="s">
        <v>3</v>
      </c>
      <c r="O8" s="195" t="s">
        <v>99</v>
      </c>
      <c r="P8" s="195" t="s">
        <v>4</v>
      </c>
      <c r="Q8" s="195" t="s">
        <v>4</v>
      </c>
      <c r="R8" s="195" t="s">
        <v>4</v>
      </c>
      <c r="S8" s="195" t="s">
        <v>3</v>
      </c>
      <c r="T8" s="195" t="s">
        <v>99</v>
      </c>
      <c r="U8" s="201" t="s">
        <v>4</v>
      </c>
      <c r="V8" s="176" t="s">
        <v>12</v>
      </c>
      <c r="X8" s="5"/>
    </row>
    <row r="9" spans="1:30" x14ac:dyDescent="0.2">
      <c r="A9" s="222" t="s">
        <v>187</v>
      </c>
      <c r="B9" s="185">
        <v>2222</v>
      </c>
      <c r="C9" s="185">
        <v>2042</v>
      </c>
      <c r="D9" s="185">
        <f>431208+13066</f>
        <v>444274</v>
      </c>
      <c r="E9" s="185">
        <v>0</v>
      </c>
      <c r="F9" s="185">
        <v>0</v>
      </c>
      <c r="G9" s="185">
        <v>0</v>
      </c>
      <c r="H9" s="185">
        <v>0</v>
      </c>
      <c r="I9" s="185">
        <v>0</v>
      </c>
      <c r="J9" s="185">
        <v>0</v>
      </c>
      <c r="K9" s="185">
        <v>0</v>
      </c>
      <c r="L9" s="185">
        <v>0</v>
      </c>
      <c r="M9" s="185">
        <v>-13066</v>
      </c>
      <c r="N9" s="185">
        <v>0</v>
      </c>
      <c r="O9" s="185">
        <v>0</v>
      </c>
      <c r="P9" s="185">
        <v>19867</v>
      </c>
      <c r="Q9" s="185">
        <v>2917</v>
      </c>
      <c r="R9" s="185">
        <f>399+1527</f>
        <v>1926</v>
      </c>
      <c r="S9" s="185">
        <f t="shared" ref="S9:T13" si="0">B9+N9</f>
        <v>2222</v>
      </c>
      <c r="T9" s="185">
        <f t="shared" si="0"/>
        <v>2042</v>
      </c>
      <c r="U9" s="202">
        <f>D9+P9+Q9+R9+J9+M9+G9</f>
        <v>455918</v>
      </c>
      <c r="V9" s="176" t="s">
        <v>12</v>
      </c>
      <c r="X9" s="130"/>
    </row>
    <row r="10" spans="1:30" x14ac:dyDescent="0.2">
      <c r="A10" s="223" t="s">
        <v>188</v>
      </c>
      <c r="B10" s="142">
        <v>1744</v>
      </c>
      <c r="C10" s="142">
        <v>1602</v>
      </c>
      <c r="D10" s="142">
        <f>375812+10256</f>
        <v>386068</v>
      </c>
      <c r="E10" s="142">
        <v>0</v>
      </c>
      <c r="F10" s="142">
        <v>0</v>
      </c>
      <c r="G10" s="142">
        <v>0</v>
      </c>
      <c r="H10" s="142">
        <v>0</v>
      </c>
      <c r="I10" s="142">
        <v>0</v>
      </c>
      <c r="J10" s="142">
        <v>0</v>
      </c>
      <c r="K10" s="142">
        <v>0</v>
      </c>
      <c r="L10" s="142">
        <v>0</v>
      </c>
      <c r="M10" s="142">
        <v>-10256</v>
      </c>
      <c r="N10" s="142">
        <v>0</v>
      </c>
      <c r="O10" s="142">
        <v>0</v>
      </c>
      <c r="P10" s="142">
        <v>16991</v>
      </c>
      <c r="Q10" s="142">
        <v>3403</v>
      </c>
      <c r="R10" s="142">
        <f>117+1199</f>
        <v>1316</v>
      </c>
      <c r="S10" s="142">
        <f t="shared" si="0"/>
        <v>1744</v>
      </c>
      <c r="T10" s="142">
        <f t="shared" si="0"/>
        <v>1602</v>
      </c>
      <c r="U10" s="139">
        <f t="shared" ref="U10:U13" si="1">D10+P10+Q10+R10+J10+M10+G10</f>
        <v>397522</v>
      </c>
      <c r="V10" s="176" t="s">
        <v>12</v>
      </c>
      <c r="X10" s="130"/>
    </row>
    <row r="11" spans="1:30" x14ac:dyDescent="0.2">
      <c r="A11" s="223" t="s">
        <v>189</v>
      </c>
      <c r="B11" s="142">
        <v>1204</v>
      </c>
      <c r="C11" s="142">
        <v>1106</v>
      </c>
      <c r="D11" s="142">
        <f>236806+7080</f>
        <v>243886</v>
      </c>
      <c r="E11" s="142">
        <v>0</v>
      </c>
      <c r="F11" s="142">
        <v>0</v>
      </c>
      <c r="G11" s="142">
        <v>0</v>
      </c>
      <c r="H11" s="142">
        <v>0</v>
      </c>
      <c r="I11" s="142">
        <v>0</v>
      </c>
      <c r="J11" s="142">
        <v>0</v>
      </c>
      <c r="K11" s="142">
        <v>0</v>
      </c>
      <c r="L11" s="142">
        <v>0</v>
      </c>
      <c r="M11" s="142">
        <v>-7080</v>
      </c>
      <c r="N11" s="142">
        <v>0</v>
      </c>
      <c r="O11" s="142">
        <v>0</v>
      </c>
      <c r="P11" s="142">
        <v>10765</v>
      </c>
      <c r="Q11" s="142">
        <v>1581</v>
      </c>
      <c r="R11" s="142">
        <f>80+828</f>
        <v>908</v>
      </c>
      <c r="S11" s="142">
        <f t="shared" si="0"/>
        <v>1204</v>
      </c>
      <c r="T11" s="142">
        <f t="shared" si="0"/>
        <v>1106</v>
      </c>
      <c r="U11" s="139">
        <f t="shared" si="1"/>
        <v>250060</v>
      </c>
      <c r="V11" s="176" t="s">
        <v>12</v>
      </c>
      <c r="X11" s="130"/>
    </row>
    <row r="12" spans="1:30" x14ac:dyDescent="0.2">
      <c r="A12" s="223" t="s">
        <v>190</v>
      </c>
      <c r="B12" s="142">
        <v>207</v>
      </c>
      <c r="C12" s="142">
        <v>190</v>
      </c>
      <c r="D12" s="142">
        <f>32862+1217</f>
        <v>34079</v>
      </c>
      <c r="E12" s="142">
        <v>0</v>
      </c>
      <c r="F12" s="142">
        <v>0</v>
      </c>
      <c r="G12" s="142">
        <v>0</v>
      </c>
      <c r="H12" s="142">
        <v>0</v>
      </c>
      <c r="I12" s="142">
        <v>0</v>
      </c>
      <c r="J12" s="142">
        <v>0</v>
      </c>
      <c r="K12" s="142">
        <v>0</v>
      </c>
      <c r="L12" s="142">
        <v>0</v>
      </c>
      <c r="M12" s="142">
        <v>-1217</v>
      </c>
      <c r="N12" s="142">
        <v>0</v>
      </c>
      <c r="O12" s="142">
        <v>0</v>
      </c>
      <c r="P12" s="142">
        <v>1851</v>
      </c>
      <c r="Q12" s="142">
        <v>272</v>
      </c>
      <c r="R12" s="142">
        <f>14+142</f>
        <v>156</v>
      </c>
      <c r="S12" s="142">
        <f t="shared" si="0"/>
        <v>207</v>
      </c>
      <c r="T12" s="142">
        <f t="shared" si="0"/>
        <v>190</v>
      </c>
      <c r="U12" s="139">
        <f t="shared" si="1"/>
        <v>35141</v>
      </c>
      <c r="V12" s="176" t="s">
        <v>12</v>
      </c>
      <c r="X12" s="130"/>
    </row>
    <row r="13" spans="1:30" x14ac:dyDescent="0.2">
      <c r="A13" s="224" t="s">
        <v>191</v>
      </c>
      <c r="B13" s="225">
        <v>177</v>
      </c>
      <c r="C13" s="225">
        <v>163</v>
      </c>
      <c r="D13" s="225">
        <f>35381+4843</f>
        <v>40224</v>
      </c>
      <c r="E13" s="225">
        <v>0</v>
      </c>
      <c r="F13" s="225">
        <v>0</v>
      </c>
      <c r="G13" s="225">
        <v>0</v>
      </c>
      <c r="H13" s="225">
        <v>0</v>
      </c>
      <c r="I13" s="225">
        <v>0</v>
      </c>
      <c r="J13" s="225">
        <v>0</v>
      </c>
      <c r="K13" s="225">
        <v>0</v>
      </c>
      <c r="L13" s="225">
        <v>0</v>
      </c>
      <c r="M13" s="225">
        <v>-4843</v>
      </c>
      <c r="N13" s="225">
        <v>0</v>
      </c>
      <c r="O13" s="225">
        <v>0</v>
      </c>
      <c r="P13" s="225">
        <v>5385</v>
      </c>
      <c r="Q13" s="225">
        <v>232</v>
      </c>
      <c r="R13" s="225">
        <f>12+122</f>
        <v>134</v>
      </c>
      <c r="S13" s="225">
        <f t="shared" si="0"/>
        <v>177</v>
      </c>
      <c r="T13" s="142">
        <f t="shared" si="0"/>
        <v>163</v>
      </c>
      <c r="U13" s="226">
        <f t="shared" si="1"/>
        <v>41132</v>
      </c>
      <c r="V13" s="176" t="s">
        <v>12</v>
      </c>
    </row>
    <row r="14" spans="1:30" ht="15" x14ac:dyDescent="0.25">
      <c r="A14" s="13" t="s">
        <v>102</v>
      </c>
      <c r="B14" s="114">
        <f>SUM(B9:B13)</f>
        <v>5554</v>
      </c>
      <c r="C14" s="114">
        <f t="shared" ref="C14:T14" si="2">SUM(C9:C13)</f>
        <v>5103</v>
      </c>
      <c r="D14" s="114">
        <f t="shared" si="2"/>
        <v>1148531</v>
      </c>
      <c r="E14" s="114">
        <f>SUM(E9:E13)</f>
        <v>0</v>
      </c>
      <c r="F14" s="114">
        <f t="shared" ref="F14:G14" si="3">SUM(F9:F13)</f>
        <v>0</v>
      </c>
      <c r="G14" s="114">
        <f t="shared" si="3"/>
        <v>0</v>
      </c>
      <c r="H14" s="114">
        <f>SUM(H9:H13)</f>
        <v>0</v>
      </c>
      <c r="I14" s="114">
        <f t="shared" ref="I14:J14" si="4">SUM(I9:I13)</f>
        <v>0</v>
      </c>
      <c r="J14" s="114">
        <f t="shared" si="4"/>
        <v>0</v>
      </c>
      <c r="K14" s="114">
        <f>SUM(K9:K13)</f>
        <v>0</v>
      </c>
      <c r="L14" s="114">
        <f t="shared" ref="L14:M14" si="5">SUM(L9:L13)</f>
        <v>0</v>
      </c>
      <c r="M14" s="114">
        <f t="shared" si="5"/>
        <v>-36462</v>
      </c>
      <c r="N14" s="114">
        <f t="shared" si="2"/>
        <v>0</v>
      </c>
      <c r="O14" s="114">
        <f t="shared" si="2"/>
        <v>0</v>
      </c>
      <c r="P14" s="114">
        <f t="shared" si="2"/>
        <v>54859</v>
      </c>
      <c r="Q14" s="114">
        <f>SUM(Q9:Q13)</f>
        <v>8405</v>
      </c>
      <c r="R14" s="114">
        <f>SUM(R9:R13)</f>
        <v>4440</v>
      </c>
      <c r="S14" s="114">
        <f t="shared" si="2"/>
        <v>5554</v>
      </c>
      <c r="T14" s="114">
        <f t="shared" si="2"/>
        <v>5103</v>
      </c>
      <c r="U14" s="115">
        <f>SUM(U9:U13)</f>
        <v>1179773</v>
      </c>
      <c r="V14" s="176" t="s">
        <v>12</v>
      </c>
      <c r="X14" s="5"/>
    </row>
    <row r="15" spans="1:30" x14ac:dyDescent="0.2">
      <c r="A15" s="227" t="s">
        <v>15</v>
      </c>
      <c r="B15" s="193"/>
      <c r="C15" s="193">
        <v>340</v>
      </c>
      <c r="D15" s="193"/>
      <c r="E15" s="193"/>
      <c r="F15" s="193">
        <v>0</v>
      </c>
      <c r="G15" s="193"/>
      <c r="H15" s="193"/>
      <c r="I15" s="193">
        <v>0</v>
      </c>
      <c r="J15" s="193"/>
      <c r="K15" s="193"/>
      <c r="L15" s="193">
        <v>0</v>
      </c>
      <c r="M15" s="193"/>
      <c r="N15" s="193"/>
      <c r="O15" s="193">
        <v>0</v>
      </c>
      <c r="P15" s="193"/>
      <c r="Q15" s="193"/>
      <c r="R15" s="193"/>
      <c r="S15" s="193"/>
      <c r="T15" s="193">
        <f>C15+O15+I15</f>
        <v>340</v>
      </c>
      <c r="U15" s="228"/>
      <c r="V15" s="176" t="s">
        <v>12</v>
      </c>
    </row>
    <row r="16" spans="1:30" ht="15" x14ac:dyDescent="0.25">
      <c r="A16" s="223" t="s">
        <v>103</v>
      </c>
      <c r="B16" s="142"/>
      <c r="C16" s="142">
        <f>C14+C15</f>
        <v>5443</v>
      </c>
      <c r="D16" s="142"/>
      <c r="E16" s="142"/>
      <c r="F16" s="142">
        <f>F14+F15</f>
        <v>0</v>
      </c>
      <c r="G16" s="142"/>
      <c r="H16" s="142"/>
      <c r="I16" s="142">
        <f>I14+I15</f>
        <v>0</v>
      </c>
      <c r="J16" s="142"/>
      <c r="K16" s="142"/>
      <c r="L16" s="142">
        <f>L14+L15</f>
        <v>0</v>
      </c>
      <c r="M16" s="142"/>
      <c r="N16" s="142"/>
      <c r="O16" s="142">
        <f>O14+O15</f>
        <v>0</v>
      </c>
      <c r="P16" s="142"/>
      <c r="Q16" s="142"/>
      <c r="R16" s="142"/>
      <c r="S16" s="142"/>
      <c r="T16" s="193">
        <f>T14+T15</f>
        <v>5443</v>
      </c>
      <c r="U16" s="139"/>
      <c r="V16" s="176" t="s">
        <v>12</v>
      </c>
      <c r="X16" s="18"/>
    </row>
    <row r="17" spans="1:22" x14ac:dyDescent="0.2">
      <c r="A17" s="223"/>
      <c r="B17" s="142"/>
      <c r="C17" s="142"/>
      <c r="D17" s="142"/>
      <c r="E17" s="142"/>
      <c r="F17" s="142"/>
      <c r="G17" s="142"/>
      <c r="H17" s="142"/>
      <c r="I17" s="142"/>
      <c r="J17" s="142"/>
      <c r="K17" s="142"/>
      <c r="L17" s="142"/>
      <c r="M17" s="142"/>
      <c r="N17" s="142"/>
      <c r="O17" s="142"/>
      <c r="P17" s="142"/>
      <c r="Q17" s="142"/>
      <c r="R17" s="142"/>
      <c r="S17" s="142"/>
      <c r="T17" s="142"/>
      <c r="U17" s="139"/>
      <c r="V17" s="176" t="s">
        <v>12</v>
      </c>
    </row>
    <row r="18" spans="1:22" x14ac:dyDescent="0.2">
      <c r="A18" s="223" t="s">
        <v>16</v>
      </c>
      <c r="B18" s="142"/>
      <c r="C18" s="142"/>
      <c r="D18" s="142"/>
      <c r="E18" s="142"/>
      <c r="F18" s="142"/>
      <c r="G18" s="142"/>
      <c r="H18" s="142"/>
      <c r="I18" s="142"/>
      <c r="J18" s="142"/>
      <c r="K18" s="142"/>
      <c r="L18" s="142"/>
      <c r="M18" s="142"/>
      <c r="N18" s="142"/>
      <c r="O18" s="142"/>
      <c r="P18" s="142"/>
      <c r="Q18" s="142"/>
      <c r="R18" s="142"/>
      <c r="S18" s="142"/>
      <c r="T18" s="142"/>
      <c r="U18" s="139"/>
      <c r="V18" s="176" t="s">
        <v>12</v>
      </c>
    </row>
    <row r="19" spans="1:22" x14ac:dyDescent="0.2">
      <c r="A19" s="229" t="s">
        <v>17</v>
      </c>
      <c r="B19" s="142"/>
      <c r="C19" s="142">
        <v>774</v>
      </c>
      <c r="D19" s="142"/>
      <c r="E19" s="142"/>
      <c r="F19" s="142">
        <v>0</v>
      </c>
      <c r="G19" s="142"/>
      <c r="H19" s="142"/>
      <c r="I19" s="142">
        <v>0</v>
      </c>
      <c r="J19" s="142"/>
      <c r="K19" s="142"/>
      <c r="L19" s="142">
        <v>0</v>
      </c>
      <c r="M19" s="142"/>
      <c r="N19" s="142"/>
      <c r="O19" s="142">
        <v>0</v>
      </c>
      <c r="P19" s="142"/>
      <c r="Q19" s="142"/>
      <c r="R19" s="142"/>
      <c r="S19" s="142"/>
      <c r="T19" s="142">
        <f>C19+O19+I19</f>
        <v>774</v>
      </c>
      <c r="U19" s="139"/>
      <c r="V19" s="176" t="s">
        <v>12</v>
      </c>
    </row>
    <row r="20" spans="1:22" x14ac:dyDescent="0.2">
      <c r="A20" s="230" t="s">
        <v>18</v>
      </c>
      <c r="B20" s="231"/>
      <c r="C20" s="231">
        <v>62</v>
      </c>
      <c r="D20" s="231"/>
      <c r="E20" s="231"/>
      <c r="F20" s="231">
        <v>0</v>
      </c>
      <c r="G20" s="231"/>
      <c r="H20" s="231"/>
      <c r="I20" s="231">
        <v>0</v>
      </c>
      <c r="J20" s="231"/>
      <c r="K20" s="231"/>
      <c r="L20" s="231">
        <v>0</v>
      </c>
      <c r="M20" s="231"/>
      <c r="N20" s="231"/>
      <c r="O20" s="231">
        <v>0</v>
      </c>
      <c r="P20" s="231"/>
      <c r="Q20" s="231"/>
      <c r="R20" s="231"/>
      <c r="S20" s="231"/>
      <c r="T20" s="142">
        <f>C20+O20+I19</f>
        <v>62</v>
      </c>
      <c r="U20" s="232"/>
      <c r="V20" s="176" t="s">
        <v>12</v>
      </c>
    </row>
    <row r="21" spans="1:22" ht="15" thickBot="1" x14ac:dyDescent="0.25">
      <c r="A21" s="233" t="s">
        <v>104</v>
      </c>
      <c r="B21" s="234"/>
      <c r="C21" s="234">
        <f>C16+C19+C20</f>
        <v>6279</v>
      </c>
      <c r="D21" s="234"/>
      <c r="E21" s="234"/>
      <c r="F21" s="234">
        <f>F16+F19+F20</f>
        <v>0</v>
      </c>
      <c r="G21" s="234"/>
      <c r="H21" s="234"/>
      <c r="I21" s="234">
        <f>I16+I19+I20</f>
        <v>0</v>
      </c>
      <c r="J21" s="234"/>
      <c r="K21" s="234"/>
      <c r="L21" s="234">
        <f>L16+L19+L20</f>
        <v>0</v>
      </c>
      <c r="M21" s="234"/>
      <c r="N21" s="234"/>
      <c r="O21" s="234">
        <f>O16+O19+O20</f>
        <v>0</v>
      </c>
      <c r="P21" s="234"/>
      <c r="Q21" s="234"/>
      <c r="R21" s="234"/>
      <c r="S21" s="234"/>
      <c r="T21" s="234">
        <f>SUM(T16,T19:T20)</f>
        <v>6279</v>
      </c>
      <c r="U21" s="235"/>
      <c r="V21" s="176" t="s">
        <v>12</v>
      </c>
    </row>
    <row r="22" spans="1:22" ht="15" x14ac:dyDescent="0.25">
      <c r="A22" s="156" t="s">
        <v>145</v>
      </c>
      <c r="B22" s="236"/>
      <c r="C22" s="236"/>
      <c r="D22" s="236"/>
      <c r="E22" s="236"/>
      <c r="F22" s="236"/>
      <c r="G22" s="236"/>
      <c r="H22" s="236"/>
      <c r="I22" s="236"/>
      <c r="J22" s="236"/>
      <c r="K22" s="236"/>
      <c r="L22" s="236"/>
      <c r="M22" s="236"/>
      <c r="N22" s="236"/>
      <c r="O22" s="236"/>
      <c r="P22" s="236"/>
      <c r="Q22" s="236"/>
      <c r="R22" s="236"/>
      <c r="S22" s="236"/>
      <c r="T22" s="236"/>
      <c r="U22" s="236"/>
      <c r="V22" s="176" t="s">
        <v>12</v>
      </c>
    </row>
    <row r="23" spans="1:22" x14ac:dyDescent="0.2">
      <c r="A23" s="384" t="s">
        <v>156</v>
      </c>
      <c r="B23" s="384"/>
      <c r="C23" s="384"/>
      <c r="D23" s="384"/>
      <c r="E23" s="384"/>
      <c r="F23" s="384"/>
      <c r="G23" s="384"/>
      <c r="H23" s="384"/>
      <c r="I23" s="384"/>
      <c r="J23" s="384"/>
      <c r="K23" s="384"/>
      <c r="L23" s="384"/>
      <c r="M23" s="384"/>
      <c r="N23" s="384"/>
      <c r="O23" s="384"/>
      <c r="P23" s="384"/>
      <c r="Q23" s="384"/>
      <c r="R23" s="384"/>
      <c r="S23" s="384"/>
      <c r="T23" s="384"/>
      <c r="U23" s="384"/>
      <c r="V23" s="176" t="s">
        <v>12</v>
      </c>
    </row>
    <row r="24" spans="1:22" x14ac:dyDescent="0.2">
      <c r="V24" s="176" t="s">
        <v>12</v>
      </c>
    </row>
    <row r="25" spans="1:22" ht="15" x14ac:dyDescent="0.25">
      <c r="A25" s="5" t="s">
        <v>46</v>
      </c>
      <c r="V25" s="176" t="s">
        <v>12</v>
      </c>
    </row>
    <row r="26" spans="1:22" ht="44.45" customHeight="1" x14ac:dyDescent="0.2">
      <c r="A26" s="385" t="s">
        <v>200</v>
      </c>
      <c r="B26" s="385"/>
      <c r="C26" s="385"/>
      <c r="D26" s="385"/>
      <c r="E26" s="385"/>
      <c r="F26" s="385"/>
      <c r="G26" s="385"/>
      <c r="H26" s="385"/>
      <c r="I26" s="385"/>
      <c r="J26" s="385"/>
      <c r="K26" s="385"/>
      <c r="L26" s="385"/>
      <c r="M26" s="385"/>
      <c r="N26" s="385"/>
      <c r="O26" s="385"/>
      <c r="P26" s="385"/>
      <c r="Q26" s="385"/>
      <c r="R26" s="385"/>
      <c r="S26" s="385"/>
      <c r="T26" s="385"/>
      <c r="U26" s="385"/>
      <c r="V26" s="176" t="s">
        <v>12</v>
      </c>
    </row>
    <row r="27" spans="1:22" x14ac:dyDescent="0.2">
      <c r="A27" s="386"/>
      <c r="B27" s="386"/>
      <c r="C27" s="386"/>
      <c r="D27" s="386"/>
      <c r="E27" s="386"/>
      <c r="F27" s="386"/>
      <c r="G27" s="386"/>
      <c r="H27" s="386"/>
      <c r="I27" s="386"/>
      <c r="J27" s="386"/>
      <c r="K27" s="386"/>
      <c r="L27" s="386"/>
      <c r="M27" s="386"/>
      <c r="N27" s="386"/>
      <c r="O27" s="386"/>
      <c r="P27" s="386"/>
      <c r="Q27" s="386"/>
      <c r="R27" s="386"/>
      <c r="S27" s="386"/>
      <c r="T27" s="386"/>
      <c r="U27" s="386"/>
      <c r="V27" s="176" t="s">
        <v>12</v>
      </c>
    </row>
    <row r="28" spans="1:22" ht="15" x14ac:dyDescent="0.25">
      <c r="A28" s="5" t="s">
        <v>118</v>
      </c>
      <c r="V28" s="176" t="s">
        <v>12</v>
      </c>
    </row>
    <row r="29" spans="1:22" x14ac:dyDescent="0.2">
      <c r="A29" s="385" t="s">
        <v>201</v>
      </c>
      <c r="B29" s="385"/>
      <c r="C29" s="385"/>
      <c r="D29" s="385"/>
      <c r="E29" s="385"/>
      <c r="F29" s="385"/>
      <c r="G29" s="385"/>
      <c r="H29" s="385"/>
      <c r="I29" s="385"/>
      <c r="J29" s="385"/>
      <c r="K29" s="385"/>
      <c r="L29" s="385"/>
      <c r="M29" s="385"/>
      <c r="N29" s="385"/>
      <c r="O29" s="385"/>
      <c r="P29" s="385"/>
      <c r="Q29" s="385"/>
      <c r="R29" s="385"/>
      <c r="S29" s="385"/>
      <c r="T29" s="385"/>
      <c r="U29" s="385"/>
      <c r="V29" s="176" t="s">
        <v>12</v>
      </c>
    </row>
    <row r="30" spans="1:22" x14ac:dyDescent="0.2">
      <c r="A30" s="386"/>
      <c r="B30" s="386"/>
      <c r="C30" s="386"/>
      <c r="D30" s="386"/>
      <c r="E30" s="386"/>
      <c r="F30" s="386"/>
      <c r="G30" s="386"/>
      <c r="H30" s="386"/>
      <c r="I30" s="386"/>
      <c r="J30" s="386"/>
      <c r="K30" s="386"/>
      <c r="L30" s="386"/>
      <c r="M30" s="386"/>
      <c r="N30" s="386"/>
      <c r="O30" s="386"/>
      <c r="P30" s="386"/>
      <c r="Q30" s="386"/>
      <c r="R30" s="386"/>
      <c r="S30" s="386"/>
      <c r="T30" s="386"/>
      <c r="U30" s="386"/>
      <c r="V30" s="176" t="s">
        <v>12</v>
      </c>
    </row>
    <row r="31" spans="1:22" ht="15" x14ac:dyDescent="0.25">
      <c r="A31" s="5" t="s">
        <v>119</v>
      </c>
      <c r="V31" s="176" t="s">
        <v>12</v>
      </c>
    </row>
    <row r="32" spans="1:22" ht="30.6" customHeight="1" x14ac:dyDescent="0.25">
      <c r="A32" s="385" t="s">
        <v>204</v>
      </c>
      <c r="B32" s="385"/>
      <c r="C32" s="385"/>
      <c r="D32" s="385"/>
      <c r="E32" s="385"/>
      <c r="F32" s="385"/>
      <c r="G32" s="385"/>
      <c r="H32" s="385"/>
      <c r="I32" s="385"/>
      <c r="J32" s="385"/>
      <c r="K32" s="385"/>
      <c r="L32" s="385"/>
      <c r="M32" s="385"/>
      <c r="N32" s="385"/>
      <c r="O32" s="385"/>
      <c r="P32" s="385"/>
      <c r="Q32" s="385"/>
      <c r="R32" s="385"/>
      <c r="S32" s="385"/>
      <c r="T32" s="385"/>
      <c r="U32" s="385"/>
      <c r="V32" s="176" t="s">
        <v>12</v>
      </c>
    </row>
    <row r="33" spans="1:22" ht="13.9" x14ac:dyDescent="0.25">
      <c r="A33" s="386"/>
      <c r="B33" s="386"/>
      <c r="C33" s="386"/>
      <c r="D33" s="386"/>
      <c r="E33" s="386"/>
      <c r="F33" s="386"/>
      <c r="G33" s="386"/>
      <c r="H33" s="386"/>
      <c r="I33" s="386"/>
      <c r="J33" s="386"/>
      <c r="K33" s="386"/>
      <c r="L33" s="386"/>
      <c r="M33" s="386"/>
      <c r="N33" s="386"/>
      <c r="O33" s="386"/>
      <c r="P33" s="386"/>
      <c r="Q33" s="386"/>
      <c r="R33" s="386"/>
      <c r="S33" s="386"/>
      <c r="T33" s="386"/>
      <c r="U33" s="386"/>
      <c r="V33" s="176" t="s">
        <v>12</v>
      </c>
    </row>
    <row r="34" spans="1:22" ht="13.9" x14ac:dyDescent="0.25">
      <c r="V34" s="176" t="s">
        <v>12</v>
      </c>
    </row>
    <row r="35" spans="1:22" ht="17.45" x14ac:dyDescent="0.3">
      <c r="A35" s="330" t="s">
        <v>48</v>
      </c>
      <c r="B35" s="330"/>
      <c r="C35" s="330"/>
      <c r="D35" s="330"/>
      <c r="E35" s="330"/>
      <c r="F35" s="330"/>
      <c r="G35" s="330"/>
      <c r="H35" s="330"/>
      <c r="I35" s="330"/>
      <c r="J35" s="330"/>
      <c r="K35" s="330"/>
      <c r="L35" s="330"/>
      <c r="M35" s="330"/>
      <c r="N35" s="330"/>
      <c r="O35" s="330"/>
      <c r="P35" s="330"/>
      <c r="Q35" s="330"/>
      <c r="R35" s="330"/>
      <c r="S35" s="330"/>
      <c r="T35" s="330"/>
      <c r="U35" s="330"/>
      <c r="V35" s="176" t="s">
        <v>12</v>
      </c>
    </row>
    <row r="36" spans="1:22" ht="15" x14ac:dyDescent="0.25">
      <c r="A36" s="331" t="s">
        <v>175</v>
      </c>
      <c r="B36" s="331"/>
      <c r="C36" s="331"/>
      <c r="D36" s="331"/>
      <c r="E36" s="331"/>
      <c r="F36" s="331"/>
      <c r="G36" s="331"/>
      <c r="H36" s="331"/>
      <c r="I36" s="331"/>
      <c r="J36" s="331"/>
      <c r="K36" s="331"/>
      <c r="L36" s="331"/>
      <c r="M36" s="331"/>
      <c r="N36" s="331"/>
      <c r="O36" s="331"/>
      <c r="P36" s="331"/>
      <c r="Q36" s="331"/>
      <c r="R36" s="331"/>
      <c r="S36" s="331"/>
      <c r="T36" s="331"/>
      <c r="U36" s="331"/>
      <c r="V36" s="176" t="s">
        <v>12</v>
      </c>
    </row>
    <row r="37" spans="1:22" ht="13.9" x14ac:dyDescent="0.25">
      <c r="A37" s="332" t="s">
        <v>176</v>
      </c>
      <c r="B37" s="332"/>
      <c r="C37" s="332"/>
      <c r="D37" s="332"/>
      <c r="E37" s="332"/>
      <c r="F37" s="332"/>
      <c r="G37" s="332"/>
      <c r="H37" s="332"/>
      <c r="I37" s="332"/>
      <c r="J37" s="332"/>
      <c r="K37" s="332"/>
      <c r="L37" s="332"/>
      <c r="M37" s="332"/>
      <c r="N37" s="332"/>
      <c r="O37" s="332"/>
      <c r="P37" s="332"/>
      <c r="Q37" s="332"/>
      <c r="R37" s="332"/>
      <c r="S37" s="332"/>
      <c r="T37" s="332"/>
      <c r="U37" s="332"/>
      <c r="V37" s="176" t="s">
        <v>12</v>
      </c>
    </row>
    <row r="38" spans="1:22" ht="13.9" x14ac:dyDescent="0.25">
      <c r="A38" s="333" t="s">
        <v>2</v>
      </c>
      <c r="B38" s="333"/>
      <c r="C38" s="333"/>
      <c r="D38" s="333"/>
      <c r="E38" s="333"/>
      <c r="F38" s="333"/>
      <c r="G38" s="333"/>
      <c r="H38" s="333"/>
      <c r="I38" s="333"/>
      <c r="J38" s="333"/>
      <c r="K38" s="333"/>
      <c r="L38" s="333"/>
      <c r="M38" s="333"/>
      <c r="N38" s="333"/>
      <c r="O38" s="333"/>
      <c r="P38" s="333"/>
      <c r="Q38" s="333"/>
      <c r="R38" s="333"/>
      <c r="S38" s="333"/>
      <c r="T38" s="333"/>
      <c r="U38" s="333"/>
      <c r="V38" s="176" t="s">
        <v>12</v>
      </c>
    </row>
    <row r="39" spans="1:22" ht="13.9" x14ac:dyDescent="0.25">
      <c r="A39" s="151"/>
      <c r="B39" s="151"/>
      <c r="C39" s="151"/>
      <c r="D39" s="151"/>
      <c r="E39" s="151"/>
      <c r="F39" s="151"/>
      <c r="G39" s="151"/>
      <c r="H39" s="151"/>
      <c r="I39" s="151"/>
      <c r="J39" s="151"/>
      <c r="K39" s="151"/>
      <c r="L39" s="151"/>
      <c r="M39" s="151"/>
      <c r="N39" s="151"/>
      <c r="O39" s="151"/>
      <c r="P39" s="151"/>
      <c r="Q39" s="151"/>
      <c r="R39" s="151"/>
      <c r="S39" s="151"/>
      <c r="T39" s="151"/>
      <c r="U39" s="151"/>
      <c r="V39" s="176" t="s">
        <v>12</v>
      </c>
    </row>
    <row r="40" spans="1:22" ht="14.45" thickBot="1" x14ac:dyDescent="0.3">
      <c r="A40" s="221"/>
      <c r="B40" s="221"/>
      <c r="C40" s="221"/>
      <c r="D40" s="221"/>
      <c r="E40" s="221"/>
      <c r="F40" s="221"/>
      <c r="G40" s="221"/>
      <c r="H40" s="221"/>
      <c r="I40" s="221"/>
      <c r="J40" s="221"/>
      <c r="K40" s="221"/>
      <c r="L40" s="221"/>
      <c r="M40" s="221"/>
      <c r="N40" s="221"/>
      <c r="O40" s="221"/>
      <c r="P40" s="221"/>
      <c r="Q40" s="221"/>
      <c r="R40" s="221"/>
      <c r="S40" s="221"/>
      <c r="T40" s="221"/>
      <c r="U40" s="221"/>
      <c r="V40" s="176" t="s">
        <v>12</v>
      </c>
    </row>
    <row r="41" spans="1:22" ht="30" x14ac:dyDescent="0.2">
      <c r="A41" s="337" t="s">
        <v>105</v>
      </c>
      <c r="B41" s="339" t="s">
        <v>144</v>
      </c>
      <c r="C41" s="339"/>
      <c r="D41" s="339"/>
      <c r="E41" s="339" t="s">
        <v>155</v>
      </c>
      <c r="F41" s="387"/>
      <c r="G41" s="388"/>
      <c r="H41" s="339" t="s">
        <v>101</v>
      </c>
      <c r="I41" s="387"/>
      <c r="J41" s="388"/>
      <c r="K41" s="339" t="s">
        <v>138</v>
      </c>
      <c r="L41" s="387"/>
      <c r="M41" s="388"/>
      <c r="N41" s="339" t="s">
        <v>46</v>
      </c>
      <c r="O41" s="339"/>
      <c r="P41" s="339"/>
      <c r="Q41" s="220" t="s">
        <v>47</v>
      </c>
      <c r="R41" s="220" t="s">
        <v>108</v>
      </c>
      <c r="S41" s="339" t="s">
        <v>139</v>
      </c>
      <c r="T41" s="339"/>
      <c r="U41" s="340"/>
      <c r="V41" s="176" t="s">
        <v>12</v>
      </c>
    </row>
    <row r="42" spans="1:22" ht="28.5" x14ac:dyDescent="0.2">
      <c r="A42" s="338"/>
      <c r="B42" s="195" t="s">
        <v>3</v>
      </c>
      <c r="C42" s="195" t="s">
        <v>99</v>
      </c>
      <c r="D42" s="195" t="s">
        <v>4</v>
      </c>
      <c r="E42" s="195" t="s">
        <v>3</v>
      </c>
      <c r="F42" s="195" t="s">
        <v>99</v>
      </c>
      <c r="G42" s="195" t="s">
        <v>4</v>
      </c>
      <c r="H42" s="195" t="s">
        <v>3</v>
      </c>
      <c r="I42" s="195" t="s">
        <v>99</v>
      </c>
      <c r="J42" s="195" t="s">
        <v>4</v>
      </c>
      <c r="K42" s="195" t="s">
        <v>3</v>
      </c>
      <c r="L42" s="195" t="s">
        <v>99</v>
      </c>
      <c r="M42" s="195" t="s">
        <v>4</v>
      </c>
      <c r="N42" s="195" t="s">
        <v>3</v>
      </c>
      <c r="O42" s="195" t="s">
        <v>99</v>
      </c>
      <c r="P42" s="195" t="s">
        <v>4</v>
      </c>
      <c r="Q42" s="195" t="s">
        <v>4</v>
      </c>
      <c r="R42" s="195" t="s">
        <v>4</v>
      </c>
      <c r="S42" s="195" t="s">
        <v>3</v>
      </c>
      <c r="T42" s="195" t="s">
        <v>99</v>
      </c>
      <c r="U42" s="201" t="s">
        <v>4</v>
      </c>
      <c r="V42" s="176" t="s">
        <v>12</v>
      </c>
    </row>
    <row r="43" spans="1:22" ht="13.9" x14ac:dyDescent="0.25">
      <c r="A43" s="222" t="s">
        <v>176</v>
      </c>
      <c r="B43" s="185">
        <v>0</v>
      </c>
      <c r="C43" s="185">
        <v>0</v>
      </c>
      <c r="D43" s="185">
        <v>9793</v>
      </c>
      <c r="E43" s="185">
        <v>0</v>
      </c>
      <c r="F43" s="185">
        <v>0</v>
      </c>
      <c r="G43" s="185">
        <v>0</v>
      </c>
      <c r="H43" s="185">
        <v>0</v>
      </c>
      <c r="I43" s="185">
        <v>0</v>
      </c>
      <c r="J43" s="185">
        <v>0</v>
      </c>
      <c r="K43" s="185">
        <v>0</v>
      </c>
      <c r="L43" s="185">
        <v>0</v>
      </c>
      <c r="M43" s="185">
        <v>0</v>
      </c>
      <c r="N43" s="185">
        <v>0</v>
      </c>
      <c r="O43" s="185">
        <v>0</v>
      </c>
      <c r="P43" s="185">
        <v>0</v>
      </c>
      <c r="Q43" s="185">
        <v>930</v>
      </c>
      <c r="R43" s="185">
        <v>581</v>
      </c>
      <c r="S43" s="185">
        <f t="shared" ref="S43:T43" si="6">B43+N43</f>
        <v>0</v>
      </c>
      <c r="T43" s="185">
        <f t="shared" si="6"/>
        <v>0</v>
      </c>
      <c r="U43" s="202">
        <f>D43+P43+Q43+R43+J43+M43+G43</f>
        <v>11304</v>
      </c>
      <c r="V43" s="176" t="s">
        <v>12</v>
      </c>
    </row>
    <row r="44" spans="1:22" ht="13.9" x14ac:dyDescent="0.25">
      <c r="A44" s="13" t="s">
        <v>102</v>
      </c>
      <c r="B44" s="114">
        <f t="shared" ref="B44:U44" si="7">SUM(B43:B43)</f>
        <v>0</v>
      </c>
      <c r="C44" s="114">
        <f t="shared" si="7"/>
        <v>0</v>
      </c>
      <c r="D44" s="114">
        <f t="shared" si="7"/>
        <v>9793</v>
      </c>
      <c r="E44" s="114">
        <f t="shared" si="7"/>
        <v>0</v>
      </c>
      <c r="F44" s="114">
        <f t="shared" si="7"/>
        <v>0</v>
      </c>
      <c r="G44" s="114">
        <f t="shared" si="7"/>
        <v>0</v>
      </c>
      <c r="H44" s="114">
        <f t="shared" si="7"/>
        <v>0</v>
      </c>
      <c r="I44" s="114">
        <f t="shared" si="7"/>
        <v>0</v>
      </c>
      <c r="J44" s="114">
        <f t="shared" si="7"/>
        <v>0</v>
      </c>
      <c r="K44" s="114">
        <f t="shared" si="7"/>
        <v>0</v>
      </c>
      <c r="L44" s="114">
        <f t="shared" si="7"/>
        <v>0</v>
      </c>
      <c r="M44" s="114">
        <f t="shared" si="7"/>
        <v>0</v>
      </c>
      <c r="N44" s="114">
        <f t="shared" si="7"/>
        <v>0</v>
      </c>
      <c r="O44" s="114">
        <f t="shared" si="7"/>
        <v>0</v>
      </c>
      <c r="P44" s="114">
        <f t="shared" si="7"/>
        <v>0</v>
      </c>
      <c r="Q44" s="114">
        <f t="shared" si="7"/>
        <v>930</v>
      </c>
      <c r="R44" s="114">
        <f t="shared" si="7"/>
        <v>581</v>
      </c>
      <c r="S44" s="114">
        <f t="shared" si="7"/>
        <v>0</v>
      </c>
      <c r="T44" s="114">
        <f t="shared" si="7"/>
        <v>0</v>
      </c>
      <c r="U44" s="115">
        <f t="shared" si="7"/>
        <v>11304</v>
      </c>
      <c r="V44" s="176" t="s">
        <v>12</v>
      </c>
    </row>
    <row r="45" spans="1:22" ht="13.9" x14ac:dyDescent="0.25">
      <c r="A45" s="156" t="s">
        <v>145</v>
      </c>
      <c r="B45" s="236"/>
      <c r="C45" s="236"/>
      <c r="D45" s="236"/>
      <c r="E45" s="236"/>
      <c r="F45" s="236"/>
      <c r="G45" s="236"/>
      <c r="H45" s="236"/>
      <c r="I45" s="236"/>
      <c r="J45" s="236"/>
      <c r="K45" s="236"/>
      <c r="L45" s="236"/>
      <c r="M45" s="236"/>
      <c r="N45" s="236"/>
      <c r="O45" s="236"/>
      <c r="P45" s="236"/>
      <c r="Q45" s="236"/>
      <c r="R45" s="236"/>
      <c r="S45" s="236"/>
      <c r="T45" s="236"/>
      <c r="U45" s="236"/>
      <c r="V45" s="176" t="s">
        <v>12</v>
      </c>
    </row>
    <row r="46" spans="1:22" ht="13.9" x14ac:dyDescent="0.25">
      <c r="A46" s="384" t="s">
        <v>156</v>
      </c>
      <c r="B46" s="384"/>
      <c r="C46" s="384"/>
      <c r="D46" s="384"/>
      <c r="E46" s="384"/>
      <c r="F46" s="384"/>
      <c r="G46" s="384"/>
      <c r="H46" s="384"/>
      <c r="I46" s="384"/>
      <c r="J46" s="384"/>
      <c r="K46" s="384"/>
      <c r="L46" s="384"/>
      <c r="M46" s="384"/>
      <c r="N46" s="384"/>
      <c r="O46" s="384"/>
      <c r="P46" s="384"/>
      <c r="Q46" s="384"/>
      <c r="R46" s="384"/>
      <c r="S46" s="384"/>
      <c r="T46" s="384"/>
      <c r="U46" s="384"/>
      <c r="V46" s="176" t="s">
        <v>12</v>
      </c>
    </row>
    <row r="47" spans="1:22" x14ac:dyDescent="0.2">
      <c r="V47" s="176" t="s">
        <v>12</v>
      </c>
    </row>
    <row r="48" spans="1:22" ht="15" x14ac:dyDescent="0.25">
      <c r="A48" s="5" t="s">
        <v>118</v>
      </c>
      <c r="V48" s="176" t="s">
        <v>12</v>
      </c>
    </row>
    <row r="49" spans="1:22" x14ac:dyDescent="0.2">
      <c r="A49" s="385" t="s">
        <v>202</v>
      </c>
      <c r="B49" s="385"/>
      <c r="C49" s="385"/>
      <c r="D49" s="385"/>
      <c r="E49" s="385"/>
      <c r="F49" s="385"/>
      <c r="G49" s="385"/>
      <c r="H49" s="385"/>
      <c r="I49" s="385"/>
      <c r="J49" s="385"/>
      <c r="K49" s="385"/>
      <c r="L49" s="385"/>
      <c r="M49" s="385"/>
      <c r="N49" s="385"/>
      <c r="O49" s="385"/>
      <c r="P49" s="385"/>
      <c r="Q49" s="385"/>
      <c r="R49" s="385"/>
      <c r="S49" s="385"/>
      <c r="T49" s="385"/>
      <c r="U49" s="385"/>
      <c r="V49" s="176" t="s">
        <v>12</v>
      </c>
    </row>
    <row r="50" spans="1:22" x14ac:dyDescent="0.2">
      <c r="A50" s="386"/>
      <c r="B50" s="386"/>
      <c r="C50" s="386"/>
      <c r="D50" s="386"/>
      <c r="E50" s="386"/>
      <c r="F50" s="386"/>
      <c r="G50" s="386"/>
      <c r="H50" s="386"/>
      <c r="I50" s="386"/>
      <c r="J50" s="386"/>
      <c r="K50" s="386"/>
      <c r="L50" s="386"/>
      <c r="M50" s="386"/>
      <c r="N50" s="386"/>
      <c r="O50" s="386"/>
      <c r="P50" s="386"/>
      <c r="Q50" s="386"/>
      <c r="R50" s="386"/>
      <c r="S50" s="386"/>
      <c r="T50" s="386"/>
      <c r="U50" s="386"/>
      <c r="V50" s="176" t="s">
        <v>12</v>
      </c>
    </row>
    <row r="51" spans="1:22" ht="15" x14ac:dyDescent="0.25">
      <c r="A51" s="5" t="s">
        <v>119</v>
      </c>
      <c r="V51" s="176" t="s">
        <v>12</v>
      </c>
    </row>
    <row r="52" spans="1:22" x14ac:dyDescent="0.2">
      <c r="A52" s="385" t="s">
        <v>203</v>
      </c>
      <c r="B52" s="385"/>
      <c r="C52" s="385"/>
      <c r="D52" s="385"/>
      <c r="E52" s="385"/>
      <c r="F52" s="385"/>
      <c r="G52" s="385"/>
      <c r="H52" s="385"/>
      <c r="I52" s="385"/>
      <c r="J52" s="385"/>
      <c r="K52" s="385"/>
      <c r="L52" s="385"/>
      <c r="M52" s="385"/>
      <c r="N52" s="385"/>
      <c r="O52" s="385"/>
      <c r="P52" s="385"/>
      <c r="Q52" s="385"/>
      <c r="R52" s="385"/>
      <c r="S52" s="385"/>
      <c r="T52" s="385"/>
      <c r="U52" s="385"/>
      <c r="V52" s="173" t="s">
        <v>13</v>
      </c>
    </row>
  </sheetData>
  <mergeCells count="33">
    <mergeCell ref="A1:U1"/>
    <mergeCell ref="A2:U2"/>
    <mergeCell ref="A3:U3"/>
    <mergeCell ref="A4:U4"/>
    <mergeCell ref="A7:A8"/>
    <mergeCell ref="B7:D7"/>
    <mergeCell ref="E7:G7"/>
    <mergeCell ref="H7:J7"/>
    <mergeCell ref="K7:M7"/>
    <mergeCell ref="N7:P7"/>
    <mergeCell ref="A38:U38"/>
    <mergeCell ref="S7:U7"/>
    <mergeCell ref="A23:U23"/>
    <mergeCell ref="A26:U26"/>
    <mergeCell ref="A27:U27"/>
    <mergeCell ref="A29:U29"/>
    <mergeCell ref="A30:U30"/>
    <mergeCell ref="A32:U32"/>
    <mergeCell ref="A33:U33"/>
    <mergeCell ref="A35:U35"/>
    <mergeCell ref="A36:U36"/>
    <mergeCell ref="A37:U37"/>
    <mergeCell ref="S41:U41"/>
    <mergeCell ref="A46:U46"/>
    <mergeCell ref="A49:U49"/>
    <mergeCell ref="A50:U50"/>
    <mergeCell ref="A52:U52"/>
    <mergeCell ref="A41:A42"/>
    <mergeCell ref="B41:D41"/>
    <mergeCell ref="E41:G41"/>
    <mergeCell ref="H41:J41"/>
    <mergeCell ref="K41:M41"/>
    <mergeCell ref="N41:P41"/>
  </mergeCells>
  <printOptions horizontalCentered="1"/>
  <pageMargins left="0.7" right="0.7" top="0.64" bottom="0.61" header="0.3" footer="0.3"/>
  <pageSetup scale="56" orientation="landscape" r:id="rId1"/>
  <headerFooter>
    <oddHeader>&amp;L&amp;"Arial,Bold"&amp;12F. Crosswalk of 2013 Availability</oddHeader>
    <oddFooter>&amp;C&amp;"Arial,Regular"Exhibit F - Crosswalk of 2013 Availability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2"/>
  <sheetViews>
    <sheetView view="pageBreakPreview" topLeftCell="A13" zoomScale="80" zoomScaleNormal="100" zoomScaleSheetLayoutView="80" workbookViewId="0">
      <selection activeCell="E33" sqref="E33"/>
    </sheetView>
  </sheetViews>
  <sheetFormatPr defaultColWidth="9.140625" defaultRowHeight="14.25" x14ac:dyDescent="0.2"/>
  <cols>
    <col min="1" max="1" width="42" style="239" bestFit="1" customWidth="1"/>
    <col min="2" max="3" width="8.28515625" style="239" customWidth="1"/>
    <col min="4" max="4" width="12.7109375" style="239" customWidth="1"/>
    <col min="5" max="5" width="15" style="239" customWidth="1"/>
    <col min="6" max="6" width="8.28515625" style="239" customWidth="1"/>
    <col min="7" max="7" width="12.5703125" style="239" customWidth="1"/>
    <col min="8" max="10" width="12.7109375" style="239" customWidth="1"/>
    <col min="11" max="11" width="8.28515625" style="239" customWidth="1"/>
    <col min="12" max="12" width="13" style="239" customWidth="1"/>
    <col min="13" max="13" width="12.7109375" style="239" customWidth="1"/>
    <col min="14" max="14" width="14" style="276" bestFit="1" customWidth="1"/>
    <col min="15" max="15" width="4.5703125" style="239" customWidth="1"/>
    <col min="16" max="16" width="116.7109375" style="239" customWidth="1"/>
    <col min="17" max="18" width="8.28515625" style="239" customWidth="1"/>
    <col min="19" max="19" width="12.7109375" style="239" customWidth="1"/>
    <col min="20" max="21" width="8.28515625" style="239" customWidth="1"/>
    <col min="22" max="22" width="12.7109375" style="239" customWidth="1"/>
    <col min="23" max="16384" width="9.140625" style="239"/>
  </cols>
  <sheetData>
    <row r="1" spans="1:22" ht="18" x14ac:dyDescent="0.25">
      <c r="A1" s="397" t="s">
        <v>140</v>
      </c>
      <c r="B1" s="397"/>
      <c r="C1" s="397"/>
      <c r="D1" s="397"/>
      <c r="E1" s="397"/>
      <c r="F1" s="397"/>
      <c r="G1" s="397"/>
      <c r="H1" s="397"/>
      <c r="I1" s="397"/>
      <c r="J1" s="397"/>
      <c r="K1" s="397"/>
      <c r="L1" s="397"/>
      <c r="M1" s="237" t="s">
        <v>12</v>
      </c>
      <c r="N1" s="237"/>
      <c r="O1" s="316"/>
      <c r="P1" s="320"/>
      <c r="Q1" s="316"/>
      <c r="R1" s="238"/>
      <c r="S1" s="238"/>
      <c r="T1" s="238"/>
      <c r="U1" s="238"/>
      <c r="V1" s="238"/>
    </row>
    <row r="2" spans="1:22" ht="15" x14ac:dyDescent="0.2">
      <c r="A2" s="398" t="s">
        <v>175</v>
      </c>
      <c r="B2" s="398"/>
      <c r="C2" s="398"/>
      <c r="D2" s="398"/>
      <c r="E2" s="398"/>
      <c r="F2" s="398"/>
      <c r="G2" s="398"/>
      <c r="H2" s="398"/>
      <c r="I2" s="398"/>
      <c r="J2" s="398"/>
      <c r="K2" s="398"/>
      <c r="L2" s="398"/>
      <c r="M2" s="237" t="s">
        <v>12</v>
      </c>
      <c r="N2" s="237"/>
      <c r="O2" s="317"/>
      <c r="P2" s="318"/>
      <c r="Q2" s="240"/>
      <c r="R2" s="240"/>
      <c r="S2" s="240"/>
      <c r="T2" s="240"/>
      <c r="U2" s="240"/>
      <c r="V2" s="240"/>
    </row>
    <row r="3" spans="1:22" x14ac:dyDescent="0.2">
      <c r="A3" s="396" t="s">
        <v>1</v>
      </c>
      <c r="B3" s="396"/>
      <c r="C3" s="396"/>
      <c r="D3" s="396"/>
      <c r="E3" s="396"/>
      <c r="F3" s="396"/>
      <c r="G3" s="396"/>
      <c r="H3" s="396"/>
      <c r="I3" s="396"/>
      <c r="J3" s="396"/>
      <c r="K3" s="396"/>
      <c r="L3" s="396"/>
      <c r="M3" s="237" t="s">
        <v>12</v>
      </c>
      <c r="N3" s="237"/>
      <c r="O3" s="241"/>
      <c r="P3" s="318"/>
      <c r="Q3" s="241"/>
      <c r="R3" s="241"/>
      <c r="S3" s="241"/>
      <c r="T3" s="241"/>
      <c r="U3" s="241"/>
      <c r="V3" s="241"/>
    </row>
    <row r="4" spans="1:22" x14ac:dyDescent="0.2">
      <c r="A4" s="390" t="s">
        <v>2</v>
      </c>
      <c r="B4" s="390"/>
      <c r="C4" s="390"/>
      <c r="D4" s="390"/>
      <c r="E4" s="390"/>
      <c r="F4" s="390"/>
      <c r="G4" s="390"/>
      <c r="H4" s="390"/>
      <c r="I4" s="390"/>
      <c r="J4" s="390"/>
      <c r="K4" s="390"/>
      <c r="L4" s="390"/>
      <c r="M4" s="237" t="s">
        <v>12</v>
      </c>
      <c r="N4" s="237"/>
      <c r="O4" s="242"/>
      <c r="P4" s="318"/>
      <c r="Q4" s="242"/>
      <c r="R4" s="242"/>
      <c r="S4" s="242"/>
      <c r="T4" s="242"/>
      <c r="U4" s="242"/>
      <c r="V4" s="242"/>
    </row>
    <row r="5" spans="1:22" ht="15" x14ac:dyDescent="0.25">
      <c r="A5" s="242"/>
      <c r="B5" s="242"/>
      <c r="C5" s="242"/>
      <c r="D5" s="242"/>
      <c r="E5" s="242"/>
      <c r="F5" s="242"/>
      <c r="G5" s="242"/>
      <c r="H5" s="242"/>
      <c r="I5" s="242"/>
      <c r="J5" s="242"/>
      <c r="K5" s="242"/>
      <c r="L5" s="242"/>
      <c r="M5" s="237" t="s">
        <v>12</v>
      </c>
      <c r="N5" s="237"/>
      <c r="O5" s="242"/>
      <c r="P5" s="319"/>
      <c r="Q5" s="242"/>
      <c r="R5" s="242"/>
      <c r="S5" s="242"/>
      <c r="T5" s="242"/>
      <c r="U5" s="242"/>
      <c r="V5" s="242"/>
    </row>
    <row r="6" spans="1:22" ht="15" thickBot="1" x14ac:dyDescent="0.25">
      <c r="A6" s="243"/>
      <c r="B6" s="243"/>
      <c r="C6" s="243"/>
      <c r="D6" s="243"/>
      <c r="E6" s="243"/>
      <c r="F6" s="243"/>
      <c r="G6" s="243"/>
      <c r="H6" s="243"/>
      <c r="I6" s="243"/>
      <c r="J6" s="243"/>
      <c r="K6" s="243"/>
      <c r="L6" s="243"/>
      <c r="M6" s="237" t="s">
        <v>12</v>
      </c>
      <c r="N6" s="237"/>
      <c r="O6" s="242"/>
      <c r="P6" s="242"/>
      <c r="Q6" s="242"/>
      <c r="R6" s="242"/>
      <c r="S6" s="242"/>
      <c r="T6" s="242"/>
      <c r="U6" s="242"/>
      <c r="V6" s="242"/>
    </row>
    <row r="7" spans="1:22" ht="47.25" customHeight="1" x14ac:dyDescent="0.25">
      <c r="A7" s="391" t="s">
        <v>105</v>
      </c>
      <c r="B7" s="393" t="s">
        <v>168</v>
      </c>
      <c r="C7" s="393"/>
      <c r="D7" s="393"/>
      <c r="E7" s="393" t="s">
        <v>46</v>
      </c>
      <c r="F7" s="393"/>
      <c r="G7" s="393"/>
      <c r="H7" s="244" t="s">
        <v>47</v>
      </c>
      <c r="I7" s="244" t="s">
        <v>108</v>
      </c>
      <c r="J7" s="393" t="s">
        <v>141</v>
      </c>
      <c r="K7" s="393"/>
      <c r="L7" s="394"/>
      <c r="M7" s="237" t="s">
        <v>12</v>
      </c>
      <c r="N7" s="239"/>
      <c r="O7" s="245"/>
    </row>
    <row r="8" spans="1:22" ht="28.5" x14ac:dyDescent="0.25">
      <c r="A8" s="392"/>
      <c r="B8" s="246" t="s">
        <v>3</v>
      </c>
      <c r="C8" s="246" t="s">
        <v>100</v>
      </c>
      <c r="D8" s="246" t="s">
        <v>4</v>
      </c>
      <c r="E8" s="246" t="s">
        <v>3</v>
      </c>
      <c r="F8" s="246" t="s">
        <v>100</v>
      </c>
      <c r="G8" s="246" t="s">
        <v>4</v>
      </c>
      <c r="H8" s="246" t="s">
        <v>4</v>
      </c>
      <c r="I8" s="246" t="s">
        <v>4</v>
      </c>
      <c r="J8" s="246" t="s">
        <v>3</v>
      </c>
      <c r="K8" s="246" t="s">
        <v>100</v>
      </c>
      <c r="L8" s="247" t="s">
        <v>4</v>
      </c>
      <c r="M8" s="237" t="s">
        <v>12</v>
      </c>
      <c r="N8" s="239"/>
      <c r="O8" s="245"/>
    </row>
    <row r="9" spans="1:22" x14ac:dyDescent="0.2">
      <c r="A9" s="248" t="s">
        <v>176</v>
      </c>
      <c r="B9" s="249">
        <v>2222</v>
      </c>
      <c r="C9" s="249">
        <v>2042</v>
      </c>
      <c r="D9" s="249">
        <v>458426</v>
      </c>
      <c r="E9" s="249">
        <v>0</v>
      </c>
      <c r="F9" s="249">
        <v>0</v>
      </c>
      <c r="G9" s="249">
        <v>7001</v>
      </c>
      <c r="H9" s="249">
        <v>4541</v>
      </c>
      <c r="I9" s="249">
        <f>400+3081</f>
        <v>3481</v>
      </c>
      <c r="J9" s="249">
        <f t="shared" ref="J9:K13" si="0">B9+E9</f>
        <v>2222</v>
      </c>
      <c r="K9" s="249">
        <f t="shared" si="0"/>
        <v>2042</v>
      </c>
      <c r="L9" s="250">
        <f t="shared" ref="L9:L16" si="1">D9+G9+H9+I9</f>
        <v>473449</v>
      </c>
      <c r="M9" s="237" t="s">
        <v>12</v>
      </c>
      <c r="N9" s="239"/>
      <c r="O9" s="251"/>
    </row>
    <row r="10" spans="1:22" x14ac:dyDescent="0.2">
      <c r="A10" s="252" t="s">
        <v>188</v>
      </c>
      <c r="B10" s="253">
        <v>1744</v>
      </c>
      <c r="C10" s="253">
        <v>1602</v>
      </c>
      <c r="D10" s="253">
        <v>399353</v>
      </c>
      <c r="E10" s="253">
        <v>0</v>
      </c>
      <c r="F10" s="253">
        <v>0</v>
      </c>
      <c r="G10" s="253">
        <v>5404</v>
      </c>
      <c r="H10" s="253">
        <v>4744</v>
      </c>
      <c r="I10" s="253">
        <f>314+2418</f>
        <v>2732</v>
      </c>
      <c r="J10" s="253">
        <f t="shared" si="0"/>
        <v>1744</v>
      </c>
      <c r="K10" s="253">
        <f t="shared" si="0"/>
        <v>1602</v>
      </c>
      <c r="L10" s="254">
        <f t="shared" si="1"/>
        <v>412233</v>
      </c>
      <c r="M10" s="237" t="s">
        <v>12</v>
      </c>
      <c r="N10" s="239"/>
      <c r="O10" s="251"/>
    </row>
    <row r="11" spans="1:22" x14ac:dyDescent="0.2">
      <c r="A11" s="252" t="s">
        <v>189</v>
      </c>
      <c r="B11" s="253">
        <v>1204</v>
      </c>
      <c r="C11" s="253">
        <v>1106</v>
      </c>
      <c r="D11" s="253">
        <v>251555</v>
      </c>
      <c r="E11" s="253">
        <v>0</v>
      </c>
      <c r="F11" s="253">
        <v>0</v>
      </c>
      <c r="G11" s="253">
        <v>3794</v>
      </c>
      <c r="H11" s="253">
        <v>2460</v>
      </c>
      <c r="I11" s="253">
        <f>217+1669</f>
        <v>1886</v>
      </c>
      <c r="J11" s="253">
        <f t="shared" si="0"/>
        <v>1204</v>
      </c>
      <c r="K11" s="253">
        <f t="shared" si="0"/>
        <v>1106</v>
      </c>
      <c r="L11" s="254">
        <f t="shared" si="1"/>
        <v>259695</v>
      </c>
      <c r="M11" s="237" t="s">
        <v>12</v>
      </c>
      <c r="N11" s="239"/>
      <c r="O11" s="251"/>
    </row>
    <row r="12" spans="1:22" x14ac:dyDescent="0.2">
      <c r="A12" s="252" t="s">
        <v>190</v>
      </c>
      <c r="B12" s="253">
        <v>207</v>
      </c>
      <c r="C12" s="253">
        <v>190</v>
      </c>
      <c r="D12" s="253">
        <v>35399</v>
      </c>
      <c r="E12" s="253">
        <v>0</v>
      </c>
      <c r="F12" s="253">
        <v>0</v>
      </c>
      <c r="G12" s="253">
        <v>652</v>
      </c>
      <c r="H12" s="253">
        <v>423</v>
      </c>
      <c r="I12" s="253">
        <f>37+287</f>
        <v>324</v>
      </c>
      <c r="J12" s="253">
        <f t="shared" si="0"/>
        <v>207</v>
      </c>
      <c r="K12" s="253">
        <f t="shared" si="0"/>
        <v>190</v>
      </c>
      <c r="L12" s="254">
        <f t="shared" si="1"/>
        <v>36798</v>
      </c>
      <c r="M12" s="237" t="s">
        <v>12</v>
      </c>
      <c r="N12" s="239"/>
    </row>
    <row r="13" spans="1:22" x14ac:dyDescent="0.2">
      <c r="A13" s="255" t="s">
        <v>191</v>
      </c>
      <c r="B13" s="256">
        <v>177</v>
      </c>
      <c r="C13" s="256">
        <v>163</v>
      </c>
      <c r="D13" s="256">
        <v>40267</v>
      </c>
      <c r="E13" s="256">
        <v>0</v>
      </c>
      <c r="F13" s="256">
        <v>0</v>
      </c>
      <c r="G13" s="256">
        <v>558</v>
      </c>
      <c r="H13" s="256">
        <v>362</v>
      </c>
      <c r="I13" s="256">
        <f>32+245</f>
        <v>277</v>
      </c>
      <c r="J13" s="256">
        <f t="shared" si="0"/>
        <v>177</v>
      </c>
      <c r="K13" s="256">
        <f t="shared" si="0"/>
        <v>163</v>
      </c>
      <c r="L13" s="257">
        <f t="shared" si="1"/>
        <v>41464</v>
      </c>
      <c r="M13" s="237" t="s">
        <v>12</v>
      </c>
      <c r="N13" s="239"/>
    </row>
    <row r="14" spans="1:22" ht="15" x14ac:dyDescent="0.25">
      <c r="A14" s="258" t="s">
        <v>102</v>
      </c>
      <c r="B14" s="259">
        <f t="shared" ref="B14:K14" si="2">SUM(B9:B13)</f>
        <v>5554</v>
      </c>
      <c r="C14" s="259">
        <f t="shared" si="2"/>
        <v>5103</v>
      </c>
      <c r="D14" s="259">
        <f t="shared" si="2"/>
        <v>1185000</v>
      </c>
      <c r="E14" s="259">
        <f t="shared" si="2"/>
        <v>0</v>
      </c>
      <c r="F14" s="259">
        <f t="shared" si="2"/>
        <v>0</v>
      </c>
      <c r="G14" s="259">
        <f t="shared" si="2"/>
        <v>17409</v>
      </c>
      <c r="H14" s="259">
        <f t="shared" si="2"/>
        <v>12530</v>
      </c>
      <c r="I14" s="259">
        <f t="shared" si="2"/>
        <v>8700</v>
      </c>
      <c r="J14" s="259">
        <f t="shared" si="2"/>
        <v>5554</v>
      </c>
      <c r="K14" s="259">
        <f t="shared" si="2"/>
        <v>5103</v>
      </c>
      <c r="L14" s="260">
        <f t="shared" si="1"/>
        <v>1223639</v>
      </c>
      <c r="M14" s="237" t="s">
        <v>12</v>
      </c>
      <c r="N14" s="239"/>
      <c r="O14" s="245"/>
    </row>
    <row r="15" spans="1:22" ht="15" x14ac:dyDescent="0.25">
      <c r="A15" s="261" t="s">
        <v>101</v>
      </c>
      <c r="B15" s="249"/>
      <c r="C15" s="249"/>
      <c r="D15" s="249">
        <v>0</v>
      </c>
      <c r="E15" s="249"/>
      <c r="F15" s="249"/>
      <c r="G15" s="249"/>
      <c r="H15" s="249"/>
      <c r="I15" s="249"/>
      <c r="J15" s="249"/>
      <c r="K15" s="249"/>
      <c r="L15" s="250">
        <f t="shared" si="1"/>
        <v>0</v>
      </c>
      <c r="M15" s="237" t="s">
        <v>12</v>
      </c>
      <c r="N15" s="239"/>
      <c r="O15" s="265"/>
    </row>
    <row r="16" spans="1:22" x14ac:dyDescent="0.2">
      <c r="A16" s="262" t="s">
        <v>116</v>
      </c>
      <c r="B16" s="263"/>
      <c r="C16" s="263"/>
      <c r="D16" s="263">
        <f>SUM(D14:D15)</f>
        <v>1185000</v>
      </c>
      <c r="E16" s="263"/>
      <c r="F16" s="263"/>
      <c r="G16" s="263">
        <f>SUM(G14:G15)</f>
        <v>17409</v>
      </c>
      <c r="H16" s="263">
        <f>SUM(H14:H15)</f>
        <v>12530</v>
      </c>
      <c r="I16" s="263">
        <f>SUM(I14:I15)</f>
        <v>8700</v>
      </c>
      <c r="J16" s="263"/>
      <c r="K16" s="263"/>
      <c r="L16" s="264">
        <f t="shared" si="1"/>
        <v>1223639</v>
      </c>
      <c r="M16" s="237" t="s">
        <v>12</v>
      </c>
      <c r="N16" s="239"/>
    </row>
    <row r="17" spans="1:14" x14ac:dyDescent="0.2">
      <c r="A17" s="266" t="s">
        <v>15</v>
      </c>
      <c r="B17" s="267"/>
      <c r="C17" s="267">
        <v>340</v>
      </c>
      <c r="D17" s="267"/>
      <c r="E17" s="267"/>
      <c r="F17" s="267">
        <v>0</v>
      </c>
      <c r="G17" s="267"/>
      <c r="H17" s="267">
        <v>0</v>
      </c>
      <c r="I17" s="267"/>
      <c r="J17" s="267"/>
      <c r="K17" s="267">
        <f>C17+F17</f>
        <v>340</v>
      </c>
      <c r="L17" s="268"/>
      <c r="M17" s="237" t="s">
        <v>12</v>
      </c>
      <c r="N17" s="239"/>
    </row>
    <row r="18" spans="1:14" ht="13.9" x14ac:dyDescent="0.25">
      <c r="A18" s="252" t="s">
        <v>103</v>
      </c>
      <c r="B18" s="253"/>
      <c r="C18" s="253">
        <f>C14+C17</f>
        <v>5443</v>
      </c>
      <c r="D18" s="253"/>
      <c r="E18" s="253"/>
      <c r="F18" s="253">
        <f>F14+F17</f>
        <v>0</v>
      </c>
      <c r="G18" s="253"/>
      <c r="H18" s="253">
        <f>H14+H17</f>
        <v>12530</v>
      </c>
      <c r="I18" s="253"/>
      <c r="J18" s="253"/>
      <c r="K18" s="253">
        <f>K14+K17</f>
        <v>5443</v>
      </c>
      <c r="L18" s="254"/>
      <c r="M18" s="237" t="s">
        <v>12</v>
      </c>
      <c r="N18" s="239"/>
    </row>
    <row r="19" spans="1:14" ht="13.9" x14ac:dyDescent="0.25">
      <c r="A19" s="252"/>
      <c r="B19" s="253"/>
      <c r="C19" s="253"/>
      <c r="D19" s="253"/>
      <c r="E19" s="253"/>
      <c r="F19" s="253"/>
      <c r="G19" s="253"/>
      <c r="H19" s="253"/>
      <c r="I19" s="253"/>
      <c r="J19" s="253"/>
      <c r="K19" s="253"/>
      <c r="L19" s="254"/>
      <c r="M19" s="237" t="s">
        <v>12</v>
      </c>
      <c r="N19" s="239"/>
    </row>
    <row r="20" spans="1:14" ht="13.9" x14ac:dyDescent="0.25">
      <c r="A20" s="252" t="s">
        <v>16</v>
      </c>
      <c r="B20" s="253"/>
      <c r="C20" s="253"/>
      <c r="D20" s="253"/>
      <c r="E20" s="253"/>
      <c r="F20" s="253"/>
      <c r="G20" s="253"/>
      <c r="H20" s="253"/>
      <c r="I20" s="253"/>
      <c r="J20" s="253"/>
      <c r="K20" s="253"/>
      <c r="L20" s="254"/>
      <c r="M20" s="237" t="s">
        <v>12</v>
      </c>
      <c r="N20" s="239"/>
    </row>
    <row r="21" spans="1:14" ht="13.9" x14ac:dyDescent="0.25">
      <c r="A21" s="269" t="s">
        <v>17</v>
      </c>
      <c r="B21" s="253"/>
      <c r="C21" s="253">
        <v>774</v>
      </c>
      <c r="D21" s="253"/>
      <c r="E21" s="253"/>
      <c r="F21" s="253">
        <v>0</v>
      </c>
      <c r="G21" s="253"/>
      <c r="H21" s="253">
        <v>0</v>
      </c>
      <c r="I21" s="253"/>
      <c r="J21" s="253"/>
      <c r="K21" s="253">
        <f>C21+F21</f>
        <v>774</v>
      </c>
      <c r="L21" s="254"/>
      <c r="M21" s="237" t="s">
        <v>12</v>
      </c>
      <c r="N21" s="239"/>
    </row>
    <row r="22" spans="1:14" ht="13.9" x14ac:dyDescent="0.25">
      <c r="A22" s="270" t="s">
        <v>18</v>
      </c>
      <c r="B22" s="271"/>
      <c r="C22" s="271">
        <v>207</v>
      </c>
      <c r="D22" s="271"/>
      <c r="E22" s="271"/>
      <c r="F22" s="271">
        <v>0</v>
      </c>
      <c r="G22" s="271"/>
      <c r="H22" s="271">
        <v>0</v>
      </c>
      <c r="I22" s="271"/>
      <c r="J22" s="271"/>
      <c r="K22" s="271">
        <f>C22+F22</f>
        <v>207</v>
      </c>
      <c r="L22" s="272"/>
      <c r="M22" s="237" t="s">
        <v>12</v>
      </c>
      <c r="N22" s="239"/>
    </row>
    <row r="23" spans="1:14" ht="14.45" thickBot="1" x14ac:dyDescent="0.3">
      <c r="A23" s="273" t="s">
        <v>104</v>
      </c>
      <c r="B23" s="274"/>
      <c r="C23" s="274">
        <f>C18+C21+C22</f>
        <v>6424</v>
      </c>
      <c r="D23" s="274"/>
      <c r="E23" s="274"/>
      <c r="F23" s="274">
        <f>F18+F21+F22</f>
        <v>0</v>
      </c>
      <c r="G23" s="274"/>
      <c r="H23" s="274">
        <f>H18+H21+H22</f>
        <v>12530</v>
      </c>
      <c r="I23" s="274"/>
      <c r="J23" s="274"/>
      <c r="K23" s="274">
        <f>SUM(K18,K21:K22)</f>
        <v>6424</v>
      </c>
      <c r="L23" s="275"/>
      <c r="M23" s="237" t="s">
        <v>12</v>
      </c>
      <c r="N23" s="239"/>
    </row>
    <row r="24" spans="1:14" ht="13.9" x14ac:dyDescent="0.25">
      <c r="M24" s="237" t="s">
        <v>12</v>
      </c>
    </row>
    <row r="25" spans="1:14" ht="13.9" x14ac:dyDescent="0.25">
      <c r="A25" s="277" t="s">
        <v>46</v>
      </c>
      <c r="B25" s="278"/>
      <c r="C25" s="278"/>
      <c r="D25" s="278"/>
      <c r="E25" s="278"/>
      <c r="F25" s="278"/>
      <c r="G25" s="278"/>
      <c r="H25" s="278"/>
      <c r="I25" s="278"/>
      <c r="J25" s="278"/>
      <c r="K25" s="278"/>
      <c r="L25" s="278"/>
      <c r="M25" s="237" t="s">
        <v>12</v>
      </c>
    </row>
    <row r="26" spans="1:14" ht="45.6" customHeight="1" x14ac:dyDescent="0.25">
      <c r="A26" s="399" t="s">
        <v>205</v>
      </c>
      <c r="B26" s="399"/>
      <c r="C26" s="399"/>
      <c r="D26" s="399"/>
      <c r="E26" s="399"/>
      <c r="F26" s="399"/>
      <c r="G26" s="399"/>
      <c r="H26" s="399"/>
      <c r="I26" s="399"/>
      <c r="J26" s="399"/>
      <c r="K26" s="399"/>
      <c r="L26" s="399"/>
      <c r="M26" s="237" t="s">
        <v>12</v>
      </c>
    </row>
    <row r="27" spans="1:14" ht="13.9" x14ac:dyDescent="0.25">
      <c r="A27" s="279"/>
      <c r="B27" s="279"/>
      <c r="C27" s="279"/>
      <c r="D27" s="279"/>
      <c r="E27" s="279"/>
      <c r="F27" s="279"/>
      <c r="G27" s="279"/>
      <c r="H27" s="279"/>
      <c r="I27" s="279"/>
      <c r="J27" s="279"/>
      <c r="K27" s="279"/>
      <c r="L27" s="279"/>
      <c r="M27" s="237" t="s">
        <v>12</v>
      </c>
    </row>
    <row r="28" spans="1:14" ht="13.9" x14ac:dyDescent="0.25">
      <c r="A28" s="277" t="s">
        <v>118</v>
      </c>
      <c r="B28" s="278"/>
      <c r="C28" s="278"/>
      <c r="D28" s="278"/>
      <c r="E28" s="278"/>
      <c r="F28" s="278"/>
      <c r="G28" s="278"/>
      <c r="H28" s="278"/>
      <c r="I28" s="278"/>
      <c r="J28" s="278"/>
      <c r="K28" s="278"/>
      <c r="L28" s="278"/>
      <c r="M28" s="237" t="s">
        <v>12</v>
      </c>
    </row>
    <row r="29" spans="1:14" ht="13.9" x14ac:dyDescent="0.25">
      <c r="A29" s="399" t="s">
        <v>206</v>
      </c>
      <c r="B29" s="399"/>
      <c r="C29" s="399"/>
      <c r="D29" s="399"/>
      <c r="E29" s="399"/>
      <c r="F29" s="399"/>
      <c r="G29" s="399"/>
      <c r="H29" s="399"/>
      <c r="I29" s="399"/>
      <c r="J29" s="399"/>
      <c r="K29" s="399"/>
      <c r="L29" s="399"/>
      <c r="M29" s="237" t="s">
        <v>12</v>
      </c>
    </row>
    <row r="30" spans="1:14" ht="13.9" x14ac:dyDescent="0.25">
      <c r="A30" s="280"/>
      <c r="B30" s="280"/>
      <c r="C30" s="280"/>
      <c r="D30" s="280"/>
      <c r="E30" s="280"/>
      <c r="F30" s="280"/>
      <c r="G30" s="280"/>
      <c r="H30" s="280"/>
      <c r="I30" s="280"/>
      <c r="J30" s="280"/>
      <c r="K30" s="280"/>
      <c r="L30" s="280"/>
      <c r="M30" s="237" t="s">
        <v>12</v>
      </c>
    </row>
    <row r="31" spans="1:14" ht="13.9" x14ac:dyDescent="0.25">
      <c r="A31" s="277" t="s">
        <v>119</v>
      </c>
      <c r="B31" s="278"/>
      <c r="C31" s="278"/>
      <c r="D31" s="278"/>
      <c r="E31" s="278"/>
      <c r="F31" s="278"/>
      <c r="G31" s="278"/>
      <c r="H31" s="278"/>
      <c r="I31" s="278"/>
      <c r="J31" s="278"/>
      <c r="K31" s="278"/>
      <c r="L31" s="278"/>
      <c r="M31" s="237" t="s">
        <v>12</v>
      </c>
    </row>
    <row r="32" spans="1:14" ht="46.15" customHeight="1" x14ac:dyDescent="0.25">
      <c r="A32" s="400" t="s">
        <v>207</v>
      </c>
      <c r="B32" s="400"/>
      <c r="C32" s="400"/>
      <c r="D32" s="400"/>
      <c r="E32" s="400"/>
      <c r="F32" s="400"/>
      <c r="G32" s="400"/>
      <c r="H32" s="400"/>
      <c r="I32" s="400"/>
      <c r="J32" s="400"/>
      <c r="K32" s="400"/>
      <c r="L32" s="400"/>
      <c r="M32" s="237" t="s">
        <v>12</v>
      </c>
    </row>
    <row r="33" spans="1:22" ht="13.9" x14ac:dyDescent="0.25">
      <c r="M33" s="237" t="s">
        <v>12</v>
      </c>
    </row>
    <row r="34" spans="1:22" ht="17.45" x14ac:dyDescent="0.3">
      <c r="A34" s="397" t="s">
        <v>140</v>
      </c>
      <c r="B34" s="397"/>
      <c r="C34" s="397"/>
      <c r="D34" s="397"/>
      <c r="E34" s="397"/>
      <c r="F34" s="397"/>
      <c r="G34" s="397"/>
      <c r="H34" s="397"/>
      <c r="I34" s="397"/>
      <c r="J34" s="397"/>
      <c r="K34" s="397"/>
      <c r="L34" s="397"/>
      <c r="M34" s="237" t="s">
        <v>12</v>
      </c>
      <c r="N34" s="237"/>
    </row>
    <row r="35" spans="1:22" ht="15" x14ac:dyDescent="0.25">
      <c r="A35" s="398" t="s">
        <v>175</v>
      </c>
      <c r="B35" s="398"/>
      <c r="C35" s="398"/>
      <c r="D35" s="398"/>
      <c r="E35" s="398"/>
      <c r="F35" s="398"/>
      <c r="G35" s="398"/>
      <c r="H35" s="398"/>
      <c r="I35" s="398"/>
      <c r="J35" s="398"/>
      <c r="K35" s="398"/>
      <c r="L35" s="398"/>
      <c r="M35" s="237" t="s">
        <v>12</v>
      </c>
    </row>
    <row r="36" spans="1:22" ht="13.9" x14ac:dyDescent="0.25">
      <c r="A36" s="396" t="s">
        <v>176</v>
      </c>
      <c r="B36" s="396"/>
      <c r="C36" s="396"/>
      <c r="D36" s="396"/>
      <c r="E36" s="396"/>
      <c r="F36" s="396"/>
      <c r="G36" s="396"/>
      <c r="H36" s="396"/>
      <c r="I36" s="396"/>
      <c r="J36" s="396"/>
      <c r="K36" s="396"/>
      <c r="L36" s="396"/>
      <c r="M36" s="237" t="s">
        <v>12</v>
      </c>
    </row>
    <row r="37" spans="1:22" ht="13.9" x14ac:dyDescent="0.25">
      <c r="A37" s="390" t="s">
        <v>2</v>
      </c>
      <c r="B37" s="390"/>
      <c r="C37" s="390"/>
      <c r="D37" s="390"/>
      <c r="E37" s="390"/>
      <c r="F37" s="390"/>
      <c r="G37" s="390"/>
      <c r="H37" s="390"/>
      <c r="I37" s="390"/>
      <c r="J37" s="390"/>
      <c r="K37" s="390"/>
      <c r="L37" s="390"/>
      <c r="M37" s="237" t="s">
        <v>12</v>
      </c>
    </row>
    <row r="38" spans="1:22" ht="13.9" x14ac:dyDescent="0.25">
      <c r="A38" s="242"/>
      <c r="B38" s="242"/>
      <c r="C38" s="242"/>
      <c r="D38" s="242"/>
      <c r="E38" s="242"/>
      <c r="F38" s="242"/>
      <c r="G38" s="242"/>
      <c r="H38" s="242"/>
      <c r="I38" s="242"/>
      <c r="J38" s="242"/>
      <c r="K38" s="242"/>
      <c r="L38" s="242"/>
      <c r="M38" s="237" t="s">
        <v>12</v>
      </c>
    </row>
    <row r="39" spans="1:22" ht="14.45" thickBot="1" x14ac:dyDescent="0.3">
      <c r="A39" s="243"/>
      <c r="B39" s="243"/>
      <c r="C39" s="243"/>
      <c r="D39" s="243"/>
      <c r="E39" s="243"/>
      <c r="F39" s="243"/>
      <c r="G39" s="243"/>
      <c r="H39" s="243"/>
      <c r="I39" s="243"/>
      <c r="J39" s="243"/>
      <c r="K39" s="243"/>
      <c r="L39" s="243"/>
      <c r="M39" s="237" t="s">
        <v>12</v>
      </c>
    </row>
    <row r="40" spans="1:22" ht="30" x14ac:dyDescent="0.2">
      <c r="A40" s="391" t="s">
        <v>105</v>
      </c>
      <c r="B40" s="393" t="s">
        <v>168</v>
      </c>
      <c r="C40" s="393"/>
      <c r="D40" s="393"/>
      <c r="E40" s="393" t="s">
        <v>46</v>
      </c>
      <c r="F40" s="393"/>
      <c r="G40" s="393"/>
      <c r="H40" s="244" t="s">
        <v>47</v>
      </c>
      <c r="I40" s="244" t="s">
        <v>108</v>
      </c>
      <c r="J40" s="393" t="s">
        <v>141</v>
      </c>
      <c r="K40" s="393"/>
      <c r="L40" s="394"/>
      <c r="M40" s="237" t="s">
        <v>12</v>
      </c>
    </row>
    <row r="41" spans="1:22" ht="28.5" x14ac:dyDescent="0.2">
      <c r="A41" s="392"/>
      <c r="B41" s="246" t="s">
        <v>3</v>
      </c>
      <c r="C41" s="246" t="s">
        <v>100</v>
      </c>
      <c r="D41" s="246" t="s">
        <v>4</v>
      </c>
      <c r="E41" s="246" t="s">
        <v>3</v>
      </c>
      <c r="F41" s="246" t="s">
        <v>100</v>
      </c>
      <c r="G41" s="246" t="s">
        <v>4</v>
      </c>
      <c r="H41" s="246" t="s">
        <v>4</v>
      </c>
      <c r="I41" s="246" t="s">
        <v>4</v>
      </c>
      <c r="J41" s="246" t="s">
        <v>3</v>
      </c>
      <c r="K41" s="246" t="s">
        <v>100</v>
      </c>
      <c r="L41" s="247" t="s">
        <v>4</v>
      </c>
      <c r="M41" s="237" t="s">
        <v>12</v>
      </c>
    </row>
    <row r="42" spans="1:22" ht="13.9" x14ac:dyDescent="0.25">
      <c r="A42" s="248" t="s">
        <v>176</v>
      </c>
      <c r="B42" s="249">
        <v>0</v>
      </c>
      <c r="C42" s="249">
        <v>0</v>
      </c>
      <c r="D42" s="249">
        <v>9800</v>
      </c>
      <c r="E42" s="249">
        <v>0</v>
      </c>
      <c r="F42" s="249">
        <v>0</v>
      </c>
      <c r="G42" s="249">
        <v>0</v>
      </c>
      <c r="H42" s="249">
        <v>824</v>
      </c>
      <c r="I42" s="249">
        <v>1000</v>
      </c>
      <c r="J42" s="249">
        <f t="shared" ref="J42:K42" si="3">B42+E42</f>
        <v>0</v>
      </c>
      <c r="K42" s="249">
        <f t="shared" si="3"/>
        <v>0</v>
      </c>
      <c r="L42" s="250">
        <f t="shared" ref="L42:L45" si="4">D42+G42+H42+I42</f>
        <v>11624</v>
      </c>
      <c r="M42" s="237" t="s">
        <v>12</v>
      </c>
    </row>
    <row r="43" spans="1:22" ht="13.9" x14ac:dyDescent="0.25">
      <c r="A43" s="258" t="s">
        <v>102</v>
      </c>
      <c r="B43" s="259">
        <f t="shared" ref="B43:K43" si="5">SUM(B42:B42)</f>
        <v>0</v>
      </c>
      <c r="C43" s="259">
        <f t="shared" si="5"/>
        <v>0</v>
      </c>
      <c r="D43" s="259">
        <f t="shared" si="5"/>
        <v>9800</v>
      </c>
      <c r="E43" s="259">
        <f t="shared" si="5"/>
        <v>0</v>
      </c>
      <c r="F43" s="259">
        <f t="shared" si="5"/>
        <v>0</v>
      </c>
      <c r="G43" s="259">
        <f t="shared" si="5"/>
        <v>0</v>
      </c>
      <c r="H43" s="259">
        <f t="shared" si="5"/>
        <v>824</v>
      </c>
      <c r="I43" s="259">
        <f t="shared" si="5"/>
        <v>1000</v>
      </c>
      <c r="J43" s="259">
        <f t="shared" si="5"/>
        <v>0</v>
      </c>
      <c r="K43" s="259">
        <f t="shared" si="5"/>
        <v>0</v>
      </c>
      <c r="L43" s="260">
        <f t="shared" si="4"/>
        <v>11624</v>
      </c>
      <c r="M43" s="237" t="s">
        <v>12</v>
      </c>
    </row>
    <row r="44" spans="1:22" ht="13.9" x14ac:dyDescent="0.25">
      <c r="A44" s="261" t="s">
        <v>101</v>
      </c>
      <c r="B44" s="249"/>
      <c r="C44" s="249"/>
      <c r="D44" s="249">
        <v>0</v>
      </c>
      <c r="E44" s="249"/>
      <c r="F44" s="249"/>
      <c r="G44" s="249"/>
      <c r="H44" s="249"/>
      <c r="I44" s="249"/>
      <c r="J44" s="249"/>
      <c r="K44" s="249"/>
      <c r="L44" s="250">
        <f t="shared" si="4"/>
        <v>0</v>
      </c>
      <c r="M44" s="237" t="s">
        <v>12</v>
      </c>
    </row>
    <row r="45" spans="1:22" ht="15" thickBot="1" x14ac:dyDescent="0.25">
      <c r="A45" s="281" t="s">
        <v>116</v>
      </c>
      <c r="B45" s="282"/>
      <c r="C45" s="282"/>
      <c r="D45" s="282">
        <f>SUM(D43:D44)</f>
        <v>9800</v>
      </c>
      <c r="E45" s="282"/>
      <c r="F45" s="282"/>
      <c r="G45" s="282"/>
      <c r="H45" s="282">
        <f>SUM(H43:H44)</f>
        <v>824</v>
      </c>
      <c r="I45" s="282">
        <f>SUM(I43:I44)</f>
        <v>1000</v>
      </c>
      <c r="J45" s="282"/>
      <c r="K45" s="282"/>
      <c r="L45" s="283">
        <f t="shared" si="4"/>
        <v>11624</v>
      </c>
      <c r="M45" s="237" t="s">
        <v>12</v>
      </c>
    </row>
    <row r="46" spans="1:22" x14ac:dyDescent="0.2">
      <c r="M46" s="237" t="s">
        <v>12</v>
      </c>
    </row>
    <row r="47" spans="1:22" ht="15" x14ac:dyDescent="0.25">
      <c r="A47" s="245" t="s">
        <v>118</v>
      </c>
      <c r="M47" s="237" t="s">
        <v>12</v>
      </c>
    </row>
    <row r="48" spans="1:22" s="276" customFormat="1" ht="14.25" customHeight="1" x14ac:dyDescent="0.2">
      <c r="A48" s="395" t="s">
        <v>208</v>
      </c>
      <c r="B48" s="395"/>
      <c r="C48" s="395"/>
      <c r="D48" s="395"/>
      <c r="E48" s="395"/>
      <c r="F48" s="395"/>
      <c r="G48" s="395"/>
      <c r="H48" s="395"/>
      <c r="I48" s="395"/>
      <c r="J48" s="395"/>
      <c r="K48" s="395"/>
      <c r="L48" s="395"/>
      <c r="M48" s="237" t="s">
        <v>12</v>
      </c>
      <c r="O48" s="239"/>
      <c r="P48" s="239"/>
      <c r="Q48" s="239"/>
      <c r="R48" s="239"/>
      <c r="S48" s="239"/>
      <c r="T48" s="239"/>
      <c r="U48" s="239"/>
      <c r="V48" s="239"/>
    </row>
    <row r="49" spans="1:22" s="276" customFormat="1" x14ac:dyDescent="0.2">
      <c r="A49" s="284"/>
      <c r="B49" s="284"/>
      <c r="C49" s="284"/>
      <c r="D49" s="284"/>
      <c r="E49" s="284"/>
      <c r="F49" s="284"/>
      <c r="G49" s="284"/>
      <c r="H49" s="284"/>
      <c r="I49" s="284"/>
      <c r="J49" s="284"/>
      <c r="K49" s="284"/>
      <c r="L49" s="284"/>
      <c r="M49" s="237" t="s">
        <v>12</v>
      </c>
      <c r="O49" s="239"/>
      <c r="P49" s="239"/>
      <c r="Q49" s="239"/>
      <c r="R49" s="239"/>
      <c r="S49" s="239"/>
      <c r="T49" s="239"/>
      <c r="U49" s="239"/>
      <c r="V49" s="239"/>
    </row>
    <row r="50" spans="1:22" s="276" customFormat="1" ht="15" x14ac:dyDescent="0.25">
      <c r="A50" s="245" t="s">
        <v>119</v>
      </c>
      <c r="B50" s="239"/>
      <c r="C50" s="239"/>
      <c r="D50" s="239"/>
      <c r="E50" s="239"/>
      <c r="F50" s="239"/>
      <c r="G50" s="239"/>
      <c r="H50" s="239"/>
      <c r="I50" s="239"/>
      <c r="J50" s="239"/>
      <c r="K50" s="239"/>
      <c r="L50" s="239"/>
      <c r="M50" s="237" t="s">
        <v>12</v>
      </c>
      <c r="O50" s="239"/>
      <c r="P50" s="239"/>
      <c r="Q50" s="239"/>
      <c r="R50" s="239"/>
      <c r="S50" s="239"/>
      <c r="T50" s="239"/>
      <c r="U50" s="239"/>
      <c r="V50" s="239"/>
    </row>
    <row r="51" spans="1:22" s="276" customFormat="1" ht="28.9" customHeight="1" x14ac:dyDescent="0.2">
      <c r="A51" s="389" t="s">
        <v>209</v>
      </c>
      <c r="B51" s="389"/>
      <c r="C51" s="389"/>
      <c r="D51" s="389"/>
      <c r="E51" s="389"/>
      <c r="F51" s="389"/>
      <c r="G51" s="389"/>
      <c r="H51" s="389"/>
      <c r="I51" s="389"/>
      <c r="J51" s="389"/>
      <c r="K51" s="389"/>
      <c r="L51" s="389"/>
      <c r="M51" s="276" t="s">
        <v>13</v>
      </c>
      <c r="O51" s="239"/>
      <c r="P51" s="239"/>
      <c r="Q51" s="239"/>
      <c r="R51" s="239"/>
      <c r="S51" s="239"/>
      <c r="T51" s="239"/>
      <c r="U51" s="239"/>
      <c r="V51" s="239"/>
    </row>
    <row r="52" spans="1:22" s="276" customFormat="1" x14ac:dyDescent="0.2">
      <c r="A52" s="239"/>
      <c r="B52" s="239"/>
      <c r="C52" s="239"/>
      <c r="D52" s="239"/>
      <c r="E52" s="239"/>
      <c r="F52" s="239"/>
      <c r="G52" s="239"/>
      <c r="H52" s="239"/>
      <c r="I52" s="239"/>
      <c r="J52" s="239"/>
      <c r="K52" s="239"/>
      <c r="L52" s="239"/>
      <c r="M52" s="239"/>
      <c r="O52" s="239"/>
      <c r="P52" s="239"/>
      <c r="Q52" s="239"/>
      <c r="R52" s="239"/>
      <c r="S52" s="239"/>
      <c r="T52" s="239"/>
      <c r="U52" s="239"/>
      <c r="V52" s="239"/>
    </row>
  </sheetData>
  <mergeCells count="21">
    <mergeCell ref="A36:L36"/>
    <mergeCell ref="A1:L1"/>
    <mergeCell ref="A2:L2"/>
    <mergeCell ref="A3:L3"/>
    <mergeCell ref="A4:L4"/>
    <mergeCell ref="A7:A8"/>
    <mergeCell ref="B7:D7"/>
    <mergeCell ref="E7:G7"/>
    <mergeCell ref="J7:L7"/>
    <mergeCell ref="A26:L26"/>
    <mergeCell ref="A29:L29"/>
    <mergeCell ref="A32:L32"/>
    <mergeCell ref="A34:L34"/>
    <mergeCell ref="A35:L35"/>
    <mergeCell ref="A51:L51"/>
    <mergeCell ref="A37:L37"/>
    <mergeCell ref="A40:A41"/>
    <mergeCell ref="B40:D40"/>
    <mergeCell ref="E40:G40"/>
    <mergeCell ref="J40:L40"/>
    <mergeCell ref="A48:L48"/>
  </mergeCells>
  <printOptions horizontalCentered="1"/>
  <pageMargins left="0.45" right="0.45" top="0.41" bottom="0.41" header="0.3" footer="0.3"/>
  <pageSetup scale="64" orientation="landscape" r:id="rId1"/>
  <headerFooter>
    <oddHeader>&amp;L&amp;"Arial,Bold"&amp;12G. Crosswalk of 2014 Availability</oddHeader>
    <oddFooter>&amp;C&amp;"Arial,Regular"Exhibit G - Crosswalk of 2014 Availability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5"/>
  <sheetViews>
    <sheetView view="pageBreakPreview" zoomScale="80" zoomScaleNormal="100" zoomScaleSheetLayoutView="80" workbookViewId="0">
      <selection activeCell="A24" sqref="A24:M24"/>
    </sheetView>
  </sheetViews>
  <sheetFormatPr defaultColWidth="9.140625" defaultRowHeight="14.25" x14ac:dyDescent="0.2"/>
  <cols>
    <col min="1" max="1" width="61.140625" style="131" customWidth="1"/>
    <col min="2" max="3" width="8.28515625" style="131" customWidth="1"/>
    <col min="4" max="4" width="12.7109375" style="131" customWidth="1"/>
    <col min="5" max="6" width="8.28515625" style="131" customWidth="1"/>
    <col min="7" max="7" width="12.7109375" style="131" customWidth="1"/>
    <col min="8" max="9" width="8.28515625" style="131" customWidth="1"/>
    <col min="10" max="10" width="12.7109375" style="131" customWidth="1"/>
    <col min="11" max="12" width="8.28515625" style="131" customWidth="1"/>
    <col min="13" max="13" width="8.7109375" style="131" bestFit="1" customWidth="1"/>
    <col min="14" max="14" width="14" style="173" bestFit="1" customWidth="1"/>
    <col min="15" max="15" width="4.5703125" style="131" customWidth="1"/>
    <col min="16" max="16" width="116.7109375" style="131" customWidth="1"/>
    <col min="17" max="18" width="8.28515625" style="131" customWidth="1"/>
    <col min="19" max="19" width="12.7109375" style="131" customWidth="1"/>
    <col min="20" max="21" width="8.28515625" style="131" customWidth="1"/>
    <col min="22" max="22" width="12.7109375" style="131" customWidth="1"/>
    <col min="23" max="16384" width="9.140625" style="131"/>
  </cols>
  <sheetData>
    <row r="1" spans="1:22" ht="18" x14ac:dyDescent="0.25">
      <c r="A1" s="330" t="s">
        <v>49</v>
      </c>
      <c r="B1" s="330"/>
      <c r="C1" s="330"/>
      <c r="D1" s="330"/>
      <c r="E1" s="330"/>
      <c r="F1" s="330"/>
      <c r="G1" s="330"/>
      <c r="H1" s="330"/>
      <c r="I1" s="330"/>
      <c r="J1" s="330"/>
      <c r="K1" s="330"/>
      <c r="L1" s="330"/>
      <c r="M1" s="330"/>
      <c r="N1" s="176" t="s">
        <v>12</v>
      </c>
      <c r="O1" s="310"/>
      <c r="P1" s="311"/>
      <c r="Q1" s="174"/>
      <c r="R1" s="174"/>
      <c r="S1" s="174"/>
      <c r="T1" s="174"/>
      <c r="U1" s="174"/>
      <c r="V1" s="174"/>
    </row>
    <row r="2" spans="1:22" ht="15" x14ac:dyDescent="0.2">
      <c r="A2" s="331" t="s">
        <v>175</v>
      </c>
      <c r="B2" s="331"/>
      <c r="C2" s="331"/>
      <c r="D2" s="331"/>
      <c r="E2" s="331"/>
      <c r="F2" s="331"/>
      <c r="G2" s="331"/>
      <c r="H2" s="331"/>
      <c r="I2" s="331"/>
      <c r="J2" s="331"/>
      <c r="K2" s="331"/>
      <c r="L2" s="331"/>
      <c r="M2" s="331"/>
      <c r="N2" s="176" t="s">
        <v>12</v>
      </c>
      <c r="O2" s="321"/>
      <c r="P2" s="307"/>
      <c r="Q2" s="175"/>
      <c r="R2" s="175"/>
      <c r="S2" s="175"/>
      <c r="T2" s="175"/>
      <c r="U2" s="175"/>
      <c r="V2" s="175"/>
    </row>
    <row r="3" spans="1:22" x14ac:dyDescent="0.2">
      <c r="A3" s="332" t="s">
        <v>1</v>
      </c>
      <c r="B3" s="332"/>
      <c r="C3" s="332"/>
      <c r="D3" s="332"/>
      <c r="E3" s="332"/>
      <c r="F3" s="332"/>
      <c r="G3" s="332"/>
      <c r="H3" s="332"/>
      <c r="I3" s="332"/>
      <c r="J3" s="332"/>
      <c r="K3" s="332"/>
      <c r="L3" s="332"/>
      <c r="M3" s="332"/>
      <c r="N3" s="176" t="s">
        <v>12</v>
      </c>
      <c r="O3" s="322"/>
      <c r="P3" s="307"/>
      <c r="Q3" s="152"/>
      <c r="R3" s="152"/>
      <c r="S3" s="152"/>
      <c r="T3" s="152"/>
      <c r="U3" s="152"/>
      <c r="V3" s="152"/>
    </row>
    <row r="4" spans="1:22" x14ac:dyDescent="0.2">
      <c r="A4" s="333" t="s">
        <v>2</v>
      </c>
      <c r="B4" s="333"/>
      <c r="C4" s="333"/>
      <c r="D4" s="333"/>
      <c r="E4" s="333"/>
      <c r="F4" s="333"/>
      <c r="G4" s="333"/>
      <c r="H4" s="333"/>
      <c r="I4" s="333"/>
      <c r="J4" s="333"/>
      <c r="K4" s="333"/>
      <c r="L4" s="333"/>
      <c r="M4" s="333"/>
      <c r="N4" s="176" t="s">
        <v>12</v>
      </c>
      <c r="O4" s="200"/>
      <c r="P4" s="307"/>
      <c r="Q4" s="151"/>
      <c r="R4" s="151"/>
      <c r="S4" s="151"/>
      <c r="T4" s="151"/>
      <c r="U4" s="151"/>
      <c r="V4" s="151"/>
    </row>
    <row r="5" spans="1:22" ht="15" x14ac:dyDescent="0.25">
      <c r="A5" s="333"/>
      <c r="B5" s="333"/>
      <c r="C5" s="333"/>
      <c r="D5" s="333"/>
      <c r="E5" s="333"/>
      <c r="F5" s="333"/>
      <c r="G5" s="333"/>
      <c r="H5" s="333"/>
      <c r="I5" s="333"/>
      <c r="J5" s="333"/>
      <c r="K5" s="333"/>
      <c r="L5" s="333"/>
      <c r="M5" s="333"/>
      <c r="N5" s="176" t="s">
        <v>12</v>
      </c>
      <c r="O5" s="200"/>
      <c r="P5" s="309"/>
      <c r="Q5" s="151"/>
      <c r="R5" s="151"/>
      <c r="S5" s="151"/>
      <c r="T5" s="151"/>
      <c r="U5" s="151"/>
      <c r="V5" s="151"/>
    </row>
    <row r="6" spans="1:22" ht="15" thickBot="1" x14ac:dyDescent="0.25">
      <c r="A6" s="333"/>
      <c r="B6" s="333"/>
      <c r="C6" s="333"/>
      <c r="D6" s="333"/>
      <c r="E6" s="333"/>
      <c r="F6" s="333"/>
      <c r="G6" s="333"/>
      <c r="H6" s="333"/>
      <c r="I6" s="333"/>
      <c r="J6" s="333"/>
      <c r="K6" s="333"/>
      <c r="L6" s="333"/>
      <c r="M6" s="333"/>
      <c r="N6" s="176" t="s">
        <v>12</v>
      </c>
      <c r="O6" s="151"/>
      <c r="P6" s="151"/>
      <c r="Q6" s="151"/>
      <c r="R6" s="151"/>
      <c r="S6" s="151"/>
      <c r="T6" s="151"/>
      <c r="U6" s="151"/>
      <c r="V6" s="151"/>
    </row>
    <row r="7" spans="1:22" ht="15" customHeight="1" x14ac:dyDescent="0.25">
      <c r="A7" s="337" t="s">
        <v>122</v>
      </c>
      <c r="B7" s="339" t="s">
        <v>139</v>
      </c>
      <c r="C7" s="339"/>
      <c r="D7" s="339"/>
      <c r="E7" s="339" t="s">
        <v>142</v>
      </c>
      <c r="F7" s="339"/>
      <c r="G7" s="339"/>
      <c r="H7" s="339" t="s">
        <v>136</v>
      </c>
      <c r="I7" s="339"/>
      <c r="J7" s="339"/>
      <c r="K7" s="339" t="s">
        <v>50</v>
      </c>
      <c r="L7" s="339"/>
      <c r="M7" s="340"/>
      <c r="N7" s="176" t="s">
        <v>12</v>
      </c>
      <c r="P7" s="5"/>
    </row>
    <row r="8" spans="1:22" ht="28.5" x14ac:dyDescent="0.2">
      <c r="A8" s="338"/>
      <c r="B8" s="195" t="s">
        <v>51</v>
      </c>
      <c r="C8" s="195" t="s">
        <v>52</v>
      </c>
      <c r="D8" s="195" t="s">
        <v>4</v>
      </c>
      <c r="E8" s="195" t="s">
        <v>51</v>
      </c>
      <c r="F8" s="195" t="s">
        <v>52</v>
      </c>
      <c r="G8" s="195" t="s">
        <v>4</v>
      </c>
      <c r="H8" s="195" t="s">
        <v>51</v>
      </c>
      <c r="I8" s="195" t="s">
        <v>52</v>
      </c>
      <c r="J8" s="195" t="s">
        <v>4</v>
      </c>
      <c r="K8" s="195" t="s">
        <v>51</v>
      </c>
      <c r="L8" s="195" t="s">
        <v>52</v>
      </c>
      <c r="M8" s="201" t="s">
        <v>4</v>
      </c>
      <c r="N8" s="176" t="s">
        <v>12</v>
      </c>
      <c r="P8" s="285"/>
    </row>
    <row r="9" spans="1:22" ht="15" x14ac:dyDescent="0.25">
      <c r="A9" s="222" t="s">
        <v>211</v>
      </c>
      <c r="B9" s="286">
        <v>72</v>
      </c>
      <c r="C9" s="185">
        <v>57</v>
      </c>
      <c r="D9" s="185">
        <v>0</v>
      </c>
      <c r="E9" s="185">
        <v>72</v>
      </c>
      <c r="F9" s="185">
        <v>72</v>
      </c>
      <c r="G9" s="185">
        <v>300</v>
      </c>
      <c r="H9" s="185">
        <v>72</v>
      </c>
      <c r="I9" s="185">
        <v>72</v>
      </c>
      <c r="J9" s="185">
        <v>300</v>
      </c>
      <c r="K9" s="185">
        <f>+H9-E9</f>
        <v>0</v>
      </c>
      <c r="L9" s="185">
        <f>+I9-F9</f>
        <v>0</v>
      </c>
      <c r="M9" s="202">
        <f t="shared" ref="M9:M23" si="0">J9-G9</f>
        <v>0</v>
      </c>
      <c r="N9" s="176" t="s">
        <v>12</v>
      </c>
      <c r="P9" s="5"/>
    </row>
    <row r="10" spans="1:22" x14ac:dyDescent="0.2">
      <c r="A10" s="223" t="s">
        <v>212</v>
      </c>
      <c r="B10" s="287">
        <v>254</v>
      </c>
      <c r="C10" s="142">
        <v>195</v>
      </c>
      <c r="D10" s="142">
        <v>0</v>
      </c>
      <c r="E10" s="142">
        <v>254</v>
      </c>
      <c r="F10" s="142">
        <v>254</v>
      </c>
      <c r="G10" s="142">
        <v>0</v>
      </c>
      <c r="H10" s="142">
        <v>254</v>
      </c>
      <c r="I10" s="142">
        <v>254</v>
      </c>
      <c r="J10" s="142">
        <v>0</v>
      </c>
      <c r="K10" s="142">
        <f t="shared" ref="K10:K23" si="1">+H10-E10</f>
        <v>0</v>
      </c>
      <c r="L10" s="142">
        <f t="shared" ref="L10:L23" si="2">+I10-F10</f>
        <v>0</v>
      </c>
      <c r="M10" s="139">
        <f t="shared" si="0"/>
        <v>0</v>
      </c>
      <c r="N10" s="176" t="s">
        <v>12</v>
      </c>
    </row>
    <row r="11" spans="1:22" x14ac:dyDescent="0.2">
      <c r="A11" s="223" t="s">
        <v>213</v>
      </c>
      <c r="B11" s="287">
        <v>36</v>
      </c>
      <c r="C11" s="142">
        <v>31</v>
      </c>
      <c r="D11" s="142">
        <v>6740</v>
      </c>
      <c r="E11" s="142">
        <v>36</v>
      </c>
      <c r="F11" s="142">
        <v>36</v>
      </c>
      <c r="G11" s="142">
        <v>8300</v>
      </c>
      <c r="H11" s="142">
        <v>36</v>
      </c>
      <c r="I11" s="142">
        <v>36</v>
      </c>
      <c r="J11" s="142">
        <v>8300</v>
      </c>
      <c r="K11" s="142">
        <f t="shared" si="1"/>
        <v>0</v>
      </c>
      <c r="L11" s="142">
        <f t="shared" si="2"/>
        <v>0</v>
      </c>
      <c r="M11" s="139">
        <f t="shared" si="0"/>
        <v>0</v>
      </c>
      <c r="N11" s="176" t="s">
        <v>12</v>
      </c>
    </row>
    <row r="12" spans="1:22" x14ac:dyDescent="0.2">
      <c r="A12" s="288" t="s">
        <v>214</v>
      </c>
      <c r="B12" s="287">
        <v>0</v>
      </c>
      <c r="C12" s="142">
        <v>0</v>
      </c>
      <c r="D12" s="142">
        <v>2453</v>
      </c>
      <c r="E12" s="142">
        <v>0</v>
      </c>
      <c r="F12" s="142">
        <v>0</v>
      </c>
      <c r="G12" s="142">
        <v>5596</v>
      </c>
      <c r="H12" s="142">
        <v>0</v>
      </c>
      <c r="I12" s="142">
        <v>0</v>
      </c>
      <c r="J12" s="142">
        <v>500</v>
      </c>
      <c r="K12" s="142">
        <f t="shared" si="1"/>
        <v>0</v>
      </c>
      <c r="L12" s="142">
        <f t="shared" si="2"/>
        <v>0</v>
      </c>
      <c r="M12" s="139">
        <f t="shared" si="0"/>
        <v>-5096</v>
      </c>
      <c r="N12" s="176" t="s">
        <v>12</v>
      </c>
    </row>
    <row r="13" spans="1:22" x14ac:dyDescent="0.2">
      <c r="A13" s="288" t="s">
        <v>215</v>
      </c>
      <c r="B13" s="287">
        <v>0</v>
      </c>
      <c r="C13" s="142">
        <v>0</v>
      </c>
      <c r="D13" s="142">
        <v>245</v>
      </c>
      <c r="E13" s="142">
        <v>0</v>
      </c>
      <c r="F13" s="142">
        <v>0</v>
      </c>
      <c r="G13" s="142">
        <v>637</v>
      </c>
      <c r="H13" s="142">
        <v>0</v>
      </c>
      <c r="I13" s="142">
        <v>0</v>
      </c>
      <c r="J13" s="142">
        <v>637</v>
      </c>
      <c r="K13" s="142">
        <f t="shared" si="1"/>
        <v>0</v>
      </c>
      <c r="L13" s="142">
        <f t="shared" si="2"/>
        <v>0</v>
      </c>
      <c r="M13" s="139">
        <f t="shared" si="0"/>
        <v>0</v>
      </c>
      <c r="N13" s="176" t="s">
        <v>12</v>
      </c>
    </row>
    <row r="14" spans="1:22" x14ac:dyDescent="0.2">
      <c r="A14" s="288" t="s">
        <v>216</v>
      </c>
      <c r="B14" s="287">
        <v>1</v>
      </c>
      <c r="C14" s="142">
        <v>2</v>
      </c>
      <c r="D14" s="142">
        <v>2520</v>
      </c>
      <c r="E14" s="142">
        <v>2</v>
      </c>
      <c r="F14" s="142">
        <v>2</v>
      </c>
      <c r="G14" s="142">
        <v>7549</v>
      </c>
      <c r="H14" s="142">
        <v>2</v>
      </c>
      <c r="I14" s="142">
        <v>2</v>
      </c>
      <c r="J14" s="142">
        <v>7549</v>
      </c>
      <c r="K14" s="142">
        <f t="shared" si="1"/>
        <v>0</v>
      </c>
      <c r="L14" s="142">
        <f t="shared" si="2"/>
        <v>0</v>
      </c>
      <c r="M14" s="139">
        <f t="shared" si="0"/>
        <v>0</v>
      </c>
      <c r="N14" s="176" t="s">
        <v>12</v>
      </c>
    </row>
    <row r="15" spans="1:22" x14ac:dyDescent="0.2">
      <c r="A15" s="288" t="s">
        <v>217</v>
      </c>
      <c r="B15" s="287">
        <v>0</v>
      </c>
      <c r="C15" s="142">
        <v>0</v>
      </c>
      <c r="D15" s="142">
        <v>6452</v>
      </c>
      <c r="E15" s="142">
        <v>0</v>
      </c>
      <c r="F15" s="142">
        <v>0</v>
      </c>
      <c r="G15" s="142">
        <v>7338</v>
      </c>
      <c r="H15" s="142">
        <v>0</v>
      </c>
      <c r="I15" s="142">
        <v>0</v>
      </c>
      <c r="J15" s="142">
        <v>1720</v>
      </c>
      <c r="K15" s="142">
        <f t="shared" si="1"/>
        <v>0</v>
      </c>
      <c r="L15" s="142">
        <f t="shared" si="2"/>
        <v>0</v>
      </c>
      <c r="M15" s="139">
        <f t="shared" si="0"/>
        <v>-5618</v>
      </c>
      <c r="N15" s="176" t="s">
        <v>12</v>
      </c>
    </row>
    <row r="16" spans="1:22" x14ac:dyDescent="0.2">
      <c r="A16" s="288" t="s">
        <v>218</v>
      </c>
      <c r="B16" s="287">
        <v>0</v>
      </c>
      <c r="C16" s="142">
        <v>0</v>
      </c>
      <c r="D16" s="142">
        <v>2211</v>
      </c>
      <c r="E16" s="142">
        <v>0</v>
      </c>
      <c r="F16" s="142">
        <v>0</v>
      </c>
      <c r="G16" s="142">
        <v>2354</v>
      </c>
      <c r="H16" s="142">
        <v>0</v>
      </c>
      <c r="I16" s="142">
        <v>0</v>
      </c>
      <c r="J16" s="142">
        <v>2354</v>
      </c>
      <c r="K16" s="142">
        <f t="shared" si="1"/>
        <v>0</v>
      </c>
      <c r="L16" s="142">
        <f t="shared" si="2"/>
        <v>0</v>
      </c>
      <c r="M16" s="139">
        <f t="shared" si="0"/>
        <v>0</v>
      </c>
      <c r="N16" s="176" t="s">
        <v>12</v>
      </c>
    </row>
    <row r="17" spans="1:16" x14ac:dyDescent="0.2">
      <c r="A17" s="288" t="s">
        <v>237</v>
      </c>
      <c r="B17" s="287">
        <v>0</v>
      </c>
      <c r="C17" s="142">
        <v>2</v>
      </c>
      <c r="D17" s="142">
        <v>903</v>
      </c>
      <c r="E17" s="142">
        <v>3</v>
      </c>
      <c r="F17" s="142">
        <v>3</v>
      </c>
      <c r="G17" s="142">
        <v>671</v>
      </c>
      <c r="H17" s="142">
        <v>3</v>
      </c>
      <c r="I17" s="142">
        <v>3</v>
      </c>
      <c r="J17" s="142">
        <v>673</v>
      </c>
      <c r="K17" s="142">
        <f t="shared" si="1"/>
        <v>0</v>
      </c>
      <c r="L17" s="142">
        <f t="shared" si="2"/>
        <v>0</v>
      </c>
      <c r="M17" s="139">
        <f t="shared" si="0"/>
        <v>2</v>
      </c>
      <c r="N17" s="176" t="s">
        <v>12</v>
      </c>
    </row>
    <row r="18" spans="1:16" x14ac:dyDescent="0.2">
      <c r="A18" s="288" t="s">
        <v>219</v>
      </c>
      <c r="B18" s="287">
        <v>0</v>
      </c>
      <c r="C18" s="142">
        <v>0</v>
      </c>
      <c r="D18" s="142">
        <v>5</v>
      </c>
      <c r="E18" s="142">
        <v>0</v>
      </c>
      <c r="F18" s="142">
        <v>0</v>
      </c>
      <c r="G18" s="142">
        <v>30</v>
      </c>
      <c r="H18" s="142">
        <v>0</v>
      </c>
      <c r="I18" s="142">
        <v>0</v>
      </c>
      <c r="J18" s="142">
        <v>30</v>
      </c>
      <c r="K18" s="142">
        <f t="shared" si="1"/>
        <v>0</v>
      </c>
      <c r="L18" s="142">
        <f t="shared" si="2"/>
        <v>0</v>
      </c>
      <c r="M18" s="139">
        <f t="shared" si="0"/>
        <v>0</v>
      </c>
      <c r="N18" s="176" t="s">
        <v>12</v>
      </c>
    </row>
    <row r="19" spans="1:16" x14ac:dyDescent="0.2">
      <c r="A19" s="288" t="s">
        <v>220</v>
      </c>
      <c r="B19" s="287">
        <v>8</v>
      </c>
      <c r="C19" s="142">
        <v>7</v>
      </c>
      <c r="D19" s="142">
        <v>1136</v>
      </c>
      <c r="E19" s="142">
        <v>8</v>
      </c>
      <c r="F19" s="142">
        <v>8</v>
      </c>
      <c r="G19" s="142">
        <v>2000</v>
      </c>
      <c r="H19" s="142">
        <v>8</v>
      </c>
      <c r="I19" s="142">
        <v>8</v>
      </c>
      <c r="J19" s="142">
        <v>2000</v>
      </c>
      <c r="K19" s="142">
        <f t="shared" si="1"/>
        <v>0</v>
      </c>
      <c r="L19" s="142">
        <f t="shared" si="2"/>
        <v>0</v>
      </c>
      <c r="M19" s="139">
        <f t="shared" si="0"/>
        <v>0</v>
      </c>
      <c r="N19" s="176" t="s">
        <v>12</v>
      </c>
    </row>
    <row r="20" spans="1:16" x14ac:dyDescent="0.2">
      <c r="A20" s="288" t="s">
        <v>221</v>
      </c>
      <c r="B20" s="287">
        <v>43</v>
      </c>
      <c r="C20" s="142">
        <v>37</v>
      </c>
      <c r="D20" s="142">
        <v>8100</v>
      </c>
      <c r="E20" s="142">
        <v>41</v>
      </c>
      <c r="F20" s="142">
        <v>40</v>
      </c>
      <c r="G20" s="142">
        <v>8386</v>
      </c>
      <c r="H20" s="142">
        <v>41</v>
      </c>
      <c r="I20" s="142">
        <v>40</v>
      </c>
      <c r="J20" s="142">
        <v>8228</v>
      </c>
      <c r="K20" s="142">
        <f t="shared" si="1"/>
        <v>0</v>
      </c>
      <c r="L20" s="142">
        <f t="shared" si="2"/>
        <v>0</v>
      </c>
      <c r="M20" s="139">
        <f t="shared" si="0"/>
        <v>-158</v>
      </c>
      <c r="N20" s="176" t="s">
        <v>12</v>
      </c>
    </row>
    <row r="21" spans="1:16" ht="13.9" x14ac:dyDescent="0.25">
      <c r="A21" s="288" t="s">
        <v>222</v>
      </c>
      <c r="B21" s="287">
        <v>7</v>
      </c>
      <c r="C21" s="142">
        <v>6</v>
      </c>
      <c r="D21" s="142">
        <v>0</v>
      </c>
      <c r="E21" s="142">
        <v>7</v>
      </c>
      <c r="F21" s="142">
        <v>7</v>
      </c>
      <c r="G21" s="142">
        <v>1250</v>
      </c>
      <c r="H21" s="142">
        <v>7</v>
      </c>
      <c r="I21" s="142">
        <v>7</v>
      </c>
      <c r="J21" s="142">
        <v>1250</v>
      </c>
      <c r="K21" s="142">
        <f t="shared" si="1"/>
        <v>0</v>
      </c>
      <c r="L21" s="142">
        <f t="shared" si="2"/>
        <v>0</v>
      </c>
      <c r="M21" s="139">
        <f t="shared" si="0"/>
        <v>0</v>
      </c>
      <c r="N21" s="176" t="s">
        <v>12</v>
      </c>
    </row>
    <row r="22" spans="1:16" ht="13.9" x14ac:dyDescent="0.25">
      <c r="A22" s="288" t="s">
        <v>223</v>
      </c>
      <c r="B22" s="287">
        <v>3</v>
      </c>
      <c r="C22" s="142">
        <v>3</v>
      </c>
      <c r="D22" s="142">
        <v>2102</v>
      </c>
      <c r="E22" s="142">
        <v>3</v>
      </c>
      <c r="F22" s="142">
        <v>3</v>
      </c>
      <c r="G22" s="142">
        <v>2800</v>
      </c>
      <c r="H22" s="142">
        <v>3</v>
      </c>
      <c r="I22" s="142">
        <v>3</v>
      </c>
      <c r="J22" s="142">
        <v>2800</v>
      </c>
      <c r="K22" s="142">
        <f t="shared" si="1"/>
        <v>0</v>
      </c>
      <c r="L22" s="142">
        <f t="shared" si="2"/>
        <v>0</v>
      </c>
      <c r="M22" s="139">
        <f t="shared" si="0"/>
        <v>0</v>
      </c>
      <c r="N22" s="176" t="s">
        <v>12</v>
      </c>
    </row>
    <row r="23" spans="1:16" x14ac:dyDescent="0.2">
      <c r="A23" s="288" t="s">
        <v>224</v>
      </c>
      <c r="B23" s="287">
        <v>0</v>
      </c>
      <c r="C23" s="142">
        <v>0</v>
      </c>
      <c r="D23" s="142">
        <v>0</v>
      </c>
      <c r="E23" s="142">
        <v>0</v>
      </c>
      <c r="F23" s="142">
        <v>0</v>
      </c>
      <c r="G23" s="142">
        <v>267</v>
      </c>
      <c r="H23" s="142">
        <v>0</v>
      </c>
      <c r="I23" s="142">
        <v>0</v>
      </c>
      <c r="J23" s="142">
        <v>99</v>
      </c>
      <c r="K23" s="142">
        <f t="shared" si="1"/>
        <v>0</v>
      </c>
      <c r="L23" s="142">
        <f t="shared" si="2"/>
        <v>0</v>
      </c>
      <c r="M23" s="139">
        <f t="shared" si="0"/>
        <v>-168</v>
      </c>
      <c r="N23" s="176" t="s">
        <v>12</v>
      </c>
    </row>
    <row r="24" spans="1:16" ht="15.75" thickBot="1" x14ac:dyDescent="0.3">
      <c r="A24" s="420" t="s">
        <v>114</v>
      </c>
      <c r="B24" s="35">
        <f t="shared" ref="B24:M24" si="3">SUM(B9:B23)</f>
        <v>424</v>
      </c>
      <c r="C24" s="35">
        <f t="shared" si="3"/>
        <v>340</v>
      </c>
      <c r="D24" s="35">
        <f t="shared" si="3"/>
        <v>32867</v>
      </c>
      <c r="E24" s="35">
        <f t="shared" si="3"/>
        <v>426</v>
      </c>
      <c r="F24" s="35">
        <f t="shared" si="3"/>
        <v>425</v>
      </c>
      <c r="G24" s="35">
        <f t="shared" si="3"/>
        <v>47478</v>
      </c>
      <c r="H24" s="35">
        <f t="shared" si="3"/>
        <v>426</v>
      </c>
      <c r="I24" s="35">
        <f t="shared" si="3"/>
        <v>425</v>
      </c>
      <c r="J24" s="35">
        <f t="shared" si="3"/>
        <v>36440</v>
      </c>
      <c r="K24" s="35">
        <f t="shared" ref="K24:L24" si="4">SUM(K9:K23)</f>
        <v>0</v>
      </c>
      <c r="L24" s="35">
        <f t="shared" si="4"/>
        <v>0</v>
      </c>
      <c r="M24" s="120">
        <f t="shared" si="3"/>
        <v>-11038</v>
      </c>
      <c r="N24" s="176" t="s">
        <v>12</v>
      </c>
    </row>
    <row r="25" spans="1:16" ht="15" thickBot="1" x14ac:dyDescent="0.25">
      <c r="N25" s="176" t="s">
        <v>12</v>
      </c>
    </row>
    <row r="26" spans="1:16" ht="18" customHeight="1" x14ac:dyDescent="0.2">
      <c r="A26" s="337" t="s">
        <v>109</v>
      </c>
      <c r="B26" s="339" t="s">
        <v>139</v>
      </c>
      <c r="C26" s="339"/>
      <c r="D26" s="339"/>
      <c r="E26" s="339" t="s">
        <v>142</v>
      </c>
      <c r="F26" s="339"/>
      <c r="G26" s="339"/>
      <c r="H26" s="339" t="s">
        <v>136</v>
      </c>
      <c r="I26" s="339"/>
      <c r="J26" s="339"/>
      <c r="K26" s="339" t="s">
        <v>50</v>
      </c>
      <c r="L26" s="339"/>
      <c r="M26" s="340"/>
      <c r="N26" s="176" t="s">
        <v>12</v>
      </c>
    </row>
    <row r="27" spans="1:16" ht="28.5" x14ac:dyDescent="0.25">
      <c r="A27" s="338"/>
      <c r="B27" s="195" t="s">
        <v>51</v>
      </c>
      <c r="C27" s="195" t="s">
        <v>52</v>
      </c>
      <c r="D27" s="195" t="s">
        <v>4</v>
      </c>
      <c r="E27" s="195" t="s">
        <v>51</v>
      </c>
      <c r="F27" s="195" t="s">
        <v>52</v>
      </c>
      <c r="G27" s="195" t="s">
        <v>4</v>
      </c>
      <c r="H27" s="195" t="s">
        <v>51</v>
      </c>
      <c r="I27" s="195" t="s">
        <v>52</v>
      </c>
      <c r="J27" s="195" t="s">
        <v>4</v>
      </c>
      <c r="K27" s="195" t="s">
        <v>51</v>
      </c>
      <c r="L27" s="195" t="s">
        <v>52</v>
      </c>
      <c r="M27" s="201" t="s">
        <v>4</v>
      </c>
      <c r="N27" s="176" t="s">
        <v>12</v>
      </c>
      <c r="P27" s="65"/>
    </row>
    <row r="28" spans="1:16" ht="13.9" x14ac:dyDescent="0.25">
      <c r="A28" s="222" t="s">
        <v>187</v>
      </c>
      <c r="B28" s="185">
        <v>83</v>
      </c>
      <c r="C28" s="185">
        <v>67</v>
      </c>
      <c r="D28" s="185">
        <v>6807</v>
      </c>
      <c r="E28" s="185">
        <v>83</v>
      </c>
      <c r="F28" s="185">
        <v>83</v>
      </c>
      <c r="G28" s="185">
        <v>10878</v>
      </c>
      <c r="H28" s="185">
        <v>83</v>
      </c>
      <c r="I28" s="185">
        <v>83</v>
      </c>
      <c r="J28" s="185">
        <v>10878</v>
      </c>
      <c r="K28" s="185">
        <f>+H28-E28</f>
        <v>0</v>
      </c>
      <c r="L28" s="185">
        <f>+I28-F28</f>
        <v>0</v>
      </c>
      <c r="M28" s="202">
        <f>J28-G28</f>
        <v>0</v>
      </c>
      <c r="N28" s="176" t="s">
        <v>12</v>
      </c>
      <c r="P28" s="5"/>
    </row>
    <row r="29" spans="1:16" ht="13.9" x14ac:dyDescent="0.25">
      <c r="A29" s="223" t="s">
        <v>188</v>
      </c>
      <c r="B29" s="142">
        <v>304</v>
      </c>
      <c r="C29" s="142">
        <v>241</v>
      </c>
      <c r="D29" s="142">
        <v>10031</v>
      </c>
      <c r="E29" s="142">
        <v>305</v>
      </c>
      <c r="F29" s="142">
        <v>304</v>
      </c>
      <c r="G29" s="142">
        <v>13220</v>
      </c>
      <c r="H29" s="142">
        <v>305</v>
      </c>
      <c r="I29" s="142">
        <v>304</v>
      </c>
      <c r="J29" s="142">
        <v>13062</v>
      </c>
      <c r="K29" s="142">
        <f t="shared" ref="K29:K32" si="5">+H29-E29</f>
        <v>0</v>
      </c>
      <c r="L29" s="142">
        <f t="shared" ref="L29:L32" si="6">+I29-F29</f>
        <v>0</v>
      </c>
      <c r="M29" s="139">
        <f>J29-G29</f>
        <v>-158</v>
      </c>
      <c r="N29" s="176" t="s">
        <v>12</v>
      </c>
    </row>
    <row r="30" spans="1:16" ht="13.9" x14ac:dyDescent="0.25">
      <c r="A30" s="223" t="s">
        <v>189</v>
      </c>
      <c r="B30" s="142">
        <v>0</v>
      </c>
      <c r="C30" s="142">
        <v>0</v>
      </c>
      <c r="D30" s="142">
        <v>0</v>
      </c>
      <c r="E30" s="142">
        <v>0</v>
      </c>
      <c r="F30" s="142">
        <v>0</v>
      </c>
      <c r="G30" s="142">
        <v>0</v>
      </c>
      <c r="H30" s="142">
        <v>0</v>
      </c>
      <c r="I30" s="142">
        <v>0</v>
      </c>
      <c r="J30" s="142">
        <v>0</v>
      </c>
      <c r="K30" s="142">
        <f t="shared" si="5"/>
        <v>0</v>
      </c>
      <c r="L30" s="142">
        <f t="shared" si="6"/>
        <v>0</v>
      </c>
      <c r="M30" s="139">
        <f>J30-G30</f>
        <v>0</v>
      </c>
      <c r="N30" s="176" t="s">
        <v>12</v>
      </c>
    </row>
    <row r="31" spans="1:16" ht="13.9" x14ac:dyDescent="0.25">
      <c r="A31" s="223" t="s">
        <v>190</v>
      </c>
      <c r="B31" s="142">
        <v>1</v>
      </c>
      <c r="C31" s="142">
        <v>1</v>
      </c>
      <c r="D31" s="142">
        <v>644</v>
      </c>
      <c r="E31" s="142">
        <v>1</v>
      </c>
      <c r="F31" s="142">
        <v>1</v>
      </c>
      <c r="G31" s="142">
        <v>2500</v>
      </c>
      <c r="H31" s="142">
        <v>1</v>
      </c>
      <c r="I31" s="142">
        <v>1</v>
      </c>
      <c r="J31" s="142">
        <v>2500</v>
      </c>
      <c r="K31" s="142">
        <f t="shared" si="5"/>
        <v>0</v>
      </c>
      <c r="L31" s="142">
        <f t="shared" si="6"/>
        <v>0</v>
      </c>
      <c r="M31" s="139">
        <f>J31-G31</f>
        <v>0</v>
      </c>
      <c r="N31" s="176" t="s">
        <v>12</v>
      </c>
    </row>
    <row r="32" spans="1:16" x14ac:dyDescent="0.2">
      <c r="A32" s="289" t="s">
        <v>191</v>
      </c>
      <c r="B32" s="198">
        <v>36</v>
      </c>
      <c r="C32" s="198">
        <v>31</v>
      </c>
      <c r="D32" s="198">
        <v>15385</v>
      </c>
      <c r="E32" s="198">
        <v>37</v>
      </c>
      <c r="F32" s="198">
        <v>37</v>
      </c>
      <c r="G32" s="198">
        <v>20880</v>
      </c>
      <c r="H32" s="198">
        <v>37</v>
      </c>
      <c r="I32" s="198">
        <v>37</v>
      </c>
      <c r="J32" s="198">
        <v>10000</v>
      </c>
      <c r="K32" s="198">
        <f t="shared" si="5"/>
        <v>0</v>
      </c>
      <c r="L32" s="198">
        <f t="shared" si="6"/>
        <v>0</v>
      </c>
      <c r="M32" s="290">
        <f>J32-G32</f>
        <v>-10880</v>
      </c>
      <c r="N32" s="176" t="s">
        <v>12</v>
      </c>
    </row>
    <row r="33" spans="1:16" ht="15.75" thickBot="1" x14ac:dyDescent="0.3">
      <c r="A33" s="420" t="s">
        <v>114</v>
      </c>
      <c r="B33" s="35">
        <f>SUM(B28:B32)</f>
        <v>424</v>
      </c>
      <c r="C33" s="35">
        <f t="shared" ref="C33:M33" si="7">SUM(C28:C32)</f>
        <v>340</v>
      </c>
      <c r="D33" s="35">
        <f t="shared" si="7"/>
        <v>32867</v>
      </c>
      <c r="E33" s="35">
        <f t="shared" si="7"/>
        <v>426</v>
      </c>
      <c r="F33" s="35">
        <f t="shared" si="7"/>
        <v>425</v>
      </c>
      <c r="G33" s="35">
        <f t="shared" si="7"/>
        <v>47478</v>
      </c>
      <c r="H33" s="35">
        <f t="shared" si="7"/>
        <v>426</v>
      </c>
      <c r="I33" s="35">
        <f t="shared" si="7"/>
        <v>425</v>
      </c>
      <c r="J33" s="35">
        <f t="shared" si="7"/>
        <v>36440</v>
      </c>
      <c r="K33" s="35">
        <f t="shared" ref="K33:L33" si="8">SUM(K28:K32)</f>
        <v>0</v>
      </c>
      <c r="L33" s="35">
        <f t="shared" si="8"/>
        <v>0</v>
      </c>
      <c r="M33" s="120">
        <f t="shared" si="7"/>
        <v>-11038</v>
      </c>
      <c r="N33" s="176" t="s">
        <v>12</v>
      </c>
      <c r="P33" s="5"/>
    </row>
    <row r="34" spans="1:16" x14ac:dyDescent="0.2">
      <c r="N34" s="176" t="s">
        <v>12</v>
      </c>
    </row>
    <row r="35" spans="1:16" ht="13.9" x14ac:dyDescent="0.25">
      <c r="N35" s="176" t="s">
        <v>13</v>
      </c>
    </row>
  </sheetData>
  <mergeCells count="16">
    <mergeCell ref="A6:M6"/>
    <mergeCell ref="A1:M1"/>
    <mergeCell ref="A2:M2"/>
    <mergeCell ref="A3:M3"/>
    <mergeCell ref="A4:M4"/>
    <mergeCell ref="A5:M5"/>
    <mergeCell ref="K7:M7"/>
    <mergeCell ref="K26:M26"/>
    <mergeCell ref="A7:A8"/>
    <mergeCell ref="B7:D7"/>
    <mergeCell ref="E7:G7"/>
    <mergeCell ref="H7:J7"/>
    <mergeCell ref="A26:A27"/>
    <mergeCell ref="B26:D26"/>
    <mergeCell ref="E26:G26"/>
    <mergeCell ref="H26:J26"/>
  </mergeCells>
  <printOptions horizontalCentered="1"/>
  <pageMargins left="0.45" right="0.45" top="0.75" bottom="0.75" header="0.3" footer="0.3"/>
  <pageSetup scale="73" fitToHeight="0" orientation="landscape" r:id="rId1"/>
  <headerFooter>
    <oddHeader>&amp;L&amp;"Arial,Bold"&amp;12H. Summary of Reimbursable Resources</oddHeader>
    <oddFooter>&amp;C&amp;"Arial,Regular"Exhibit H - Summary of Reimbursable Resources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view="pageBreakPreview" zoomScale="90" zoomScaleNormal="100" zoomScaleSheetLayoutView="90" workbookViewId="0">
      <selection activeCell="A7" sqref="A7:A8"/>
    </sheetView>
  </sheetViews>
  <sheetFormatPr defaultColWidth="9.140625" defaultRowHeight="14.25" x14ac:dyDescent="0.2"/>
  <cols>
    <col min="1" max="1" width="57.5703125" style="131" customWidth="1"/>
    <col min="2" max="5" width="13.7109375" style="131" customWidth="1"/>
    <col min="6" max="8" width="13.7109375" style="131" hidden="1" customWidth="1"/>
    <col min="9" max="9" width="13.7109375" style="131" customWidth="1"/>
    <col min="10" max="10" width="16.7109375" style="131" customWidth="1"/>
    <col min="11" max="11" width="14" style="173" bestFit="1" customWidth="1"/>
    <col min="12" max="12" width="4.5703125" style="131" customWidth="1"/>
    <col min="13" max="13" width="122.85546875" style="131" customWidth="1"/>
    <col min="14" max="15" width="8.28515625" style="131" customWidth="1"/>
    <col min="16" max="16" width="12.7109375" style="131" customWidth="1"/>
    <col min="17" max="18" width="8.28515625" style="131" customWidth="1"/>
    <col min="19" max="19" width="12.7109375" style="131" customWidth="1"/>
    <col min="20" max="16384" width="9.140625" style="131"/>
  </cols>
  <sheetData>
    <row r="1" spans="1:19" ht="18" x14ac:dyDescent="0.25">
      <c r="A1" s="330" t="s">
        <v>53</v>
      </c>
      <c r="B1" s="330"/>
      <c r="C1" s="330"/>
      <c r="D1" s="330"/>
      <c r="E1" s="330"/>
      <c r="F1" s="330"/>
      <c r="G1" s="330"/>
      <c r="H1" s="330"/>
      <c r="I1" s="330"/>
      <c r="J1" s="330"/>
      <c r="K1" s="176" t="s">
        <v>12</v>
      </c>
      <c r="L1" s="174"/>
      <c r="M1" s="311"/>
      <c r="N1" s="174"/>
      <c r="O1" s="174"/>
      <c r="P1" s="174"/>
      <c r="Q1" s="174"/>
      <c r="R1" s="174"/>
      <c r="S1" s="174"/>
    </row>
    <row r="2" spans="1:19" ht="15" x14ac:dyDescent="0.2">
      <c r="A2" s="331" t="s">
        <v>175</v>
      </c>
      <c r="B2" s="331"/>
      <c r="C2" s="331"/>
      <c r="D2" s="331"/>
      <c r="E2" s="331"/>
      <c r="F2" s="331"/>
      <c r="G2" s="331"/>
      <c r="H2" s="331"/>
      <c r="I2" s="331"/>
      <c r="J2" s="331"/>
      <c r="K2" s="176" t="s">
        <v>12</v>
      </c>
      <c r="L2" s="175"/>
      <c r="M2" s="307"/>
      <c r="N2" s="175"/>
      <c r="O2" s="175"/>
      <c r="P2" s="175"/>
      <c r="Q2" s="175"/>
      <c r="R2" s="175"/>
      <c r="S2" s="175"/>
    </row>
    <row r="3" spans="1:19" x14ac:dyDescent="0.2">
      <c r="A3" s="332" t="s">
        <v>1</v>
      </c>
      <c r="B3" s="332"/>
      <c r="C3" s="332"/>
      <c r="D3" s="332"/>
      <c r="E3" s="332"/>
      <c r="F3" s="332"/>
      <c r="G3" s="332"/>
      <c r="H3" s="332"/>
      <c r="I3" s="332"/>
      <c r="J3" s="332"/>
      <c r="K3" s="176" t="s">
        <v>12</v>
      </c>
      <c r="L3" s="152"/>
      <c r="M3" s="307"/>
      <c r="N3" s="152"/>
      <c r="O3" s="152"/>
      <c r="P3" s="152"/>
      <c r="Q3" s="152"/>
      <c r="R3" s="152"/>
      <c r="S3" s="152"/>
    </row>
    <row r="4" spans="1:19" x14ac:dyDescent="0.2">
      <c r="A4" s="333" t="s">
        <v>2</v>
      </c>
      <c r="B4" s="333"/>
      <c r="C4" s="333"/>
      <c r="D4" s="333"/>
      <c r="E4" s="333"/>
      <c r="F4" s="333"/>
      <c r="G4" s="333"/>
      <c r="H4" s="333"/>
      <c r="I4" s="333"/>
      <c r="J4" s="333"/>
      <c r="K4" s="176" t="s">
        <v>12</v>
      </c>
      <c r="L4" s="151"/>
      <c r="M4" s="307"/>
      <c r="N4" s="151"/>
      <c r="O4" s="151"/>
      <c r="P4" s="151"/>
      <c r="Q4" s="151"/>
      <c r="R4" s="151"/>
      <c r="S4" s="151"/>
    </row>
    <row r="5" spans="1:19" ht="15" x14ac:dyDescent="0.25">
      <c r="A5" s="333"/>
      <c r="B5" s="333"/>
      <c r="C5" s="333"/>
      <c r="D5" s="333"/>
      <c r="E5" s="333"/>
      <c r="F5" s="333"/>
      <c r="G5" s="333"/>
      <c r="H5" s="333"/>
      <c r="I5" s="333"/>
      <c r="J5" s="333"/>
      <c r="K5" s="176" t="s">
        <v>12</v>
      </c>
      <c r="L5" s="151"/>
      <c r="M5" s="309"/>
      <c r="N5" s="151"/>
      <c r="O5" s="151"/>
      <c r="P5" s="151"/>
      <c r="Q5" s="151"/>
      <c r="R5" s="151"/>
      <c r="S5" s="151"/>
    </row>
    <row r="6" spans="1:19" ht="15" thickBot="1" x14ac:dyDescent="0.25">
      <c r="A6" s="333"/>
      <c r="B6" s="333"/>
      <c r="C6" s="333"/>
      <c r="D6" s="333"/>
      <c r="E6" s="333"/>
      <c r="F6" s="333"/>
      <c r="G6" s="333"/>
      <c r="H6" s="333"/>
      <c r="I6" s="333"/>
      <c r="J6" s="333"/>
      <c r="K6" s="176" t="s">
        <v>12</v>
      </c>
      <c r="L6" s="151"/>
      <c r="M6" s="200"/>
      <c r="N6" s="151"/>
      <c r="O6" s="151"/>
      <c r="P6" s="151"/>
      <c r="Q6" s="151"/>
      <c r="R6" s="151"/>
      <c r="S6" s="151"/>
    </row>
    <row r="7" spans="1:19" ht="44.25" customHeight="1" x14ac:dyDescent="0.2">
      <c r="A7" s="348" t="s">
        <v>55</v>
      </c>
      <c r="B7" s="401" t="s">
        <v>165</v>
      </c>
      <c r="C7" s="341"/>
      <c r="D7" s="401" t="s">
        <v>166</v>
      </c>
      <c r="E7" s="341"/>
      <c r="F7" s="343" t="s">
        <v>136</v>
      </c>
      <c r="G7" s="387"/>
      <c r="H7" s="387"/>
      <c r="I7" s="387"/>
      <c r="J7" s="402"/>
      <c r="K7" s="176" t="s">
        <v>12</v>
      </c>
    </row>
    <row r="8" spans="1:19" ht="28.5" x14ac:dyDescent="0.2">
      <c r="A8" s="350"/>
      <c r="B8" s="195" t="s">
        <v>3</v>
      </c>
      <c r="C8" s="195" t="s">
        <v>51</v>
      </c>
      <c r="D8" s="195" t="s">
        <v>3</v>
      </c>
      <c r="E8" s="195" t="s">
        <v>51</v>
      </c>
      <c r="F8" s="195" t="s">
        <v>54</v>
      </c>
      <c r="G8" s="195" t="s">
        <v>20</v>
      </c>
      <c r="H8" s="195" t="s">
        <v>22</v>
      </c>
      <c r="I8" s="195" t="s">
        <v>59</v>
      </c>
      <c r="J8" s="201" t="s">
        <v>60</v>
      </c>
      <c r="K8" s="176" t="s">
        <v>12</v>
      </c>
    </row>
    <row r="9" spans="1:19" x14ac:dyDescent="0.2">
      <c r="A9" s="191" t="s">
        <v>194</v>
      </c>
      <c r="B9" s="185">
        <v>3</v>
      </c>
      <c r="C9" s="185">
        <v>0</v>
      </c>
      <c r="D9" s="185">
        <v>3</v>
      </c>
      <c r="E9" s="185">
        <v>0</v>
      </c>
      <c r="F9" s="185">
        <v>0</v>
      </c>
      <c r="G9" s="185">
        <v>0</v>
      </c>
      <c r="H9" s="185">
        <v>0</v>
      </c>
      <c r="I9" s="185">
        <f>D9+F9+G9+H9</f>
        <v>3</v>
      </c>
      <c r="J9" s="202">
        <v>0</v>
      </c>
      <c r="K9" s="176" t="s">
        <v>12</v>
      </c>
    </row>
    <row r="10" spans="1:19" x14ac:dyDescent="0.2">
      <c r="A10" s="192" t="s">
        <v>195</v>
      </c>
      <c r="B10" s="142">
        <v>26</v>
      </c>
      <c r="C10" s="142">
        <v>25</v>
      </c>
      <c r="D10" s="142">
        <v>26</v>
      </c>
      <c r="E10" s="142">
        <v>25</v>
      </c>
      <c r="F10" s="142">
        <v>0</v>
      </c>
      <c r="G10" s="142">
        <v>0</v>
      </c>
      <c r="H10" s="142">
        <v>0</v>
      </c>
      <c r="I10" s="142">
        <f t="shared" ref="I10:I25" si="0">D10+F10+G10+H10</f>
        <v>26</v>
      </c>
      <c r="J10" s="139">
        <v>25</v>
      </c>
      <c r="K10" s="176" t="s">
        <v>12</v>
      </c>
    </row>
    <row r="11" spans="1:19" x14ac:dyDescent="0.2">
      <c r="A11" s="192" t="s">
        <v>177</v>
      </c>
      <c r="B11" s="142">
        <v>5</v>
      </c>
      <c r="C11" s="142">
        <v>0</v>
      </c>
      <c r="D11" s="142">
        <v>5</v>
      </c>
      <c r="E11" s="142">
        <v>0</v>
      </c>
      <c r="F11" s="142">
        <v>0</v>
      </c>
      <c r="G11" s="142">
        <v>0</v>
      </c>
      <c r="H11" s="142">
        <v>0</v>
      </c>
      <c r="I11" s="142">
        <f t="shared" si="0"/>
        <v>5</v>
      </c>
      <c r="J11" s="139">
        <v>0</v>
      </c>
      <c r="K11" s="176" t="s">
        <v>12</v>
      </c>
    </row>
    <row r="12" spans="1:19" x14ac:dyDescent="0.2">
      <c r="A12" s="192" t="s">
        <v>193</v>
      </c>
      <c r="B12" s="142">
        <v>47</v>
      </c>
      <c r="C12" s="142">
        <v>3</v>
      </c>
      <c r="D12" s="142">
        <v>47</v>
      </c>
      <c r="E12" s="142">
        <v>3</v>
      </c>
      <c r="F12" s="142">
        <v>0</v>
      </c>
      <c r="G12" s="142">
        <v>0</v>
      </c>
      <c r="H12" s="142">
        <v>0</v>
      </c>
      <c r="I12" s="142">
        <f t="shared" si="0"/>
        <v>47</v>
      </c>
      <c r="J12" s="139">
        <v>3</v>
      </c>
      <c r="K12" s="176" t="s">
        <v>12</v>
      </c>
    </row>
    <row r="13" spans="1:19" x14ac:dyDescent="0.2">
      <c r="A13" s="192" t="s">
        <v>196</v>
      </c>
      <c r="B13" s="142">
        <v>43</v>
      </c>
      <c r="C13" s="142">
        <v>3</v>
      </c>
      <c r="D13" s="142">
        <v>43</v>
      </c>
      <c r="E13" s="142">
        <v>3</v>
      </c>
      <c r="F13" s="142">
        <v>0</v>
      </c>
      <c r="G13" s="142">
        <v>0</v>
      </c>
      <c r="H13" s="142">
        <v>0</v>
      </c>
      <c r="I13" s="142">
        <f t="shared" si="0"/>
        <v>43</v>
      </c>
      <c r="J13" s="139">
        <v>3</v>
      </c>
      <c r="K13" s="176" t="s">
        <v>12</v>
      </c>
    </row>
    <row r="14" spans="1:19" x14ac:dyDescent="0.2">
      <c r="A14" s="192" t="s">
        <v>197</v>
      </c>
      <c r="B14" s="142">
        <f>795+4</f>
        <v>799</v>
      </c>
      <c r="C14" s="142">
        <v>117</v>
      </c>
      <c r="D14" s="142">
        <f>795+4</f>
        <v>799</v>
      </c>
      <c r="E14" s="142">
        <v>117</v>
      </c>
      <c r="F14" s="142">
        <v>0</v>
      </c>
      <c r="G14" s="142">
        <v>0</v>
      </c>
      <c r="H14" s="142">
        <v>0</v>
      </c>
      <c r="I14" s="142">
        <f>D14+F14+G14+H14</f>
        <v>799</v>
      </c>
      <c r="J14" s="139">
        <v>117</v>
      </c>
      <c r="K14" s="176" t="s">
        <v>12</v>
      </c>
    </row>
    <row r="15" spans="1:19" x14ac:dyDescent="0.2">
      <c r="A15" s="192" t="s">
        <v>56</v>
      </c>
      <c r="B15" s="142">
        <v>136</v>
      </c>
      <c r="C15" s="142">
        <v>16</v>
      </c>
      <c r="D15" s="142">
        <v>136</v>
      </c>
      <c r="E15" s="142">
        <v>16</v>
      </c>
      <c r="F15" s="142">
        <v>0</v>
      </c>
      <c r="G15" s="142">
        <v>0</v>
      </c>
      <c r="H15" s="142">
        <v>0</v>
      </c>
      <c r="I15" s="142">
        <f t="shared" si="0"/>
        <v>136</v>
      </c>
      <c r="J15" s="139">
        <v>16</v>
      </c>
      <c r="K15" s="176" t="s">
        <v>12</v>
      </c>
    </row>
    <row r="16" spans="1:19" x14ac:dyDescent="0.2">
      <c r="A16" s="192" t="s">
        <v>178</v>
      </c>
      <c r="B16" s="142">
        <v>3</v>
      </c>
      <c r="C16" s="142">
        <v>1</v>
      </c>
      <c r="D16" s="142">
        <v>3</v>
      </c>
      <c r="E16" s="142">
        <v>1</v>
      </c>
      <c r="F16" s="142">
        <v>0</v>
      </c>
      <c r="G16" s="142">
        <v>0</v>
      </c>
      <c r="H16" s="142">
        <v>0</v>
      </c>
      <c r="I16" s="142">
        <f t="shared" si="0"/>
        <v>3</v>
      </c>
      <c r="J16" s="139">
        <v>1</v>
      </c>
      <c r="K16" s="176" t="s">
        <v>12</v>
      </c>
    </row>
    <row r="17" spans="1:11" x14ac:dyDescent="0.2">
      <c r="A17" s="192" t="s">
        <v>179</v>
      </c>
      <c r="B17" s="142">
        <v>3</v>
      </c>
      <c r="C17" s="142">
        <v>0</v>
      </c>
      <c r="D17" s="142">
        <v>3</v>
      </c>
      <c r="E17" s="142">
        <v>0</v>
      </c>
      <c r="F17" s="142">
        <v>0</v>
      </c>
      <c r="G17" s="142">
        <v>0</v>
      </c>
      <c r="H17" s="142">
        <v>0</v>
      </c>
      <c r="I17" s="142">
        <f t="shared" si="0"/>
        <v>3</v>
      </c>
      <c r="J17" s="139">
        <v>0</v>
      </c>
      <c r="K17" s="176" t="s">
        <v>12</v>
      </c>
    </row>
    <row r="18" spans="1:11" x14ac:dyDescent="0.2">
      <c r="A18" s="192" t="s">
        <v>180</v>
      </c>
      <c r="B18" s="142">
        <v>2</v>
      </c>
      <c r="C18" s="142">
        <v>2</v>
      </c>
      <c r="D18" s="142">
        <v>2</v>
      </c>
      <c r="E18" s="142">
        <v>2</v>
      </c>
      <c r="F18" s="142">
        <v>0</v>
      </c>
      <c r="G18" s="142">
        <v>0</v>
      </c>
      <c r="H18" s="142">
        <v>0</v>
      </c>
      <c r="I18" s="142">
        <f t="shared" si="0"/>
        <v>2</v>
      </c>
      <c r="J18" s="139">
        <v>2</v>
      </c>
      <c r="K18" s="176" t="s">
        <v>12</v>
      </c>
    </row>
    <row r="19" spans="1:11" x14ac:dyDescent="0.2">
      <c r="A19" s="192" t="s">
        <v>192</v>
      </c>
      <c r="B19" s="142">
        <v>19</v>
      </c>
      <c r="C19" s="142">
        <v>3</v>
      </c>
      <c r="D19" s="142">
        <v>19</v>
      </c>
      <c r="E19" s="142">
        <v>3</v>
      </c>
      <c r="F19" s="142">
        <v>0</v>
      </c>
      <c r="G19" s="142">
        <v>0</v>
      </c>
      <c r="H19" s="142">
        <v>0</v>
      </c>
      <c r="I19" s="142">
        <f t="shared" si="0"/>
        <v>19</v>
      </c>
      <c r="J19" s="139">
        <v>3</v>
      </c>
      <c r="K19" s="176" t="s">
        <v>12</v>
      </c>
    </row>
    <row r="20" spans="1:11" x14ac:dyDescent="0.2">
      <c r="A20" s="192" t="s">
        <v>181</v>
      </c>
      <c r="B20" s="142">
        <v>1</v>
      </c>
      <c r="C20" s="142">
        <v>0</v>
      </c>
      <c r="D20" s="142">
        <v>1</v>
      </c>
      <c r="E20" s="142">
        <v>0</v>
      </c>
      <c r="F20" s="142">
        <v>0</v>
      </c>
      <c r="G20" s="142">
        <v>0</v>
      </c>
      <c r="H20" s="142">
        <v>0</v>
      </c>
      <c r="I20" s="142">
        <f t="shared" si="0"/>
        <v>1</v>
      </c>
      <c r="J20" s="139">
        <v>0</v>
      </c>
      <c r="K20" s="176" t="s">
        <v>12</v>
      </c>
    </row>
    <row r="21" spans="1:11" x14ac:dyDescent="0.2">
      <c r="A21" s="192" t="s">
        <v>57</v>
      </c>
      <c r="B21" s="142">
        <v>12</v>
      </c>
      <c r="C21" s="142">
        <v>0</v>
      </c>
      <c r="D21" s="142">
        <v>12</v>
      </c>
      <c r="E21" s="142">
        <v>0</v>
      </c>
      <c r="F21" s="142">
        <v>0</v>
      </c>
      <c r="G21" s="142">
        <v>0</v>
      </c>
      <c r="H21" s="142">
        <v>0</v>
      </c>
      <c r="I21" s="142">
        <f t="shared" si="0"/>
        <v>12</v>
      </c>
      <c r="J21" s="139">
        <v>0</v>
      </c>
      <c r="K21" s="176" t="s">
        <v>12</v>
      </c>
    </row>
    <row r="22" spans="1:11" x14ac:dyDescent="0.2">
      <c r="A22" s="192" t="s">
        <v>58</v>
      </c>
      <c r="B22" s="142">
        <v>97</v>
      </c>
      <c r="C22" s="142">
        <v>85</v>
      </c>
      <c r="D22" s="142">
        <v>97</v>
      </c>
      <c r="E22" s="142">
        <v>84</v>
      </c>
      <c r="F22" s="142">
        <v>0</v>
      </c>
      <c r="G22" s="142">
        <v>0</v>
      </c>
      <c r="H22" s="142">
        <v>0</v>
      </c>
      <c r="I22" s="142">
        <f t="shared" si="0"/>
        <v>97</v>
      </c>
      <c r="J22" s="139">
        <v>84</v>
      </c>
      <c r="K22" s="176" t="s">
        <v>12</v>
      </c>
    </row>
    <row r="23" spans="1:11" ht="13.9" x14ac:dyDescent="0.25">
      <c r="A23" s="192" t="s">
        <v>182</v>
      </c>
      <c r="B23" s="142">
        <v>3</v>
      </c>
      <c r="C23" s="142">
        <v>0</v>
      </c>
      <c r="D23" s="142">
        <v>3</v>
      </c>
      <c r="E23" s="142">
        <v>0</v>
      </c>
      <c r="F23" s="142">
        <v>0</v>
      </c>
      <c r="G23" s="142">
        <v>0</v>
      </c>
      <c r="H23" s="142">
        <v>0</v>
      </c>
      <c r="I23" s="142">
        <f t="shared" si="0"/>
        <v>3</v>
      </c>
      <c r="J23" s="139">
        <v>0</v>
      </c>
      <c r="K23" s="176" t="s">
        <v>12</v>
      </c>
    </row>
    <row r="24" spans="1:11" ht="13.9" x14ac:dyDescent="0.25">
      <c r="A24" s="192" t="s">
        <v>183</v>
      </c>
      <c r="B24" s="142">
        <v>4</v>
      </c>
      <c r="C24" s="142">
        <v>0</v>
      </c>
      <c r="D24" s="142">
        <v>4</v>
      </c>
      <c r="E24" s="142">
        <v>0</v>
      </c>
      <c r="F24" s="142">
        <v>0</v>
      </c>
      <c r="G24" s="142">
        <v>0</v>
      </c>
      <c r="H24" s="142">
        <v>0</v>
      </c>
      <c r="I24" s="142">
        <f t="shared" si="0"/>
        <v>4</v>
      </c>
      <c r="J24" s="139">
        <v>0</v>
      </c>
      <c r="K24" s="176" t="s">
        <v>12</v>
      </c>
    </row>
    <row r="25" spans="1:11" ht="13.9" x14ac:dyDescent="0.25">
      <c r="A25" s="192" t="s">
        <v>184</v>
      </c>
      <c r="B25" s="142">
        <v>114</v>
      </c>
      <c r="C25" s="142">
        <v>0</v>
      </c>
      <c r="D25" s="142">
        <v>114</v>
      </c>
      <c r="E25" s="142">
        <v>0</v>
      </c>
      <c r="F25" s="142">
        <v>0</v>
      </c>
      <c r="G25" s="142">
        <v>0</v>
      </c>
      <c r="H25" s="142">
        <v>0</v>
      </c>
      <c r="I25" s="142">
        <f t="shared" si="0"/>
        <v>114</v>
      </c>
      <c r="J25" s="139">
        <v>0</v>
      </c>
      <c r="K25" s="176" t="s">
        <v>12</v>
      </c>
    </row>
    <row r="26" spans="1:11" ht="13.9" x14ac:dyDescent="0.25">
      <c r="A26" s="192" t="s">
        <v>210</v>
      </c>
      <c r="B26" s="142">
        <v>4134</v>
      </c>
      <c r="C26" s="142">
        <v>166</v>
      </c>
      <c r="D26" s="142">
        <v>4134</v>
      </c>
      <c r="E26" s="142">
        <v>169</v>
      </c>
      <c r="F26" s="142">
        <v>0</v>
      </c>
      <c r="G26" s="142">
        <v>0</v>
      </c>
      <c r="H26" s="142">
        <v>0</v>
      </c>
      <c r="I26" s="142">
        <f>D26+F26+G26+H26</f>
        <v>4134</v>
      </c>
      <c r="J26" s="139">
        <v>169</v>
      </c>
      <c r="K26" s="176" t="s">
        <v>12</v>
      </c>
    </row>
    <row r="27" spans="1:11" ht="13.9" x14ac:dyDescent="0.25">
      <c r="A27" s="192" t="s">
        <v>185</v>
      </c>
      <c r="B27" s="142">
        <v>6</v>
      </c>
      <c r="C27" s="142">
        <v>0</v>
      </c>
      <c r="D27" s="142">
        <v>6</v>
      </c>
      <c r="E27" s="142">
        <v>0</v>
      </c>
      <c r="F27" s="142">
        <v>0</v>
      </c>
      <c r="G27" s="142">
        <v>0</v>
      </c>
      <c r="H27" s="142">
        <v>0</v>
      </c>
      <c r="I27" s="142">
        <f t="shared" ref="I27:I28" si="1">D27+F27+G27+H27</f>
        <v>6</v>
      </c>
      <c r="J27" s="139">
        <v>0</v>
      </c>
      <c r="K27" s="176" t="s">
        <v>12</v>
      </c>
    </row>
    <row r="28" spans="1:11" ht="13.9" x14ac:dyDescent="0.25">
      <c r="A28" s="192" t="s">
        <v>186</v>
      </c>
      <c r="B28" s="142">
        <v>97</v>
      </c>
      <c r="C28" s="142">
        <v>3</v>
      </c>
      <c r="D28" s="142">
        <v>97</v>
      </c>
      <c r="E28" s="142">
        <v>3</v>
      </c>
      <c r="F28" s="142">
        <v>0</v>
      </c>
      <c r="G28" s="142">
        <v>0</v>
      </c>
      <c r="H28" s="142">
        <v>0</v>
      </c>
      <c r="I28" s="142">
        <f t="shared" si="1"/>
        <v>97</v>
      </c>
      <c r="J28" s="139">
        <v>3</v>
      </c>
      <c r="K28" s="176" t="s">
        <v>12</v>
      </c>
    </row>
    <row r="29" spans="1:11" ht="13.9" x14ac:dyDescent="0.25">
      <c r="A29" s="67" t="s">
        <v>14</v>
      </c>
      <c r="B29" s="114">
        <f>SUM(B9:B28)</f>
        <v>5554</v>
      </c>
      <c r="C29" s="114">
        <f t="shared" ref="C29:J29" si="2">SUM(C9:C28)</f>
        <v>424</v>
      </c>
      <c r="D29" s="114">
        <f t="shared" si="2"/>
        <v>5554</v>
      </c>
      <c r="E29" s="114">
        <f t="shared" si="2"/>
        <v>426</v>
      </c>
      <c r="F29" s="114">
        <f t="shared" si="2"/>
        <v>0</v>
      </c>
      <c r="G29" s="114">
        <f t="shared" si="2"/>
        <v>0</v>
      </c>
      <c r="H29" s="114">
        <f t="shared" si="2"/>
        <v>0</v>
      </c>
      <c r="I29" s="114">
        <f t="shared" si="2"/>
        <v>5554</v>
      </c>
      <c r="J29" s="115">
        <f t="shared" si="2"/>
        <v>426</v>
      </c>
      <c r="K29" s="176" t="s">
        <v>12</v>
      </c>
    </row>
    <row r="30" spans="1:11" ht="13.9" x14ac:dyDescent="0.25">
      <c r="A30" s="203" t="s">
        <v>61</v>
      </c>
      <c r="B30" s="193">
        <v>721</v>
      </c>
      <c r="C30" s="193">
        <v>156</v>
      </c>
      <c r="D30" s="193">
        <v>721</v>
      </c>
      <c r="E30" s="193">
        <v>158</v>
      </c>
      <c r="F30" s="193">
        <v>0</v>
      </c>
      <c r="G30" s="193">
        <v>0</v>
      </c>
      <c r="H30" s="193">
        <f>SUM(H11:H29)</f>
        <v>0</v>
      </c>
      <c r="I30" s="193">
        <v>721</v>
      </c>
      <c r="J30" s="219">
        <v>158</v>
      </c>
      <c r="K30" s="176" t="s">
        <v>12</v>
      </c>
    </row>
    <row r="31" spans="1:11" ht="13.9" x14ac:dyDescent="0.25">
      <c r="A31" s="204" t="s">
        <v>62</v>
      </c>
      <c r="B31" s="142">
        <v>4816</v>
      </c>
      <c r="C31" s="142">
        <v>268</v>
      </c>
      <c r="D31" s="142">
        <v>4816</v>
      </c>
      <c r="E31" s="142">
        <v>268</v>
      </c>
      <c r="F31" s="142">
        <v>0</v>
      </c>
      <c r="G31" s="142">
        <v>0</v>
      </c>
      <c r="H31" s="142">
        <f>SUM(H12:H30)</f>
        <v>0</v>
      </c>
      <c r="I31" s="142">
        <v>4816</v>
      </c>
      <c r="J31" s="139">
        <v>268</v>
      </c>
      <c r="K31" s="176" t="s">
        <v>12</v>
      </c>
    </row>
    <row r="32" spans="1:11" ht="13.9" x14ac:dyDescent="0.25">
      <c r="A32" s="204" t="s">
        <v>63</v>
      </c>
      <c r="B32" s="142">
        <v>17</v>
      </c>
      <c r="C32" s="142">
        <v>0</v>
      </c>
      <c r="D32" s="142">
        <v>17</v>
      </c>
      <c r="E32" s="142">
        <v>0</v>
      </c>
      <c r="F32" s="142">
        <v>0</v>
      </c>
      <c r="G32" s="142">
        <v>0</v>
      </c>
      <c r="H32" s="142">
        <f>SUM(H13:H31)</f>
        <v>0</v>
      </c>
      <c r="I32" s="142">
        <v>17</v>
      </c>
      <c r="J32" s="139">
        <v>0</v>
      </c>
      <c r="K32" s="176" t="s">
        <v>12</v>
      </c>
    </row>
    <row r="33" spans="1:11" ht="14.45" thickBot="1" x14ac:dyDescent="0.3">
      <c r="A33" s="205" t="s">
        <v>14</v>
      </c>
      <c r="B33" s="35">
        <f>SUM(B30:B32)</f>
        <v>5554</v>
      </c>
      <c r="C33" s="35">
        <f t="shared" ref="C33:J33" si="3">SUM(C30:C32)</f>
        <v>424</v>
      </c>
      <c r="D33" s="35">
        <f t="shared" si="3"/>
        <v>5554</v>
      </c>
      <c r="E33" s="35">
        <f t="shared" si="3"/>
        <v>426</v>
      </c>
      <c r="F33" s="35">
        <f t="shared" si="3"/>
        <v>0</v>
      </c>
      <c r="G33" s="35">
        <f t="shared" si="3"/>
        <v>0</v>
      </c>
      <c r="H33" s="35">
        <f t="shared" si="3"/>
        <v>0</v>
      </c>
      <c r="I33" s="35">
        <f>SUM(I30:I32)</f>
        <v>5554</v>
      </c>
      <c r="J33" s="217">
        <f t="shared" si="3"/>
        <v>426</v>
      </c>
      <c r="K33" s="176" t="s">
        <v>12</v>
      </c>
    </row>
    <row r="34" spans="1:11" ht="13.9" x14ac:dyDescent="0.25">
      <c r="A34" s="131" t="s">
        <v>198</v>
      </c>
      <c r="J34" s="199"/>
      <c r="K34" s="176" t="s">
        <v>12</v>
      </c>
    </row>
    <row r="35" spans="1:11" ht="13.9" x14ac:dyDescent="0.25">
      <c r="J35" s="199"/>
      <c r="K35" s="176" t="s">
        <v>13</v>
      </c>
    </row>
  </sheetData>
  <mergeCells count="10">
    <mergeCell ref="A7:A8"/>
    <mergeCell ref="B7:C7"/>
    <mergeCell ref="D7:E7"/>
    <mergeCell ref="F7:J7"/>
    <mergeCell ref="A1:J1"/>
    <mergeCell ref="A2:J2"/>
    <mergeCell ref="A3:J3"/>
    <mergeCell ref="A4:J4"/>
    <mergeCell ref="A5:J5"/>
    <mergeCell ref="A6:J6"/>
  </mergeCells>
  <printOptions horizontalCentered="1"/>
  <pageMargins left="0.7" right="0.7" top="0.75" bottom="0.75" header="0.3" footer="0.3"/>
  <pageSetup scale="71" orientation="landscape" cellComments="asDisplayed" r:id="rId1"/>
  <headerFooter>
    <oddHeader>&amp;L&amp;"Arial,Bold"&amp;12I. Detail of Permanent Positions by Category</oddHeader>
    <oddFooter>&amp;C&amp;"Arial,Regular"Exhibit I - Details of Permanent Positions by Category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view="pageBreakPreview" zoomScale="80" zoomScaleNormal="100" zoomScaleSheetLayoutView="80" workbookViewId="0">
      <selection activeCell="D22" sqref="D22:E22"/>
    </sheetView>
  </sheetViews>
  <sheetFormatPr defaultColWidth="9.140625" defaultRowHeight="14.25" x14ac:dyDescent="0.2"/>
  <cols>
    <col min="1" max="1" width="63.5703125" style="131" customWidth="1"/>
    <col min="2" max="2" width="12.28515625" style="131" customWidth="1"/>
    <col min="3" max="3" width="12.7109375" style="131" customWidth="1"/>
    <col min="4" max="4" width="11.28515625" style="131" customWidth="1"/>
    <col min="5" max="5" width="14" style="131" customWidth="1"/>
    <col min="6" max="6" width="11.28515625" style="131" customWidth="1"/>
    <col min="7" max="7" width="14.140625" style="131" customWidth="1"/>
    <col min="8" max="8" width="14" style="173" bestFit="1" customWidth="1"/>
    <col min="9" max="9" width="4.5703125" style="131" customWidth="1"/>
    <col min="10" max="11" width="8.28515625" style="131" customWidth="1"/>
    <col min="12" max="12" width="12.7109375" style="131" customWidth="1"/>
    <col min="13" max="14" width="8.28515625" style="131" customWidth="1"/>
    <col min="15" max="15" width="12.7109375" style="131" customWidth="1"/>
    <col min="16" max="16384" width="9.140625" style="131"/>
  </cols>
  <sheetData>
    <row r="1" spans="1:15" ht="18" x14ac:dyDescent="0.25">
      <c r="A1" s="330" t="s">
        <v>93</v>
      </c>
      <c r="B1" s="330"/>
      <c r="C1" s="330"/>
      <c r="D1" s="330"/>
      <c r="E1" s="330"/>
      <c r="F1" s="330"/>
      <c r="G1" s="330"/>
      <c r="H1" s="176" t="s">
        <v>12</v>
      </c>
      <c r="I1" s="174"/>
      <c r="J1" s="174"/>
      <c r="K1" s="174"/>
      <c r="L1" s="174"/>
      <c r="M1" s="174"/>
      <c r="N1" s="174"/>
      <c r="O1" s="174"/>
    </row>
    <row r="2" spans="1:15" ht="15" x14ac:dyDescent="0.2">
      <c r="A2" s="331" t="s">
        <v>175</v>
      </c>
      <c r="B2" s="331"/>
      <c r="C2" s="331"/>
      <c r="D2" s="331"/>
      <c r="E2" s="331"/>
      <c r="F2" s="331"/>
      <c r="G2" s="331"/>
      <c r="H2" s="176" t="s">
        <v>12</v>
      </c>
      <c r="I2" s="175"/>
      <c r="J2" s="175"/>
      <c r="K2" s="175"/>
      <c r="L2" s="175"/>
      <c r="M2" s="175"/>
      <c r="N2" s="175"/>
      <c r="O2" s="175"/>
    </row>
    <row r="3" spans="1:15" x14ac:dyDescent="0.2">
      <c r="A3" s="332" t="s">
        <v>1</v>
      </c>
      <c r="B3" s="332"/>
      <c r="C3" s="332"/>
      <c r="D3" s="332"/>
      <c r="E3" s="332"/>
      <c r="F3" s="332"/>
      <c r="G3" s="332"/>
      <c r="H3" s="176" t="s">
        <v>12</v>
      </c>
      <c r="I3" s="152"/>
      <c r="J3" s="152"/>
      <c r="K3" s="152"/>
      <c r="L3" s="152"/>
      <c r="M3" s="152"/>
      <c r="N3" s="152"/>
      <c r="O3" s="152"/>
    </row>
    <row r="4" spans="1:15" x14ac:dyDescent="0.2">
      <c r="A4" s="333" t="s">
        <v>2</v>
      </c>
      <c r="B4" s="333"/>
      <c r="C4" s="333"/>
      <c r="D4" s="333"/>
      <c r="E4" s="333"/>
      <c r="F4" s="333"/>
      <c r="G4" s="333"/>
      <c r="H4" s="176" t="s">
        <v>12</v>
      </c>
      <c r="I4" s="151"/>
      <c r="J4" s="151"/>
      <c r="K4" s="151"/>
      <c r="L4" s="151"/>
      <c r="M4" s="151"/>
      <c r="N4" s="151"/>
      <c r="O4" s="151"/>
    </row>
    <row r="5" spans="1:15" x14ac:dyDescent="0.2">
      <c r="A5" s="333"/>
      <c r="B5" s="333"/>
      <c r="C5" s="333"/>
      <c r="D5" s="333"/>
      <c r="E5" s="333"/>
      <c r="F5" s="172"/>
      <c r="G5" s="172"/>
      <c r="H5" s="176" t="s">
        <v>12</v>
      </c>
      <c r="I5" s="151"/>
      <c r="J5" s="151"/>
      <c r="K5" s="151"/>
      <c r="L5" s="151"/>
      <c r="M5" s="151"/>
      <c r="N5" s="151"/>
      <c r="O5" s="151"/>
    </row>
    <row r="6" spans="1:15" ht="35.25" customHeight="1" x14ac:dyDescent="0.2">
      <c r="A6" s="406" t="s">
        <v>94</v>
      </c>
      <c r="B6" s="409" t="s">
        <v>187</v>
      </c>
      <c r="C6" s="409"/>
      <c r="D6" s="409" t="s">
        <v>188</v>
      </c>
      <c r="E6" s="409"/>
      <c r="F6" s="405" t="s">
        <v>189</v>
      </c>
      <c r="G6" s="404"/>
      <c r="H6" s="176" t="s">
        <v>12</v>
      </c>
    </row>
    <row r="7" spans="1:15" ht="46.15" customHeight="1" x14ac:dyDescent="0.2">
      <c r="A7" s="407"/>
      <c r="B7" s="403" t="s">
        <v>238</v>
      </c>
      <c r="C7" s="404"/>
      <c r="D7" s="403" t="s">
        <v>238</v>
      </c>
      <c r="E7" s="404"/>
      <c r="F7" s="403" t="s">
        <v>238</v>
      </c>
      <c r="G7" s="404"/>
      <c r="H7" s="176" t="s">
        <v>12</v>
      </c>
    </row>
    <row r="8" spans="1:15" ht="28.5" x14ac:dyDescent="0.2">
      <c r="A8" s="408"/>
      <c r="B8" s="195" t="s">
        <v>3</v>
      </c>
      <c r="C8" s="195" t="s">
        <v>4</v>
      </c>
      <c r="D8" s="195" t="s">
        <v>3</v>
      </c>
      <c r="E8" s="195" t="s">
        <v>4</v>
      </c>
      <c r="F8" s="195" t="s">
        <v>3</v>
      </c>
      <c r="G8" s="195" t="s">
        <v>4</v>
      </c>
      <c r="H8" s="176" t="s">
        <v>12</v>
      </c>
    </row>
    <row r="9" spans="1:15" x14ac:dyDescent="0.2">
      <c r="A9" s="421" t="s">
        <v>73</v>
      </c>
      <c r="B9" s="193">
        <v>0</v>
      </c>
      <c r="C9" s="193">
        <v>-1393</v>
      </c>
      <c r="D9" s="193">
        <v>0</v>
      </c>
      <c r="E9" s="193">
        <v>-1094</v>
      </c>
      <c r="F9" s="193">
        <v>0</v>
      </c>
      <c r="G9" s="193">
        <v>-755</v>
      </c>
      <c r="H9" s="176" t="s">
        <v>12</v>
      </c>
    </row>
    <row r="10" spans="1:15" x14ac:dyDescent="0.2">
      <c r="A10" s="194" t="s">
        <v>112</v>
      </c>
      <c r="B10" s="193">
        <v>0</v>
      </c>
      <c r="C10" s="193">
        <v>-82</v>
      </c>
      <c r="D10" s="193">
        <v>0</v>
      </c>
      <c r="E10" s="193">
        <v>-65</v>
      </c>
      <c r="F10" s="193">
        <v>0</v>
      </c>
      <c r="G10" s="193">
        <v>-45</v>
      </c>
      <c r="H10" s="176" t="s">
        <v>12</v>
      </c>
    </row>
    <row r="11" spans="1:15" x14ac:dyDescent="0.2">
      <c r="A11" s="422" t="s">
        <v>75</v>
      </c>
      <c r="B11" s="193">
        <v>0</v>
      </c>
      <c r="C11" s="193">
        <v>-381</v>
      </c>
      <c r="D11" s="193">
        <v>0</v>
      </c>
      <c r="E11" s="193">
        <v>-299</v>
      </c>
      <c r="F11" s="193">
        <v>0</v>
      </c>
      <c r="G11" s="193">
        <v>-207</v>
      </c>
      <c r="H11" s="176" t="s">
        <v>12</v>
      </c>
    </row>
    <row r="12" spans="1:15" x14ac:dyDescent="0.2">
      <c r="A12" s="194" t="s">
        <v>79</v>
      </c>
      <c r="B12" s="193">
        <v>0</v>
      </c>
      <c r="C12" s="193">
        <v>-1470</v>
      </c>
      <c r="D12" s="193">
        <v>0</v>
      </c>
      <c r="E12" s="193">
        <v>-1154</v>
      </c>
      <c r="F12" s="193">
        <v>0</v>
      </c>
      <c r="G12" s="193">
        <v>-796</v>
      </c>
      <c r="H12" s="176" t="s">
        <v>12</v>
      </c>
    </row>
    <row r="13" spans="1:15" x14ac:dyDescent="0.2">
      <c r="A13" s="194" t="s">
        <v>80</v>
      </c>
      <c r="B13" s="193">
        <v>0</v>
      </c>
      <c r="C13" s="193">
        <v>-4776</v>
      </c>
      <c r="D13" s="193">
        <v>0</v>
      </c>
      <c r="E13" s="193">
        <v>-3749</v>
      </c>
      <c r="F13" s="193">
        <v>0</v>
      </c>
      <c r="G13" s="193">
        <v>-2588</v>
      </c>
      <c r="H13" s="176" t="s">
        <v>12</v>
      </c>
    </row>
    <row r="14" spans="1:15" x14ac:dyDescent="0.2">
      <c r="A14" s="422" t="s">
        <v>81</v>
      </c>
      <c r="B14" s="193">
        <v>0</v>
      </c>
      <c r="C14" s="193">
        <v>-805</v>
      </c>
      <c r="D14" s="193">
        <v>0</v>
      </c>
      <c r="E14" s="193">
        <v>-632</v>
      </c>
      <c r="F14" s="193">
        <v>0</v>
      </c>
      <c r="G14" s="193">
        <v>-436</v>
      </c>
      <c r="H14" s="176" t="s">
        <v>12</v>
      </c>
    </row>
    <row r="15" spans="1:15" x14ac:dyDescent="0.2">
      <c r="A15" s="194" t="s">
        <v>82</v>
      </c>
      <c r="B15" s="193">
        <v>0</v>
      </c>
      <c r="C15" s="193">
        <v>-1934</v>
      </c>
      <c r="D15" s="193">
        <v>0</v>
      </c>
      <c r="E15" s="193">
        <v>-1518</v>
      </c>
      <c r="F15" s="193">
        <v>0</v>
      </c>
      <c r="G15" s="193">
        <v>-1048</v>
      </c>
      <c r="H15" s="176" t="s">
        <v>12</v>
      </c>
    </row>
    <row r="16" spans="1:15" x14ac:dyDescent="0.2">
      <c r="A16" s="194" t="s">
        <v>83</v>
      </c>
      <c r="B16" s="193">
        <v>0</v>
      </c>
      <c r="C16" s="193">
        <f>-211+-951</f>
        <v>-1162</v>
      </c>
      <c r="D16" s="193">
        <v>0</v>
      </c>
      <c r="E16" s="193">
        <f>-166+-746</f>
        <v>-912</v>
      </c>
      <c r="F16" s="193">
        <v>0</v>
      </c>
      <c r="G16" s="193">
        <f>-114+-515</f>
        <v>-629</v>
      </c>
      <c r="H16" s="176" t="s">
        <v>12</v>
      </c>
    </row>
    <row r="17" spans="1:8" x14ac:dyDescent="0.2">
      <c r="A17" s="197" t="s">
        <v>84</v>
      </c>
      <c r="B17" s="196">
        <v>0</v>
      </c>
      <c r="C17" s="196">
        <v>-1530</v>
      </c>
      <c r="D17" s="193">
        <v>0</v>
      </c>
      <c r="E17" s="196">
        <v>-1201</v>
      </c>
      <c r="F17" s="193">
        <v>0</v>
      </c>
      <c r="G17" s="196">
        <v>-830</v>
      </c>
      <c r="H17" s="176" t="s">
        <v>12</v>
      </c>
    </row>
    <row r="18" spans="1:8" ht="15" x14ac:dyDescent="0.25">
      <c r="A18" s="76" t="s">
        <v>110</v>
      </c>
      <c r="B18" s="114">
        <f>SUM(B9:B17)</f>
        <v>0</v>
      </c>
      <c r="C18" s="114">
        <f>(SUM(C9:C17))</f>
        <v>-13533</v>
      </c>
      <c r="D18" s="114">
        <f>SUM(D9:D17)</f>
        <v>0</v>
      </c>
      <c r="E18" s="114">
        <f>SUM(E9:E17)</f>
        <v>-10624</v>
      </c>
      <c r="F18" s="114">
        <f>SUM(F9:F17)</f>
        <v>0</v>
      </c>
      <c r="G18" s="114">
        <f>SUM(G9:G17)</f>
        <v>-7334</v>
      </c>
      <c r="H18" s="176" t="s">
        <v>12</v>
      </c>
    </row>
    <row r="19" spans="1:8" ht="13.9" x14ac:dyDescent="0.25">
      <c r="A19" s="423"/>
      <c r="B19" s="75"/>
      <c r="C19" s="75"/>
      <c r="D19" s="75"/>
      <c r="E19" s="75"/>
      <c r="F19" s="75"/>
      <c r="G19" s="75"/>
      <c r="H19" s="176" t="s">
        <v>12</v>
      </c>
    </row>
    <row r="20" spans="1:8" ht="13.9" x14ac:dyDescent="0.25">
      <c r="A20" s="424"/>
      <c r="B20" s="199"/>
      <c r="C20" s="199"/>
      <c r="D20" s="199"/>
      <c r="E20" s="199"/>
      <c r="H20" s="176" t="s">
        <v>12</v>
      </c>
    </row>
    <row r="21" spans="1:8" ht="15" x14ac:dyDescent="0.2">
      <c r="A21" s="406" t="s">
        <v>94</v>
      </c>
      <c r="B21" s="409" t="s">
        <v>190</v>
      </c>
      <c r="C21" s="409"/>
      <c r="D21" s="409" t="s">
        <v>191</v>
      </c>
      <c r="E21" s="409"/>
      <c r="F21" s="410" t="s">
        <v>11</v>
      </c>
      <c r="G21" s="411"/>
      <c r="H21" s="176" t="s">
        <v>12</v>
      </c>
    </row>
    <row r="22" spans="1:8" ht="48.6" customHeight="1" x14ac:dyDescent="0.2">
      <c r="A22" s="407"/>
      <c r="B22" s="403" t="s">
        <v>238</v>
      </c>
      <c r="C22" s="404"/>
      <c r="D22" s="403" t="s">
        <v>238</v>
      </c>
      <c r="E22" s="404"/>
      <c r="F22" s="412"/>
      <c r="G22" s="342"/>
      <c r="H22" s="176" t="s">
        <v>12</v>
      </c>
    </row>
    <row r="23" spans="1:8" ht="28.5" x14ac:dyDescent="0.2">
      <c r="A23" s="408"/>
      <c r="B23" s="195" t="s">
        <v>3</v>
      </c>
      <c r="C23" s="195" t="s">
        <v>4</v>
      </c>
      <c r="D23" s="195" t="s">
        <v>3</v>
      </c>
      <c r="E23" s="195" t="s">
        <v>4</v>
      </c>
      <c r="F23" s="195" t="s">
        <v>3</v>
      </c>
      <c r="G23" s="195" t="s">
        <v>4</v>
      </c>
      <c r="H23" s="176" t="s">
        <v>12</v>
      </c>
    </row>
    <row r="24" spans="1:8" ht="13.9" x14ac:dyDescent="0.25">
      <c r="A24" s="194" t="s">
        <v>73</v>
      </c>
      <c r="B24" s="193">
        <v>0</v>
      </c>
      <c r="C24" s="193">
        <v>-130</v>
      </c>
      <c r="D24" s="193">
        <v>0</v>
      </c>
      <c r="E24" s="193">
        <v>-111</v>
      </c>
      <c r="F24" s="193">
        <f t="shared" ref="F24:F32" si="0">+B9+D9+F9+B24+D24</f>
        <v>0</v>
      </c>
      <c r="G24" s="193">
        <f t="shared" ref="G24:G32" si="1">+C9+E9+G9+C24+E24</f>
        <v>-3483</v>
      </c>
      <c r="H24" s="176" t="s">
        <v>12</v>
      </c>
    </row>
    <row r="25" spans="1:8" ht="13.9" x14ac:dyDescent="0.25">
      <c r="A25" s="194" t="s">
        <v>112</v>
      </c>
      <c r="B25" s="193">
        <v>0</v>
      </c>
      <c r="C25" s="193">
        <v>-8</v>
      </c>
      <c r="D25" s="193">
        <v>0</v>
      </c>
      <c r="E25" s="193">
        <v>-7</v>
      </c>
      <c r="F25" s="193">
        <f t="shared" si="0"/>
        <v>0</v>
      </c>
      <c r="G25" s="193">
        <f t="shared" si="1"/>
        <v>-207</v>
      </c>
      <c r="H25" s="176" t="s">
        <v>12</v>
      </c>
    </row>
    <row r="26" spans="1:8" ht="13.9" x14ac:dyDescent="0.25">
      <c r="A26" s="422" t="s">
        <v>75</v>
      </c>
      <c r="B26" s="193">
        <v>0</v>
      </c>
      <c r="C26" s="193">
        <v>-36</v>
      </c>
      <c r="D26" s="193">
        <v>0</v>
      </c>
      <c r="E26" s="193">
        <v>-30</v>
      </c>
      <c r="F26" s="193">
        <f t="shared" si="0"/>
        <v>0</v>
      </c>
      <c r="G26" s="193">
        <f t="shared" si="1"/>
        <v>-953</v>
      </c>
      <c r="H26" s="176" t="s">
        <v>12</v>
      </c>
    </row>
    <row r="27" spans="1:8" ht="13.9" x14ac:dyDescent="0.25">
      <c r="A27" s="194" t="s">
        <v>79</v>
      </c>
      <c r="B27" s="193">
        <v>0</v>
      </c>
      <c r="C27" s="193">
        <v>-137</v>
      </c>
      <c r="D27" s="193">
        <v>0</v>
      </c>
      <c r="E27" s="193">
        <v>-117</v>
      </c>
      <c r="F27" s="193">
        <f t="shared" si="0"/>
        <v>0</v>
      </c>
      <c r="G27" s="193">
        <f t="shared" si="1"/>
        <v>-3674</v>
      </c>
      <c r="H27" s="176" t="s">
        <v>12</v>
      </c>
    </row>
    <row r="28" spans="1:8" ht="13.9" x14ac:dyDescent="0.25">
      <c r="A28" s="194" t="s">
        <v>80</v>
      </c>
      <c r="B28" s="193">
        <v>0</v>
      </c>
      <c r="C28" s="193">
        <v>-445</v>
      </c>
      <c r="D28" s="193">
        <v>0</v>
      </c>
      <c r="E28" s="193">
        <v>-380</v>
      </c>
      <c r="F28" s="193">
        <f t="shared" si="0"/>
        <v>0</v>
      </c>
      <c r="G28" s="193">
        <f t="shared" si="1"/>
        <v>-11938</v>
      </c>
      <c r="H28" s="176" t="s">
        <v>12</v>
      </c>
    </row>
    <row r="29" spans="1:8" ht="13.9" x14ac:dyDescent="0.25">
      <c r="A29" s="422" t="s">
        <v>81</v>
      </c>
      <c r="B29" s="193">
        <v>0</v>
      </c>
      <c r="C29" s="193">
        <v>-75</v>
      </c>
      <c r="D29" s="193">
        <v>0</v>
      </c>
      <c r="E29" s="193">
        <v>-64</v>
      </c>
      <c r="F29" s="193">
        <f t="shared" si="0"/>
        <v>0</v>
      </c>
      <c r="G29" s="193">
        <f t="shared" si="1"/>
        <v>-2012</v>
      </c>
      <c r="H29" s="176" t="s">
        <v>12</v>
      </c>
    </row>
    <row r="30" spans="1:8" ht="13.9" x14ac:dyDescent="0.25">
      <c r="A30" s="194" t="s">
        <v>82</v>
      </c>
      <c r="B30" s="193">
        <v>0</v>
      </c>
      <c r="C30" s="193">
        <v>-180</v>
      </c>
      <c r="D30" s="193">
        <v>0</v>
      </c>
      <c r="E30" s="193">
        <v>-154</v>
      </c>
      <c r="F30" s="193">
        <f t="shared" si="0"/>
        <v>0</v>
      </c>
      <c r="G30" s="193">
        <f t="shared" si="1"/>
        <v>-4834</v>
      </c>
      <c r="H30" s="176" t="s">
        <v>12</v>
      </c>
    </row>
    <row r="31" spans="1:8" ht="13.9" x14ac:dyDescent="0.25">
      <c r="A31" s="194" t="s">
        <v>83</v>
      </c>
      <c r="B31" s="193">
        <v>0</v>
      </c>
      <c r="C31" s="193">
        <f>-20+-89</f>
        <v>-109</v>
      </c>
      <c r="D31" s="193">
        <v>0</v>
      </c>
      <c r="E31" s="193">
        <f>-17+-76</f>
        <v>-93</v>
      </c>
      <c r="F31" s="193">
        <f t="shared" si="0"/>
        <v>0</v>
      </c>
      <c r="G31" s="193">
        <f t="shared" si="1"/>
        <v>-2905</v>
      </c>
      <c r="H31" s="176" t="s">
        <v>12</v>
      </c>
    </row>
    <row r="32" spans="1:8" ht="13.9" x14ac:dyDescent="0.25">
      <c r="A32" s="425" t="s">
        <v>84</v>
      </c>
      <c r="B32" s="193">
        <v>0</v>
      </c>
      <c r="C32" s="196">
        <v>-143</v>
      </c>
      <c r="D32" s="193">
        <v>0</v>
      </c>
      <c r="E32" s="196">
        <v>-122</v>
      </c>
      <c r="F32" s="193">
        <f t="shared" si="0"/>
        <v>0</v>
      </c>
      <c r="G32" s="193">
        <f t="shared" si="1"/>
        <v>-3826</v>
      </c>
      <c r="H32" s="176" t="s">
        <v>12</v>
      </c>
    </row>
    <row r="33" spans="1:8" ht="13.9" x14ac:dyDescent="0.25">
      <c r="A33" s="76" t="s">
        <v>110</v>
      </c>
      <c r="B33" s="114">
        <f t="shared" ref="B33:G33" si="2">SUM(B24:B32)</f>
        <v>0</v>
      </c>
      <c r="C33" s="114">
        <f t="shared" si="2"/>
        <v>-1263</v>
      </c>
      <c r="D33" s="114">
        <f t="shared" si="2"/>
        <v>0</v>
      </c>
      <c r="E33" s="114">
        <f t="shared" si="2"/>
        <v>-1078</v>
      </c>
      <c r="F33" s="114">
        <f t="shared" si="2"/>
        <v>0</v>
      </c>
      <c r="G33" s="114">
        <f t="shared" si="2"/>
        <v>-33832</v>
      </c>
      <c r="H33" s="176" t="s">
        <v>13</v>
      </c>
    </row>
  </sheetData>
  <mergeCells count="18">
    <mergeCell ref="A21:A23"/>
    <mergeCell ref="B21:C21"/>
    <mergeCell ref="D21:E21"/>
    <mergeCell ref="F21:G22"/>
    <mergeCell ref="B22:C22"/>
    <mergeCell ref="D22:E22"/>
    <mergeCell ref="B7:C7"/>
    <mergeCell ref="F6:G6"/>
    <mergeCell ref="D7:E7"/>
    <mergeCell ref="A1:G1"/>
    <mergeCell ref="A2:G2"/>
    <mergeCell ref="A3:G3"/>
    <mergeCell ref="A4:G4"/>
    <mergeCell ref="A5:E5"/>
    <mergeCell ref="A6:A8"/>
    <mergeCell ref="F7:G7"/>
    <mergeCell ref="B6:C6"/>
    <mergeCell ref="D6:E6"/>
  </mergeCells>
  <printOptions horizontalCentered="1"/>
  <pageMargins left="0.7" right="0.7" top="0.52" bottom="0.39" header="0.3" footer="0.23"/>
  <pageSetup scale="84" orientation="landscape" r:id="rId1"/>
  <headerFooter>
    <oddHeader xml:space="preserve">&amp;L&amp;"Arial,Bold"&amp;12J. Financial Analysis of Program Changes
</oddHeader>
    <oddFooter>&amp;C&amp;"Arial,Regular"Exhibit J - Financial Analysis of Program Changes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view="pageBreakPreview" zoomScale="90" zoomScaleNormal="100" zoomScaleSheetLayoutView="90" workbookViewId="0">
      <pane xSplit="1" ySplit="7" topLeftCell="B11" activePane="bottomRight" state="frozen"/>
      <selection pane="topRight" activeCell="B1" sqref="B1"/>
      <selection pane="bottomLeft" activeCell="A8" sqref="A8"/>
      <selection pane="bottomRight" activeCell="A9" sqref="A9:XFD9"/>
    </sheetView>
  </sheetViews>
  <sheetFormatPr defaultColWidth="9.140625" defaultRowHeight="14.25" x14ac:dyDescent="0.2"/>
  <cols>
    <col min="1" max="1" width="86.5703125" style="9" customWidth="1"/>
    <col min="2" max="2" width="8.28515625" style="9" customWidth="1"/>
    <col min="3" max="3" width="12.7109375" style="9" customWidth="1"/>
    <col min="4" max="4" width="8.28515625" style="9" customWidth="1"/>
    <col min="5" max="5" width="12.7109375" style="9" customWidth="1"/>
    <col min="6" max="6" width="8.28515625" style="9" customWidth="1"/>
    <col min="7" max="7" width="12.7109375" style="9" customWidth="1"/>
    <col min="8" max="8" width="8.28515625" style="9" customWidth="1"/>
    <col min="9" max="9" width="12.7109375" style="9" customWidth="1"/>
    <col min="10" max="10" width="14" style="173" bestFit="1" customWidth="1"/>
    <col min="11" max="11" width="4.5703125" style="9" customWidth="1"/>
    <col min="12" max="12" width="116.7109375" style="62"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330" t="s">
        <v>64</v>
      </c>
      <c r="B1" s="330"/>
      <c r="C1" s="330"/>
      <c r="D1" s="330"/>
      <c r="E1" s="330"/>
      <c r="F1" s="330"/>
      <c r="G1" s="330"/>
      <c r="H1" s="330"/>
      <c r="I1" s="330"/>
      <c r="J1" s="176" t="s">
        <v>12</v>
      </c>
      <c r="K1" s="174"/>
      <c r="L1" s="311"/>
      <c r="M1" s="174"/>
      <c r="N1" s="174"/>
      <c r="O1" s="174"/>
      <c r="P1" s="174"/>
      <c r="Q1" s="174"/>
      <c r="R1" s="174"/>
    </row>
    <row r="2" spans="1:18" ht="15" x14ac:dyDescent="0.2">
      <c r="A2" s="331" t="s">
        <v>175</v>
      </c>
      <c r="B2" s="331"/>
      <c r="C2" s="331"/>
      <c r="D2" s="331"/>
      <c r="E2" s="331"/>
      <c r="F2" s="331"/>
      <c r="G2" s="331"/>
      <c r="H2" s="331"/>
      <c r="I2" s="331"/>
      <c r="J2" s="176" t="s">
        <v>12</v>
      </c>
      <c r="K2" s="175"/>
      <c r="L2" s="307"/>
      <c r="M2" s="175"/>
      <c r="N2" s="175"/>
      <c r="O2" s="175"/>
      <c r="P2" s="175"/>
      <c r="Q2" s="175"/>
      <c r="R2" s="175"/>
    </row>
    <row r="3" spans="1:18" x14ac:dyDescent="0.2">
      <c r="A3" s="355" t="s">
        <v>1</v>
      </c>
      <c r="B3" s="355"/>
      <c r="C3" s="355"/>
      <c r="D3" s="355"/>
      <c r="E3" s="355"/>
      <c r="F3" s="355"/>
      <c r="G3" s="355"/>
      <c r="H3" s="355"/>
      <c r="I3" s="355"/>
      <c r="J3" s="176" t="s">
        <v>12</v>
      </c>
      <c r="K3" s="10"/>
      <c r="L3" s="307"/>
      <c r="M3" s="10"/>
      <c r="N3" s="10"/>
      <c r="O3" s="10"/>
      <c r="P3" s="10"/>
      <c r="Q3" s="10"/>
      <c r="R3" s="10"/>
    </row>
    <row r="4" spans="1:18" x14ac:dyDescent="0.2">
      <c r="A4" s="354" t="s">
        <v>2</v>
      </c>
      <c r="B4" s="354"/>
      <c r="C4" s="354"/>
      <c r="D4" s="354"/>
      <c r="E4" s="354"/>
      <c r="F4" s="354"/>
      <c r="G4" s="354"/>
      <c r="H4" s="354"/>
      <c r="I4" s="354"/>
      <c r="J4" s="176" t="s">
        <v>12</v>
      </c>
      <c r="K4" s="8"/>
      <c r="L4" s="307"/>
      <c r="M4" s="8"/>
      <c r="N4" s="8"/>
      <c r="O4" s="8"/>
      <c r="P4" s="8"/>
      <c r="Q4" s="8"/>
      <c r="R4" s="8"/>
    </row>
    <row r="5" spans="1:18" ht="15.75" thickBot="1" x14ac:dyDescent="0.3">
      <c r="A5" s="354"/>
      <c r="B5" s="354"/>
      <c r="C5" s="354"/>
      <c r="D5" s="354"/>
      <c r="E5" s="354"/>
      <c r="F5" s="354"/>
      <c r="G5" s="354"/>
      <c r="H5" s="354"/>
      <c r="I5" s="354"/>
      <c r="J5" s="176" t="s">
        <v>12</v>
      </c>
      <c r="K5" s="8"/>
      <c r="L5" s="309"/>
      <c r="M5" s="8"/>
      <c r="N5" s="8"/>
      <c r="O5" s="8"/>
      <c r="P5" s="8"/>
      <c r="Q5" s="8"/>
      <c r="R5" s="8"/>
    </row>
    <row r="6" spans="1:18" ht="15" x14ac:dyDescent="0.2">
      <c r="A6" s="337" t="s">
        <v>65</v>
      </c>
      <c r="B6" s="339" t="s">
        <v>139</v>
      </c>
      <c r="C6" s="339"/>
      <c r="D6" s="339" t="s">
        <v>141</v>
      </c>
      <c r="E6" s="339"/>
      <c r="F6" s="339" t="s">
        <v>136</v>
      </c>
      <c r="G6" s="339"/>
      <c r="H6" s="339" t="s">
        <v>50</v>
      </c>
      <c r="I6" s="340"/>
      <c r="J6" s="176" t="s">
        <v>12</v>
      </c>
      <c r="L6" s="323"/>
    </row>
    <row r="7" spans="1:18" ht="28.5" x14ac:dyDescent="0.2">
      <c r="A7" s="338"/>
      <c r="B7" s="66" t="s">
        <v>19</v>
      </c>
      <c r="C7" s="11" t="s">
        <v>4</v>
      </c>
      <c r="D7" s="11" t="s">
        <v>19</v>
      </c>
      <c r="E7" s="11" t="s">
        <v>4</v>
      </c>
      <c r="F7" s="11" t="s">
        <v>19</v>
      </c>
      <c r="G7" s="11" t="s">
        <v>4</v>
      </c>
      <c r="H7" s="11" t="s">
        <v>19</v>
      </c>
      <c r="I7" s="12" t="s">
        <v>4</v>
      </c>
      <c r="J7" s="176" t="s">
        <v>12</v>
      </c>
      <c r="L7" s="74"/>
    </row>
    <row r="8" spans="1:18" x14ac:dyDescent="0.2">
      <c r="A8" s="68" t="s">
        <v>66</v>
      </c>
      <c r="B8" s="185">
        <f>5103-B9</f>
        <v>5096</v>
      </c>
      <c r="C8" s="111">
        <v>418675</v>
      </c>
      <c r="D8" s="111">
        <f>5103-D9</f>
        <v>5096</v>
      </c>
      <c r="E8" s="111">
        <v>421322</v>
      </c>
      <c r="F8" s="111">
        <f>5103-F9</f>
        <v>5096</v>
      </c>
      <c r="G8" s="111">
        <v>425154</v>
      </c>
      <c r="H8" s="111">
        <f>F8-D8</f>
        <v>0</v>
      </c>
      <c r="I8" s="112">
        <f>G8-E8</f>
        <v>3832</v>
      </c>
      <c r="J8" s="176" t="s">
        <v>12</v>
      </c>
      <c r="L8" s="63"/>
    </row>
    <row r="9" spans="1:18" x14ac:dyDescent="0.2">
      <c r="A9" s="69" t="s">
        <v>67</v>
      </c>
      <c r="B9" s="23">
        <v>7</v>
      </c>
      <c r="C9" s="23">
        <v>13881</v>
      </c>
      <c r="D9" s="23">
        <v>7</v>
      </c>
      <c r="E9" s="23">
        <v>12674</v>
      </c>
      <c r="F9" s="23">
        <v>7</v>
      </c>
      <c r="G9" s="23">
        <v>12789</v>
      </c>
      <c r="H9" s="23">
        <f t="shared" ref="H9:I13" si="0">F9-D9</f>
        <v>0</v>
      </c>
      <c r="I9" s="113">
        <v>12789</v>
      </c>
      <c r="J9" s="176" t="s">
        <v>12</v>
      </c>
    </row>
    <row r="10" spans="1:18" x14ac:dyDescent="0.2">
      <c r="A10" s="98" t="s">
        <v>111</v>
      </c>
      <c r="B10" s="23">
        <f>SUM(B11:B12)</f>
        <v>836</v>
      </c>
      <c r="C10" s="23">
        <f>SUM(C11:C12)</f>
        <v>73808</v>
      </c>
      <c r="D10" s="23">
        <f t="shared" ref="D10:F10" si="1">SUM(D11:D12)</f>
        <v>981</v>
      </c>
      <c r="E10" s="23">
        <f>SUM(E11:E12)</f>
        <v>78175</v>
      </c>
      <c r="F10" s="23">
        <f t="shared" si="1"/>
        <v>981</v>
      </c>
      <c r="G10" s="23">
        <f>SUM(G11:G12)</f>
        <v>78831</v>
      </c>
      <c r="H10" s="23">
        <f t="shared" si="0"/>
        <v>0</v>
      </c>
      <c r="I10" s="113">
        <f t="shared" si="0"/>
        <v>656</v>
      </c>
      <c r="J10" s="176" t="s">
        <v>12</v>
      </c>
    </row>
    <row r="11" spans="1:18" x14ac:dyDescent="0.2">
      <c r="A11" s="177" t="s">
        <v>18</v>
      </c>
      <c r="B11" s="186">
        <v>62</v>
      </c>
      <c r="C11" s="186">
        <v>5112</v>
      </c>
      <c r="D11" s="186">
        <v>207</v>
      </c>
      <c r="E11" s="186">
        <v>6000</v>
      </c>
      <c r="F11" s="186">
        <v>207</v>
      </c>
      <c r="G11" s="186">
        <v>6000</v>
      </c>
      <c r="H11" s="186">
        <f t="shared" si="0"/>
        <v>0</v>
      </c>
      <c r="I11" s="187">
        <f t="shared" si="0"/>
        <v>0</v>
      </c>
      <c r="J11" s="176" t="s">
        <v>12</v>
      </c>
    </row>
    <row r="12" spans="1:18" x14ac:dyDescent="0.2">
      <c r="A12" s="177" t="s">
        <v>68</v>
      </c>
      <c r="B12" s="186">
        <v>774</v>
      </c>
      <c r="C12" s="186">
        <f>73808-C11</f>
        <v>68696</v>
      </c>
      <c r="D12" s="186">
        <v>774</v>
      </c>
      <c r="E12" s="186">
        <v>72175</v>
      </c>
      <c r="F12" s="186">
        <v>774</v>
      </c>
      <c r="G12" s="186">
        <v>72831</v>
      </c>
      <c r="H12" s="186">
        <f t="shared" si="0"/>
        <v>0</v>
      </c>
      <c r="I12" s="187">
        <f t="shared" si="0"/>
        <v>656</v>
      </c>
      <c r="J12" s="176" t="s">
        <v>12</v>
      </c>
    </row>
    <row r="13" spans="1:18" x14ac:dyDescent="0.2">
      <c r="A13" s="69" t="s">
        <v>69</v>
      </c>
      <c r="B13" s="118">
        <v>0</v>
      </c>
      <c r="C13" s="118">
        <v>5613</v>
      </c>
      <c r="D13" s="118">
        <v>0</v>
      </c>
      <c r="E13" s="118">
        <v>6000</v>
      </c>
      <c r="F13" s="118">
        <v>0</v>
      </c>
      <c r="G13" s="118">
        <v>6000</v>
      </c>
      <c r="H13" s="118">
        <f t="shared" si="0"/>
        <v>0</v>
      </c>
      <c r="I13" s="119">
        <f t="shared" si="0"/>
        <v>0</v>
      </c>
      <c r="J13" s="176" t="s">
        <v>12</v>
      </c>
    </row>
    <row r="14" spans="1:18" ht="15" x14ac:dyDescent="0.25">
      <c r="A14" s="179" t="s">
        <v>14</v>
      </c>
      <c r="B14" s="183">
        <f>SUM(B8:B10,B13)</f>
        <v>5939</v>
      </c>
      <c r="C14" s="183">
        <f t="shared" ref="C14:I14" si="2">SUM(C8:C10,C13)</f>
        <v>511977</v>
      </c>
      <c r="D14" s="183">
        <f t="shared" si="2"/>
        <v>6084</v>
      </c>
      <c r="E14" s="183">
        <f t="shared" si="2"/>
        <v>518171</v>
      </c>
      <c r="F14" s="183">
        <f t="shared" si="2"/>
        <v>6084</v>
      </c>
      <c r="G14" s="183">
        <f t="shared" si="2"/>
        <v>522774</v>
      </c>
      <c r="H14" s="183">
        <f t="shared" si="2"/>
        <v>0</v>
      </c>
      <c r="I14" s="184">
        <f t="shared" si="2"/>
        <v>17277</v>
      </c>
      <c r="J14" s="176" t="s">
        <v>12</v>
      </c>
    </row>
    <row r="15" spans="1:18" ht="15" x14ac:dyDescent="0.25">
      <c r="A15" s="178" t="s">
        <v>70</v>
      </c>
      <c r="B15" s="23"/>
      <c r="C15" s="23"/>
      <c r="D15" s="23"/>
      <c r="E15" s="23"/>
      <c r="F15" s="23"/>
      <c r="G15" s="23"/>
      <c r="H15" s="23"/>
      <c r="I15" s="113"/>
      <c r="J15" s="176" t="s">
        <v>12</v>
      </c>
    </row>
    <row r="16" spans="1:18" x14ac:dyDescent="0.2">
      <c r="A16" s="69" t="s">
        <v>71</v>
      </c>
      <c r="B16" s="23"/>
      <c r="C16" s="23">
        <v>221365</v>
      </c>
      <c r="D16" s="23"/>
      <c r="E16" s="23">
        <v>219951</v>
      </c>
      <c r="F16" s="23"/>
      <c r="G16" s="23">
        <v>238077</v>
      </c>
      <c r="H16" s="23"/>
      <c r="I16" s="113">
        <f t="shared" ref="I16:I36" si="3">G16-E16</f>
        <v>18126</v>
      </c>
      <c r="J16" s="176" t="s">
        <v>12</v>
      </c>
    </row>
    <row r="17" spans="1:10" x14ac:dyDescent="0.2">
      <c r="A17" s="69" t="s">
        <v>72</v>
      </c>
      <c r="B17" s="23"/>
      <c r="C17" s="23">
        <v>0</v>
      </c>
      <c r="D17" s="23"/>
      <c r="E17" s="23">
        <v>9</v>
      </c>
      <c r="F17" s="23"/>
      <c r="G17" s="23">
        <v>9</v>
      </c>
      <c r="H17" s="23"/>
      <c r="I17" s="113">
        <f t="shared" si="3"/>
        <v>0</v>
      </c>
      <c r="J17" s="176" t="s">
        <v>12</v>
      </c>
    </row>
    <row r="18" spans="1:10" x14ac:dyDescent="0.2">
      <c r="A18" s="69" t="s">
        <v>73</v>
      </c>
      <c r="B18" s="23"/>
      <c r="C18" s="23">
        <v>17061</v>
      </c>
      <c r="D18" s="23"/>
      <c r="E18" s="23">
        <v>18391</v>
      </c>
      <c r="F18" s="23"/>
      <c r="G18" s="23">
        <v>14908</v>
      </c>
      <c r="H18" s="23"/>
      <c r="I18" s="113">
        <f t="shared" si="3"/>
        <v>-3483</v>
      </c>
      <c r="J18" s="176" t="s">
        <v>12</v>
      </c>
    </row>
    <row r="19" spans="1:10" x14ac:dyDescent="0.2">
      <c r="A19" s="98" t="s">
        <v>112</v>
      </c>
      <c r="B19" s="23"/>
      <c r="C19" s="23">
        <v>1389</v>
      </c>
      <c r="D19" s="23"/>
      <c r="E19" s="23">
        <v>1084</v>
      </c>
      <c r="F19" s="23"/>
      <c r="G19" s="23">
        <v>877</v>
      </c>
      <c r="H19" s="23"/>
      <c r="I19" s="113">
        <f t="shared" si="3"/>
        <v>-207</v>
      </c>
      <c r="J19" s="176" t="s">
        <v>12</v>
      </c>
    </row>
    <row r="20" spans="1:10" x14ac:dyDescent="0.2">
      <c r="A20" s="69" t="s">
        <v>74</v>
      </c>
      <c r="B20" s="23"/>
      <c r="C20" s="23">
        <f>186555</f>
        <v>186555</v>
      </c>
      <c r="D20" s="23"/>
      <c r="E20" s="23">
        <f>204645+314</f>
        <v>204959</v>
      </c>
      <c r="F20" s="23"/>
      <c r="G20" s="23">
        <f>213786+314</f>
        <v>214100</v>
      </c>
      <c r="H20" s="23"/>
      <c r="I20" s="113">
        <f t="shared" si="3"/>
        <v>9141</v>
      </c>
      <c r="J20" s="176" t="s">
        <v>12</v>
      </c>
    </row>
    <row r="21" spans="1:10" x14ac:dyDescent="0.2">
      <c r="A21" s="69" t="s">
        <v>75</v>
      </c>
      <c r="B21" s="23"/>
      <c r="C21" s="23">
        <v>11181</v>
      </c>
      <c r="D21" s="23"/>
      <c r="E21" s="23">
        <f>5031+8013+1800</f>
        <v>14844</v>
      </c>
      <c r="F21" s="23"/>
      <c r="G21" s="23">
        <f>4078+8013+1800</f>
        <v>13891</v>
      </c>
      <c r="H21" s="23"/>
      <c r="I21" s="113">
        <f t="shared" si="3"/>
        <v>-953</v>
      </c>
      <c r="J21" s="176" t="s">
        <v>12</v>
      </c>
    </row>
    <row r="22" spans="1:10" x14ac:dyDescent="0.2">
      <c r="A22" s="69" t="s">
        <v>76</v>
      </c>
      <c r="B22" s="23"/>
      <c r="C22" s="23">
        <v>26265</v>
      </c>
      <c r="D22" s="23"/>
      <c r="E22" s="23">
        <v>22341</v>
      </c>
      <c r="F22" s="23"/>
      <c r="G22" s="23">
        <v>22341</v>
      </c>
      <c r="H22" s="23"/>
      <c r="I22" s="113">
        <f t="shared" si="3"/>
        <v>0</v>
      </c>
      <c r="J22" s="176" t="s">
        <v>12</v>
      </c>
    </row>
    <row r="23" spans="1:10" x14ac:dyDescent="0.2">
      <c r="A23" s="69" t="s">
        <v>77</v>
      </c>
      <c r="B23" s="23"/>
      <c r="C23" s="23">
        <v>325</v>
      </c>
      <c r="D23" s="23"/>
      <c r="E23" s="23">
        <v>411</v>
      </c>
      <c r="F23" s="23"/>
      <c r="G23" s="23">
        <v>411</v>
      </c>
      <c r="H23" s="23"/>
      <c r="I23" s="113">
        <f t="shared" si="3"/>
        <v>0</v>
      </c>
      <c r="J23" s="176" t="s">
        <v>12</v>
      </c>
    </row>
    <row r="24" spans="1:10" x14ac:dyDescent="0.2">
      <c r="A24" s="69" t="s">
        <v>78</v>
      </c>
      <c r="B24" s="23"/>
      <c r="C24" s="23">
        <v>6010</v>
      </c>
      <c r="D24" s="23"/>
      <c r="E24" s="23">
        <v>6476</v>
      </c>
      <c r="F24" s="23"/>
      <c r="G24" s="23">
        <v>6476</v>
      </c>
      <c r="H24" s="23"/>
      <c r="I24" s="113">
        <f t="shared" si="3"/>
        <v>0</v>
      </c>
      <c r="J24" s="176" t="s">
        <v>12</v>
      </c>
    </row>
    <row r="25" spans="1:10" x14ac:dyDescent="0.2">
      <c r="A25" s="69" t="s">
        <v>79</v>
      </c>
      <c r="B25" s="23"/>
      <c r="C25" s="23">
        <f>34091</f>
        <v>34091</v>
      </c>
      <c r="D25" s="23"/>
      <c r="E25" s="23">
        <f>19403+3966</f>
        <v>23369</v>
      </c>
      <c r="F25" s="23"/>
      <c r="G25" s="23">
        <f>16415+3966</f>
        <v>20381</v>
      </c>
      <c r="H25" s="23"/>
      <c r="I25" s="113">
        <f t="shared" si="3"/>
        <v>-2988</v>
      </c>
      <c r="J25" s="176" t="s">
        <v>12</v>
      </c>
    </row>
    <row r="26" spans="1:10" x14ac:dyDescent="0.2">
      <c r="A26" s="69" t="s">
        <v>80</v>
      </c>
      <c r="B26" s="23"/>
      <c r="C26" s="23">
        <f>49914-16+166</f>
        <v>50064</v>
      </c>
      <c r="D26" s="23"/>
      <c r="E26" s="23">
        <v>63040</v>
      </c>
      <c r="F26" s="23"/>
      <c r="G26" s="23">
        <v>51102</v>
      </c>
      <c r="H26" s="23"/>
      <c r="I26" s="113">
        <f t="shared" si="3"/>
        <v>-11938</v>
      </c>
      <c r="J26" s="176" t="s">
        <v>12</v>
      </c>
    </row>
    <row r="27" spans="1:10" ht="13.9" x14ac:dyDescent="0.25">
      <c r="A27" s="190" t="s">
        <v>173</v>
      </c>
      <c r="B27" s="23"/>
      <c r="C27" s="23">
        <v>12616</v>
      </c>
      <c r="D27" s="23"/>
      <c r="E27" s="23">
        <v>13594</v>
      </c>
      <c r="F27" s="23"/>
      <c r="G27" s="23">
        <v>13977</v>
      </c>
      <c r="H27" s="23"/>
      <c r="I27" s="113">
        <f t="shared" si="3"/>
        <v>383</v>
      </c>
      <c r="J27" s="176" t="s">
        <v>12</v>
      </c>
    </row>
    <row r="28" spans="1:10" ht="13.9" x14ac:dyDescent="0.25">
      <c r="A28" s="69" t="s">
        <v>81</v>
      </c>
      <c r="B28" s="23"/>
      <c r="C28" s="23">
        <v>7754</v>
      </c>
      <c r="D28" s="23"/>
      <c r="E28" s="23">
        <v>10624</v>
      </c>
      <c r="F28" s="23"/>
      <c r="G28" s="23">
        <v>8612</v>
      </c>
      <c r="H28" s="23"/>
      <c r="I28" s="113">
        <f t="shared" si="3"/>
        <v>-2012</v>
      </c>
      <c r="J28" s="176" t="s">
        <v>12</v>
      </c>
    </row>
    <row r="29" spans="1:10" ht="13.9" x14ac:dyDescent="0.25">
      <c r="A29" s="69" t="s">
        <v>39</v>
      </c>
      <c r="B29" s="23"/>
      <c r="C29" s="23">
        <v>129</v>
      </c>
      <c r="D29" s="23"/>
      <c r="E29" s="23">
        <v>2188</v>
      </c>
      <c r="F29" s="23"/>
      <c r="G29" s="23">
        <v>2188</v>
      </c>
      <c r="H29" s="23"/>
      <c r="I29" s="113">
        <f t="shared" si="3"/>
        <v>0</v>
      </c>
      <c r="J29" s="176" t="s">
        <v>12</v>
      </c>
    </row>
    <row r="30" spans="1:10" ht="13.9" x14ac:dyDescent="0.25">
      <c r="A30" s="69" t="s">
        <v>82</v>
      </c>
      <c r="B30" s="23"/>
      <c r="C30" s="23">
        <v>30174</v>
      </c>
      <c r="D30" s="23"/>
      <c r="E30" s="23">
        <v>25524</v>
      </c>
      <c r="F30" s="23"/>
      <c r="G30" s="23">
        <v>21583</v>
      </c>
      <c r="H30" s="23"/>
      <c r="I30" s="113">
        <f t="shared" si="3"/>
        <v>-3941</v>
      </c>
      <c r="J30" s="176" t="s">
        <v>12</v>
      </c>
    </row>
    <row r="31" spans="1:10" ht="13.9" x14ac:dyDescent="0.25">
      <c r="A31" s="190" t="s">
        <v>199</v>
      </c>
      <c r="B31" s="23"/>
      <c r="C31" s="23">
        <v>24</v>
      </c>
      <c r="D31" s="23"/>
      <c r="E31" s="23">
        <v>0</v>
      </c>
      <c r="F31" s="23"/>
      <c r="G31" s="23">
        <v>0</v>
      </c>
      <c r="H31" s="23"/>
      <c r="I31" s="113">
        <f t="shared" ref="I31" si="4">G31-E31</f>
        <v>0</v>
      </c>
      <c r="J31" s="176" t="s">
        <v>12</v>
      </c>
    </row>
    <row r="32" spans="1:10" ht="13.9" x14ac:dyDescent="0.25">
      <c r="A32" s="190" t="s">
        <v>174</v>
      </c>
      <c r="B32" s="23"/>
      <c r="C32" s="23">
        <v>16</v>
      </c>
      <c r="D32" s="23"/>
      <c r="E32" s="23">
        <v>3777</v>
      </c>
      <c r="F32" s="23"/>
      <c r="G32" s="23">
        <v>3777</v>
      </c>
      <c r="H32" s="23"/>
      <c r="I32" s="113">
        <f t="shared" si="3"/>
        <v>0</v>
      </c>
      <c r="J32" s="176" t="s">
        <v>12</v>
      </c>
    </row>
    <row r="33" spans="1:12" ht="13.9" x14ac:dyDescent="0.25">
      <c r="A33" s="69" t="s">
        <v>83</v>
      </c>
      <c r="B33" s="23"/>
      <c r="C33" s="23">
        <v>21290</v>
      </c>
      <c r="D33" s="23"/>
      <c r="E33" s="23">
        <f>2788+12549</f>
        <v>15337</v>
      </c>
      <c r="F33" s="23"/>
      <c r="G33" s="23">
        <f>2260+10172</f>
        <v>12432</v>
      </c>
      <c r="H33" s="23"/>
      <c r="I33" s="113">
        <f t="shared" si="3"/>
        <v>-2905</v>
      </c>
      <c r="J33" s="176" t="s">
        <v>12</v>
      </c>
    </row>
    <row r="34" spans="1:12" ht="13.9" x14ac:dyDescent="0.25">
      <c r="A34" s="69" t="s">
        <v>84</v>
      </c>
      <c r="B34" s="23"/>
      <c r="C34" s="23">
        <v>16725</v>
      </c>
      <c r="D34" s="23"/>
      <c r="E34" s="23">
        <v>20216</v>
      </c>
      <c r="F34" s="23"/>
      <c r="G34" s="23">
        <v>16390</v>
      </c>
      <c r="H34" s="23"/>
      <c r="I34" s="113">
        <f t="shared" si="3"/>
        <v>-3826</v>
      </c>
      <c r="J34" s="176" t="s">
        <v>12</v>
      </c>
    </row>
    <row r="35" spans="1:12" ht="13.9" x14ac:dyDescent="0.25">
      <c r="A35" s="69" t="s">
        <v>85</v>
      </c>
      <c r="B35" s="23"/>
      <c r="C35" s="23">
        <v>790</v>
      </c>
      <c r="D35" s="23"/>
      <c r="E35" s="23">
        <v>469</v>
      </c>
      <c r="F35" s="23"/>
      <c r="G35" s="23">
        <v>469</v>
      </c>
      <c r="H35" s="23"/>
      <c r="I35" s="113">
        <f t="shared" si="3"/>
        <v>0</v>
      </c>
      <c r="J35" s="176" t="s">
        <v>12</v>
      </c>
    </row>
    <row r="36" spans="1:12" ht="13.9" x14ac:dyDescent="0.25">
      <c r="A36" s="69" t="s">
        <v>86</v>
      </c>
      <c r="B36" s="23"/>
      <c r="C36" s="23">
        <v>490</v>
      </c>
      <c r="D36" s="23"/>
      <c r="E36" s="23">
        <v>225</v>
      </c>
      <c r="F36" s="23"/>
      <c r="G36" s="23">
        <v>225</v>
      </c>
      <c r="H36" s="23"/>
      <c r="I36" s="113">
        <f t="shared" si="3"/>
        <v>0</v>
      </c>
      <c r="J36" s="176" t="s">
        <v>12</v>
      </c>
    </row>
    <row r="37" spans="1:12" ht="13.9" x14ac:dyDescent="0.25">
      <c r="A37" s="179" t="s">
        <v>87</v>
      </c>
      <c r="B37" s="181"/>
      <c r="C37" s="181">
        <f>SUM(C14:C36)</f>
        <v>1156291</v>
      </c>
      <c r="D37" s="181"/>
      <c r="E37" s="181">
        <f>SUM(E14:E36)</f>
        <v>1185000</v>
      </c>
      <c r="F37" s="181"/>
      <c r="G37" s="181">
        <f>SUM(G14:G36)</f>
        <v>1185000</v>
      </c>
      <c r="H37" s="181"/>
      <c r="I37" s="182">
        <f>SUM(I14:I36)</f>
        <v>12674</v>
      </c>
      <c r="J37" s="176" t="s">
        <v>12</v>
      </c>
      <c r="L37" s="63"/>
    </row>
    <row r="38" spans="1:12" ht="13.9" x14ac:dyDescent="0.25">
      <c r="A38" s="98" t="s">
        <v>113</v>
      </c>
      <c r="B38" s="23"/>
      <c r="C38" s="23">
        <v>-8405</v>
      </c>
      <c r="D38" s="23"/>
      <c r="E38" s="23">
        <f>-C41</f>
        <v>-12530</v>
      </c>
      <c r="F38" s="23"/>
      <c r="G38" s="23">
        <f>-E41</f>
        <v>-13530</v>
      </c>
      <c r="H38" s="23"/>
      <c r="I38" s="113">
        <f>G38-E38</f>
        <v>-1000</v>
      </c>
      <c r="J38" s="176" t="s">
        <v>12</v>
      </c>
      <c r="L38" s="63"/>
    </row>
    <row r="39" spans="1:12" ht="13.9" x14ac:dyDescent="0.25">
      <c r="A39" s="190" t="s">
        <v>123</v>
      </c>
      <c r="B39" s="23"/>
      <c r="C39" s="23">
        <f>-17052+-37807</f>
        <v>-54859</v>
      </c>
      <c r="D39" s="23"/>
      <c r="E39" s="23">
        <v>0</v>
      </c>
      <c r="F39" s="23"/>
      <c r="G39" s="23">
        <v>0</v>
      </c>
      <c r="H39" s="23"/>
      <c r="I39" s="113">
        <f t="shared" ref="I39:I42" si="5">G39-E39</f>
        <v>0</v>
      </c>
      <c r="J39" s="176" t="s">
        <v>12</v>
      </c>
      <c r="L39" s="63"/>
    </row>
    <row r="40" spans="1:12" ht="13.9" x14ac:dyDescent="0.25">
      <c r="A40" s="190" t="s">
        <v>124</v>
      </c>
      <c r="B40" s="23"/>
      <c r="C40" s="23">
        <f>-622-3818</f>
        <v>-4440</v>
      </c>
      <c r="D40" s="23"/>
      <c r="E40" s="23">
        <v>-1000</v>
      </c>
      <c r="F40" s="23"/>
      <c r="G40" s="23">
        <v>0</v>
      </c>
      <c r="H40" s="23"/>
      <c r="I40" s="113">
        <f t="shared" si="5"/>
        <v>1000</v>
      </c>
      <c r="J40" s="176" t="s">
        <v>12</v>
      </c>
      <c r="L40" s="63"/>
    </row>
    <row r="41" spans="1:12" ht="13.9" x14ac:dyDescent="0.25">
      <c r="A41" s="69" t="s">
        <v>88</v>
      </c>
      <c r="B41" s="23"/>
      <c r="C41" s="142">
        <v>12530</v>
      </c>
      <c r="D41" s="23"/>
      <c r="E41" s="23">
        <v>13530</v>
      </c>
      <c r="F41" s="23"/>
      <c r="G41" s="23">
        <f>-G38</f>
        <v>13530</v>
      </c>
      <c r="H41" s="23"/>
      <c r="I41" s="113">
        <f t="shared" si="5"/>
        <v>0</v>
      </c>
      <c r="J41" s="176" t="s">
        <v>12</v>
      </c>
      <c r="L41" s="63"/>
    </row>
    <row r="42" spans="1:12" ht="13.9" x14ac:dyDescent="0.25">
      <c r="A42" s="103" t="s">
        <v>117</v>
      </c>
      <c r="B42" s="23"/>
      <c r="C42" s="142">
        <v>10952</v>
      </c>
      <c r="D42" s="23"/>
      <c r="E42" s="23">
        <v>0</v>
      </c>
      <c r="F42" s="23"/>
      <c r="G42" s="23">
        <v>0</v>
      </c>
      <c r="H42" s="23"/>
      <c r="I42" s="113">
        <f t="shared" si="5"/>
        <v>0</v>
      </c>
      <c r="J42" s="176" t="s">
        <v>12</v>
      </c>
      <c r="L42" s="63"/>
    </row>
    <row r="43" spans="1:12" ht="14.45" thickBot="1" x14ac:dyDescent="0.3">
      <c r="A43" s="180" t="s">
        <v>89</v>
      </c>
      <c r="B43" s="188">
        <f t="shared" ref="B43:I43" si="6">SUM(B37:B42)</f>
        <v>0</v>
      </c>
      <c r="C43" s="188">
        <f>SUM(C37:C42)</f>
        <v>1112069</v>
      </c>
      <c r="D43" s="188">
        <f t="shared" si="6"/>
        <v>0</v>
      </c>
      <c r="E43" s="188">
        <f t="shared" si="6"/>
        <v>1185000</v>
      </c>
      <c r="F43" s="188">
        <f t="shared" si="6"/>
        <v>0</v>
      </c>
      <c r="G43" s="188">
        <f t="shared" si="6"/>
        <v>1185000</v>
      </c>
      <c r="H43" s="188">
        <f t="shared" si="6"/>
        <v>0</v>
      </c>
      <c r="I43" s="189">
        <f t="shared" si="6"/>
        <v>12674</v>
      </c>
      <c r="J43" s="176" t="s">
        <v>12</v>
      </c>
      <c r="L43" s="63"/>
    </row>
    <row r="44" spans="1:12" ht="13.9" x14ac:dyDescent="0.25">
      <c r="A44" s="73" t="s">
        <v>15</v>
      </c>
      <c r="B44" s="123"/>
      <c r="C44" s="123"/>
      <c r="D44" s="123"/>
      <c r="E44" s="123"/>
      <c r="F44" s="123"/>
      <c r="G44" s="123"/>
      <c r="H44" s="123"/>
      <c r="I44" s="124"/>
      <c r="J44" s="176" t="s">
        <v>12</v>
      </c>
    </row>
    <row r="45" spans="1:12" ht="13.9" x14ac:dyDescent="0.25">
      <c r="A45" s="69" t="s">
        <v>90</v>
      </c>
      <c r="B45" s="23">
        <v>340</v>
      </c>
      <c r="C45" s="23"/>
      <c r="D45" s="23">
        <v>425</v>
      </c>
      <c r="E45" s="23"/>
      <c r="F45" s="23">
        <v>425</v>
      </c>
      <c r="G45" s="23"/>
      <c r="H45" s="23">
        <f>F45-D45</f>
        <v>0</v>
      </c>
      <c r="I45" s="113"/>
      <c r="J45" s="176" t="s">
        <v>12</v>
      </c>
    </row>
    <row r="46" spans="1:12" ht="13.9" x14ac:dyDescent="0.25">
      <c r="A46" s="69"/>
      <c r="B46" s="23"/>
      <c r="C46" s="23"/>
      <c r="D46" s="23"/>
      <c r="E46" s="23"/>
      <c r="F46" s="23"/>
      <c r="G46" s="23"/>
      <c r="H46" s="23"/>
      <c r="I46" s="113"/>
      <c r="J46" s="176" t="s">
        <v>12</v>
      </c>
      <c r="L46" s="63"/>
    </row>
    <row r="47" spans="1:12" ht="13.9" x14ac:dyDescent="0.25">
      <c r="A47" s="69" t="s">
        <v>91</v>
      </c>
      <c r="B47" s="23"/>
      <c r="C47" s="23">
        <v>20261</v>
      </c>
      <c r="D47" s="23"/>
      <c r="E47" s="23">
        <f>22282-E48</f>
        <v>20945.080000000002</v>
      </c>
      <c r="F47" s="23"/>
      <c r="G47" s="23">
        <f>22282-G48</f>
        <v>20945.080000000002</v>
      </c>
      <c r="H47" s="23"/>
      <c r="I47" s="113">
        <f t="shared" ref="I47:I48" si="7">G47-E47</f>
        <v>0</v>
      </c>
      <c r="J47" s="176" t="s">
        <v>12</v>
      </c>
    </row>
    <row r="48" spans="1:12" ht="14.45" thickBot="1" x14ac:dyDescent="0.3">
      <c r="A48" s="72" t="s">
        <v>92</v>
      </c>
      <c r="B48" s="125"/>
      <c r="C48" s="125">
        <f>20261*0.06</f>
        <v>1215.6599999999999</v>
      </c>
      <c r="D48" s="125"/>
      <c r="E48" s="125">
        <f>22282*0.06</f>
        <v>1336.9199999999998</v>
      </c>
      <c r="F48" s="125"/>
      <c r="G48" s="125">
        <f>22282*0.06</f>
        <v>1336.9199999999998</v>
      </c>
      <c r="H48" s="125"/>
      <c r="I48" s="126">
        <f t="shared" si="7"/>
        <v>0</v>
      </c>
      <c r="J48" s="176" t="s">
        <v>12</v>
      </c>
    </row>
    <row r="49" spans="1:10" ht="13.9" x14ac:dyDescent="0.25">
      <c r="J49" s="173" t="s">
        <v>13</v>
      </c>
    </row>
    <row r="50" spans="1:10" ht="13.9" x14ac:dyDescent="0.25">
      <c r="A50" s="149"/>
    </row>
  </sheetData>
  <mergeCells count="10">
    <mergeCell ref="A6:A7"/>
    <mergeCell ref="B6:C6"/>
    <mergeCell ref="D6:E6"/>
    <mergeCell ref="F6:G6"/>
    <mergeCell ref="H6:I6"/>
    <mergeCell ref="A1:I1"/>
    <mergeCell ref="A2:I2"/>
    <mergeCell ref="A3:I3"/>
    <mergeCell ref="A4:I4"/>
    <mergeCell ref="A5:I5"/>
  </mergeCells>
  <printOptions horizontalCentered="1"/>
  <pageMargins left="0.6" right="0.6" top="0.56999999999999995" bottom="0.55000000000000004" header="0.3" footer="0.3"/>
  <pageSetup scale="72" orientation="landscape" r:id="rId1"/>
  <headerFooter>
    <oddHeader>&amp;L&amp;"Arial,Bold"&amp;12K. Summary of Requirements by Object Class</oddHeader>
    <oddFooter>&amp;C&amp;"Arial,Regular"Exhibit K - Summary of Requirements by Object Class - Salaries and Expenses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view="pageBreakPreview" zoomScale="90" zoomScaleNormal="100" zoomScaleSheetLayoutView="90" workbookViewId="0">
      <pane xSplit="1" ySplit="7" topLeftCell="B8" activePane="bottomRight" state="frozen"/>
      <selection pane="topRight" activeCell="B1" sqref="B1"/>
      <selection pane="bottomLeft" activeCell="A8" sqref="A8"/>
      <selection pane="bottomRight" activeCell="A12" sqref="A12:XFD12"/>
    </sheetView>
  </sheetViews>
  <sheetFormatPr defaultColWidth="9.140625" defaultRowHeight="14.25" x14ac:dyDescent="0.2"/>
  <cols>
    <col min="1" max="1" width="86.5703125" style="9" customWidth="1"/>
    <col min="2" max="2" width="8.28515625" style="9" customWidth="1"/>
    <col min="3" max="3" width="12.7109375" style="9" customWidth="1"/>
    <col min="4" max="4" width="8.28515625" style="9" customWidth="1"/>
    <col min="5" max="5" width="12.7109375" style="9" customWidth="1"/>
    <col min="6" max="6" width="8.28515625" style="9" customWidth="1"/>
    <col min="7" max="7" width="12.7109375" style="9" customWidth="1"/>
    <col min="8" max="8" width="8.28515625" style="9" customWidth="1"/>
    <col min="9" max="9" width="12.7109375" style="9" customWidth="1"/>
    <col min="10" max="10" width="14" style="4" bestFit="1" customWidth="1"/>
    <col min="11" max="11" width="4.5703125" style="9" customWidth="1"/>
    <col min="12" max="12" width="116.7109375" style="62"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330" t="s">
        <v>64</v>
      </c>
      <c r="B1" s="330"/>
      <c r="C1" s="330"/>
      <c r="D1" s="330"/>
      <c r="E1" s="330"/>
      <c r="F1" s="330"/>
      <c r="G1" s="330"/>
      <c r="H1" s="330"/>
      <c r="I1" s="330"/>
      <c r="J1" s="64" t="s">
        <v>12</v>
      </c>
      <c r="K1" s="6"/>
      <c r="L1" s="311"/>
      <c r="M1" s="6"/>
      <c r="N1" s="6"/>
      <c r="O1" s="6"/>
      <c r="P1" s="6"/>
      <c r="Q1" s="6"/>
      <c r="R1" s="6"/>
    </row>
    <row r="2" spans="1:18" ht="15" x14ac:dyDescent="0.2">
      <c r="A2" s="331" t="s">
        <v>175</v>
      </c>
      <c r="B2" s="331"/>
      <c r="C2" s="331"/>
      <c r="D2" s="331"/>
      <c r="E2" s="331"/>
      <c r="F2" s="331"/>
      <c r="G2" s="331"/>
      <c r="H2" s="331"/>
      <c r="I2" s="331"/>
      <c r="J2" s="64" t="s">
        <v>12</v>
      </c>
      <c r="K2" s="7"/>
      <c r="L2" s="307"/>
      <c r="M2" s="7"/>
      <c r="N2" s="7"/>
      <c r="O2" s="7"/>
      <c r="P2" s="7"/>
      <c r="Q2" s="7"/>
      <c r="R2" s="7"/>
    </row>
    <row r="3" spans="1:18" x14ac:dyDescent="0.2">
      <c r="A3" s="332" t="s">
        <v>176</v>
      </c>
      <c r="B3" s="355"/>
      <c r="C3" s="355"/>
      <c r="D3" s="355"/>
      <c r="E3" s="355"/>
      <c r="F3" s="355"/>
      <c r="G3" s="355"/>
      <c r="H3" s="355"/>
      <c r="I3" s="355"/>
      <c r="J3" s="64" t="s">
        <v>12</v>
      </c>
      <c r="K3" s="10"/>
      <c r="L3" s="307"/>
      <c r="M3" s="10"/>
      <c r="N3" s="10"/>
      <c r="O3" s="10"/>
      <c r="P3" s="10"/>
      <c r="Q3" s="10"/>
      <c r="R3" s="10"/>
    </row>
    <row r="4" spans="1:18" x14ac:dyDescent="0.2">
      <c r="A4" s="354" t="s">
        <v>2</v>
      </c>
      <c r="B4" s="354"/>
      <c r="C4" s="354"/>
      <c r="D4" s="354"/>
      <c r="E4" s="354"/>
      <c r="F4" s="354"/>
      <c r="G4" s="354"/>
      <c r="H4" s="354"/>
      <c r="I4" s="354"/>
      <c r="J4" s="64" t="s">
        <v>12</v>
      </c>
      <c r="K4" s="8"/>
      <c r="L4" s="307"/>
      <c r="M4" s="8"/>
      <c r="N4" s="8"/>
      <c r="O4" s="8"/>
      <c r="P4" s="8"/>
      <c r="Q4" s="8"/>
      <c r="R4" s="8"/>
    </row>
    <row r="5" spans="1:18" ht="15.75" thickBot="1" x14ac:dyDescent="0.3">
      <c r="A5" s="354"/>
      <c r="B5" s="354"/>
      <c r="C5" s="354"/>
      <c r="D5" s="354"/>
      <c r="E5" s="354"/>
      <c r="F5" s="354"/>
      <c r="G5" s="354"/>
      <c r="H5" s="354"/>
      <c r="I5" s="354"/>
      <c r="J5" s="64" t="s">
        <v>12</v>
      </c>
      <c r="K5" s="8"/>
      <c r="L5" s="309"/>
      <c r="M5" s="8"/>
      <c r="N5" s="8"/>
      <c r="O5" s="8"/>
      <c r="P5" s="8"/>
      <c r="Q5" s="8"/>
      <c r="R5" s="8"/>
    </row>
    <row r="6" spans="1:18" ht="15" x14ac:dyDescent="0.2">
      <c r="A6" s="337" t="s">
        <v>65</v>
      </c>
      <c r="B6" s="339" t="s">
        <v>139</v>
      </c>
      <c r="C6" s="339"/>
      <c r="D6" s="339" t="s">
        <v>141</v>
      </c>
      <c r="E6" s="339"/>
      <c r="F6" s="339" t="s">
        <v>136</v>
      </c>
      <c r="G6" s="339"/>
      <c r="H6" s="339" t="s">
        <v>50</v>
      </c>
      <c r="I6" s="340"/>
      <c r="J6" s="64" t="s">
        <v>12</v>
      </c>
      <c r="L6" s="323"/>
    </row>
    <row r="7" spans="1:18" ht="28.5" x14ac:dyDescent="0.2">
      <c r="A7" s="338"/>
      <c r="B7" s="66" t="s">
        <v>19</v>
      </c>
      <c r="C7" s="11" t="s">
        <v>4</v>
      </c>
      <c r="D7" s="11" t="s">
        <v>19</v>
      </c>
      <c r="E7" s="11" t="s">
        <v>4</v>
      </c>
      <c r="F7" s="11" t="s">
        <v>19</v>
      </c>
      <c r="G7" s="11" t="s">
        <v>4</v>
      </c>
      <c r="H7" s="11" t="s">
        <v>19</v>
      </c>
      <c r="I7" s="12" t="s">
        <v>4</v>
      </c>
      <c r="J7" s="64" t="s">
        <v>12</v>
      </c>
      <c r="L7" s="74"/>
    </row>
    <row r="8" spans="1:18" ht="15" x14ac:dyDescent="0.25">
      <c r="A8" s="178" t="s">
        <v>70</v>
      </c>
      <c r="B8" s="23"/>
      <c r="C8" s="23"/>
      <c r="D8" s="23"/>
      <c r="E8" s="23"/>
      <c r="F8" s="23"/>
      <c r="G8" s="23"/>
      <c r="H8" s="23"/>
      <c r="I8" s="113"/>
      <c r="J8" s="176" t="s">
        <v>12</v>
      </c>
    </row>
    <row r="9" spans="1:18" x14ac:dyDescent="0.2">
      <c r="A9" s="69" t="s">
        <v>79</v>
      </c>
      <c r="B9" s="23"/>
      <c r="C9" s="23">
        <v>10994</v>
      </c>
      <c r="D9" s="23"/>
      <c r="E9" s="23">
        <v>9800</v>
      </c>
      <c r="F9" s="23"/>
      <c r="G9" s="23">
        <v>9800</v>
      </c>
      <c r="H9" s="23"/>
      <c r="I9" s="113">
        <f t="shared" ref="I9" si="0">G9-E9</f>
        <v>0</v>
      </c>
      <c r="J9" s="64" t="s">
        <v>12</v>
      </c>
    </row>
    <row r="10" spans="1:18" ht="15" x14ac:dyDescent="0.25">
      <c r="A10" s="70" t="s">
        <v>87</v>
      </c>
      <c r="B10" s="79"/>
      <c r="C10" s="79">
        <f>SUM(C9:C9)</f>
        <v>10994</v>
      </c>
      <c r="D10" s="79"/>
      <c r="E10" s="79">
        <f>SUM(E9:E9)</f>
        <v>9800</v>
      </c>
      <c r="F10" s="79"/>
      <c r="G10" s="79">
        <f>SUM(G9:G9)</f>
        <v>9800</v>
      </c>
      <c r="H10" s="79"/>
      <c r="I10" s="81">
        <f>SUM(I9:I9)</f>
        <v>0</v>
      </c>
      <c r="J10" s="64" t="s">
        <v>12</v>
      </c>
      <c r="L10" s="63"/>
    </row>
    <row r="11" spans="1:18" x14ac:dyDescent="0.2">
      <c r="A11" s="98" t="s">
        <v>113</v>
      </c>
      <c r="B11" s="23"/>
      <c r="C11" s="23">
        <v>-930</v>
      </c>
      <c r="D11" s="23"/>
      <c r="E11" s="23">
        <f>-C13</f>
        <v>-824</v>
      </c>
      <c r="F11" s="23"/>
      <c r="G11" s="23">
        <f>-E13</f>
        <v>-1824</v>
      </c>
      <c r="H11" s="23"/>
      <c r="I11" s="113">
        <f>G11-E11</f>
        <v>-1000</v>
      </c>
      <c r="J11" s="64" t="s">
        <v>12</v>
      </c>
      <c r="L11" s="63"/>
    </row>
    <row r="12" spans="1:18" x14ac:dyDescent="0.2">
      <c r="A12" s="129" t="s">
        <v>124</v>
      </c>
      <c r="B12" s="23"/>
      <c r="C12" s="23">
        <f>-581-514</f>
        <v>-1095</v>
      </c>
      <c r="D12" s="23"/>
      <c r="E12" s="23">
        <v>-1000</v>
      </c>
      <c r="F12" s="23"/>
      <c r="G12" s="23">
        <v>0</v>
      </c>
      <c r="H12" s="23"/>
      <c r="I12" s="113">
        <f t="shared" ref="I12:I14" si="1">G12-E12</f>
        <v>1000</v>
      </c>
      <c r="J12" s="64" t="s">
        <v>12</v>
      </c>
      <c r="L12" s="63"/>
    </row>
    <row r="13" spans="1:18" x14ac:dyDescent="0.2">
      <c r="A13" s="69" t="s">
        <v>88</v>
      </c>
      <c r="B13" s="23"/>
      <c r="C13" s="23">
        <v>824</v>
      </c>
      <c r="D13" s="23"/>
      <c r="E13" s="23">
        <f>9800-7976</f>
        <v>1824</v>
      </c>
      <c r="F13" s="23"/>
      <c r="G13" s="23">
        <f>-G11</f>
        <v>1824</v>
      </c>
      <c r="H13" s="23"/>
      <c r="I13" s="113">
        <f t="shared" si="1"/>
        <v>0</v>
      </c>
      <c r="J13" s="64" t="s">
        <v>12</v>
      </c>
      <c r="L13" s="63"/>
    </row>
    <row r="14" spans="1:18" hidden="1" x14ac:dyDescent="0.2">
      <c r="A14" s="103" t="s">
        <v>117</v>
      </c>
      <c r="B14" s="23"/>
      <c r="C14" s="23">
        <v>0</v>
      </c>
      <c r="D14" s="23"/>
      <c r="E14" s="23">
        <v>0</v>
      </c>
      <c r="F14" s="23"/>
      <c r="G14" s="23">
        <v>0</v>
      </c>
      <c r="H14" s="23"/>
      <c r="I14" s="113">
        <f t="shared" si="1"/>
        <v>0</v>
      </c>
      <c r="J14" s="64" t="s">
        <v>12</v>
      </c>
      <c r="L14" s="63"/>
    </row>
    <row r="15" spans="1:18" ht="15.75" thickBot="1" x14ac:dyDescent="0.3">
      <c r="A15" s="71" t="s">
        <v>89</v>
      </c>
      <c r="B15" s="121">
        <f t="shared" ref="B15:I15" si="2">SUM(B10:B14)</f>
        <v>0</v>
      </c>
      <c r="C15" s="121">
        <f>SUM(C10:C14)</f>
        <v>9793</v>
      </c>
      <c r="D15" s="121">
        <f t="shared" si="2"/>
        <v>0</v>
      </c>
      <c r="E15" s="121">
        <f t="shared" si="2"/>
        <v>9800</v>
      </c>
      <c r="F15" s="121">
        <f t="shared" si="2"/>
        <v>0</v>
      </c>
      <c r="G15" s="121">
        <f t="shared" si="2"/>
        <v>9800</v>
      </c>
      <c r="H15" s="121">
        <f t="shared" si="2"/>
        <v>0</v>
      </c>
      <c r="I15" s="122">
        <f t="shared" si="2"/>
        <v>0</v>
      </c>
      <c r="J15" s="173" t="s">
        <v>13</v>
      </c>
      <c r="L15" s="63"/>
    </row>
  </sheetData>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2" orientation="landscape" r:id="rId1"/>
  <headerFooter>
    <oddHeader>&amp;L&amp;"Arial,Bold"&amp;12K. Summary of Requirements by Object Class</oddHeader>
    <oddFooter>&amp;C&amp;"Arial,Regular"Exhibit K - Summary of Requirements by Object Class - Construction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view="pageBreakPreview" zoomScale="90" zoomScaleNormal="100" zoomScaleSheetLayoutView="90" workbookViewId="0">
      <selection activeCell="B18" sqref="B18"/>
    </sheetView>
  </sheetViews>
  <sheetFormatPr defaultColWidth="9.140625" defaultRowHeight="14.25" x14ac:dyDescent="0.2"/>
  <cols>
    <col min="1" max="1" width="113.5703125" style="131" customWidth="1"/>
    <col min="2" max="2" width="12.7109375" style="135" customWidth="1"/>
    <col min="3" max="3" width="11.42578125" style="135" customWidth="1"/>
    <col min="4" max="4" width="14.5703125" style="136" customWidth="1"/>
    <col min="5" max="5" width="11.5703125" style="173" bestFit="1" customWidth="1"/>
    <col min="6" max="6" width="4.85546875" style="131" customWidth="1"/>
    <col min="7" max="7" width="140.28515625" style="131" customWidth="1"/>
    <col min="8" max="16384" width="9.140625" style="131"/>
  </cols>
  <sheetData>
    <row r="1" spans="1:7" ht="18" x14ac:dyDescent="0.25">
      <c r="A1" s="330" t="s">
        <v>0</v>
      </c>
      <c r="B1" s="330"/>
      <c r="C1" s="330"/>
      <c r="D1" s="330"/>
      <c r="E1" s="173" t="s">
        <v>12</v>
      </c>
      <c r="F1" s="199"/>
      <c r="G1" s="308"/>
    </row>
    <row r="2" spans="1:7" ht="15" x14ac:dyDescent="0.2">
      <c r="A2" s="331" t="s">
        <v>175</v>
      </c>
      <c r="B2" s="331"/>
      <c r="C2" s="331"/>
      <c r="D2" s="331"/>
      <c r="E2" s="173" t="s">
        <v>12</v>
      </c>
      <c r="F2" s="199"/>
      <c r="G2" s="307"/>
    </row>
    <row r="3" spans="1:7" x14ac:dyDescent="0.2">
      <c r="A3" s="332" t="s">
        <v>1</v>
      </c>
      <c r="B3" s="332"/>
      <c r="C3" s="332"/>
      <c r="D3" s="332"/>
      <c r="E3" s="173" t="s">
        <v>12</v>
      </c>
      <c r="G3" s="307"/>
    </row>
    <row r="4" spans="1:7" x14ac:dyDescent="0.2">
      <c r="A4" s="333" t="s">
        <v>2</v>
      </c>
      <c r="B4" s="333"/>
      <c r="C4" s="333"/>
      <c r="D4" s="333"/>
      <c r="E4" s="173" t="s">
        <v>12</v>
      </c>
      <c r="G4" s="307"/>
    </row>
    <row r="5" spans="1:7" ht="15" thickBot="1" x14ac:dyDescent="0.25">
      <c r="E5" s="173" t="s">
        <v>12</v>
      </c>
      <c r="G5" s="307"/>
    </row>
    <row r="6" spans="1:7" ht="15" x14ac:dyDescent="0.25">
      <c r="B6" s="334" t="s">
        <v>127</v>
      </c>
      <c r="C6" s="335"/>
      <c r="D6" s="336"/>
      <c r="E6" s="173" t="s">
        <v>12</v>
      </c>
    </row>
    <row r="7" spans="1:7" ht="28.9" customHeight="1" thickBot="1" x14ac:dyDescent="0.25">
      <c r="B7" s="1" t="s">
        <v>161</v>
      </c>
      <c r="C7" s="2" t="s">
        <v>162</v>
      </c>
      <c r="D7" s="3" t="s">
        <v>4</v>
      </c>
      <c r="E7" s="173" t="s">
        <v>12</v>
      </c>
      <c r="G7" s="99"/>
    </row>
    <row r="8" spans="1:7" ht="15" x14ac:dyDescent="0.25">
      <c r="A8" s="89" t="s">
        <v>125</v>
      </c>
      <c r="B8" s="90">
        <v>5554</v>
      </c>
      <c r="C8" s="91">
        <v>5103</v>
      </c>
      <c r="D8" s="92">
        <v>1196000</v>
      </c>
      <c r="E8" s="173" t="s">
        <v>12</v>
      </c>
      <c r="G8" s="100"/>
    </row>
    <row r="9" spans="1:7" ht="15" x14ac:dyDescent="0.25">
      <c r="A9" s="153" t="s">
        <v>126</v>
      </c>
      <c r="B9" s="413" t="s">
        <v>40</v>
      </c>
      <c r="C9" s="414"/>
      <c r="D9" s="415">
        <v>-24796</v>
      </c>
      <c r="E9" s="173" t="s">
        <v>12</v>
      </c>
      <c r="G9" s="100"/>
    </row>
    <row r="10" spans="1:7" ht="15" x14ac:dyDescent="0.25">
      <c r="A10" s="153" t="s">
        <v>157</v>
      </c>
      <c r="B10" s="416"/>
      <c r="C10" s="417"/>
      <c r="D10" s="418">
        <v>-59135</v>
      </c>
      <c r="E10" s="173" t="s">
        <v>12</v>
      </c>
      <c r="G10" s="100"/>
    </row>
    <row r="11" spans="1:7" ht="15" x14ac:dyDescent="0.25">
      <c r="A11" s="137" t="s">
        <v>158</v>
      </c>
      <c r="B11" s="106"/>
      <c r="C11" s="27"/>
      <c r="D11" s="138">
        <v>0</v>
      </c>
      <c r="E11" s="173" t="s">
        <v>12</v>
      </c>
      <c r="G11" s="100"/>
    </row>
    <row r="12" spans="1:7" ht="15" x14ac:dyDescent="0.25">
      <c r="A12" s="88" t="s">
        <v>128</v>
      </c>
      <c r="B12" s="104">
        <f>SUM(B8:B11)</f>
        <v>5554</v>
      </c>
      <c r="C12" s="183">
        <f>SUM(C8:C11)</f>
        <v>5103</v>
      </c>
      <c r="D12" s="105">
        <f>SUM(D8:D11)</f>
        <v>1112069</v>
      </c>
      <c r="E12" s="173" t="s">
        <v>12</v>
      </c>
      <c r="G12" s="101"/>
    </row>
    <row r="13" spans="1:7" ht="15" x14ac:dyDescent="0.25">
      <c r="A13" s="88"/>
      <c r="B13" s="104"/>
      <c r="C13" s="183"/>
      <c r="D13" s="105"/>
      <c r="E13" s="173" t="s">
        <v>12</v>
      </c>
      <c r="G13" s="101"/>
    </row>
    <row r="14" spans="1:7" ht="15" x14ac:dyDescent="0.25">
      <c r="A14" s="77" t="s">
        <v>166</v>
      </c>
      <c r="B14" s="104">
        <v>5554</v>
      </c>
      <c r="C14" s="183">
        <v>5103</v>
      </c>
      <c r="D14" s="105">
        <v>1185000</v>
      </c>
      <c r="E14" s="173" t="s">
        <v>12</v>
      </c>
      <c r="G14" s="100"/>
    </row>
    <row r="15" spans="1:7" ht="15" x14ac:dyDescent="0.25">
      <c r="A15" s="137" t="s">
        <v>159</v>
      </c>
      <c r="B15" s="127"/>
      <c r="C15" s="128"/>
      <c r="D15" s="140">
        <v>0</v>
      </c>
      <c r="E15" s="173" t="s">
        <v>12</v>
      </c>
      <c r="G15" s="100"/>
    </row>
    <row r="16" spans="1:7" ht="15" x14ac:dyDescent="0.25">
      <c r="A16" s="80" t="s">
        <v>167</v>
      </c>
      <c r="B16" s="155">
        <f>SUM(B14)+B15</f>
        <v>5554</v>
      </c>
      <c r="C16" s="116">
        <f t="shared" ref="C16:D16" si="0">SUM(C14)+C15</f>
        <v>5103</v>
      </c>
      <c r="D16" s="154">
        <f t="shared" si="0"/>
        <v>1185000</v>
      </c>
      <c r="E16" s="173" t="s">
        <v>12</v>
      </c>
      <c r="G16" s="101"/>
    </row>
    <row r="17" spans="1:7" ht="15" x14ac:dyDescent="0.25">
      <c r="A17" s="80"/>
      <c r="B17" s="78"/>
      <c r="C17" s="181"/>
      <c r="D17" s="182"/>
      <c r="E17" s="173" t="s">
        <v>12</v>
      </c>
      <c r="G17" s="100"/>
    </row>
    <row r="18" spans="1:7" ht="15" x14ac:dyDescent="0.25">
      <c r="A18" s="82" t="s">
        <v>95</v>
      </c>
      <c r="B18" s="78"/>
      <c r="C18" s="181"/>
      <c r="D18" s="182"/>
      <c r="E18" s="173" t="s">
        <v>12</v>
      </c>
      <c r="G18" s="101"/>
    </row>
    <row r="19" spans="1:7" ht="15" x14ac:dyDescent="0.25">
      <c r="A19" s="143" t="s">
        <v>5</v>
      </c>
      <c r="B19" s="141">
        <v>0</v>
      </c>
      <c r="C19" s="142">
        <v>0</v>
      </c>
      <c r="D19" s="139">
        <v>22729</v>
      </c>
      <c r="E19" s="173" t="s">
        <v>12</v>
      </c>
      <c r="G19" s="101"/>
    </row>
    <row r="20" spans="1:7" ht="15" x14ac:dyDescent="0.25">
      <c r="A20" s="143" t="s">
        <v>6</v>
      </c>
      <c r="B20" s="141">
        <v>0</v>
      </c>
      <c r="C20" s="142">
        <v>0</v>
      </c>
      <c r="D20" s="139">
        <v>9524</v>
      </c>
      <c r="E20" s="173" t="s">
        <v>12</v>
      </c>
      <c r="G20" s="101"/>
    </row>
    <row r="21" spans="1:7" ht="15" x14ac:dyDescent="0.25">
      <c r="A21" s="143" t="s">
        <v>7</v>
      </c>
      <c r="B21" s="141">
        <v>0</v>
      </c>
      <c r="C21" s="142">
        <v>0</v>
      </c>
      <c r="D21" s="139">
        <v>893</v>
      </c>
      <c r="E21" s="173" t="s">
        <v>12</v>
      </c>
      <c r="G21" s="101"/>
    </row>
    <row r="22" spans="1:7" ht="15" x14ac:dyDescent="0.25">
      <c r="A22" s="143" t="s">
        <v>8</v>
      </c>
      <c r="B22" s="141">
        <v>0</v>
      </c>
      <c r="C22" s="142">
        <v>0</v>
      </c>
      <c r="D22" s="110">
        <v>686</v>
      </c>
      <c r="E22" s="173" t="s">
        <v>12</v>
      </c>
      <c r="G22" s="101"/>
    </row>
    <row r="23" spans="1:7" ht="15" x14ac:dyDescent="0.25">
      <c r="A23" s="83" t="s">
        <v>96</v>
      </c>
      <c r="B23" s="107">
        <f>SUM(B19:B22)</f>
        <v>0</v>
      </c>
      <c r="C23" s="183">
        <f>SUM(C19:C22)</f>
        <v>0</v>
      </c>
      <c r="D23" s="184">
        <f>SUM(D19:D22)</f>
        <v>33832</v>
      </c>
      <c r="E23" s="173" t="s">
        <v>12</v>
      </c>
      <c r="G23" s="101"/>
    </row>
    <row r="24" spans="1:7" ht="15" x14ac:dyDescent="0.25">
      <c r="A24" s="80" t="s">
        <v>97</v>
      </c>
      <c r="B24" s="108">
        <f>B23</f>
        <v>0</v>
      </c>
      <c r="C24" s="27">
        <f>C23</f>
        <v>0</v>
      </c>
      <c r="D24" s="28">
        <f>D23</f>
        <v>33832</v>
      </c>
      <c r="E24" s="173" t="s">
        <v>12</v>
      </c>
      <c r="G24" s="101"/>
    </row>
    <row r="25" spans="1:7" ht="15" x14ac:dyDescent="0.25">
      <c r="A25" s="84" t="s">
        <v>129</v>
      </c>
      <c r="B25" s="107">
        <f>B16+B24</f>
        <v>5554</v>
      </c>
      <c r="C25" s="183">
        <f>C16+C24</f>
        <v>5103</v>
      </c>
      <c r="D25" s="184">
        <f>D16+D24</f>
        <v>1218832</v>
      </c>
      <c r="E25" s="173" t="s">
        <v>12</v>
      </c>
      <c r="G25" s="101"/>
    </row>
    <row r="26" spans="1:7" ht="15" x14ac:dyDescent="0.25">
      <c r="A26" s="84" t="s">
        <v>9</v>
      </c>
      <c r="B26" s="107"/>
      <c r="C26" s="183"/>
      <c r="D26" s="184"/>
      <c r="E26" s="173" t="s">
        <v>12</v>
      </c>
      <c r="G26" s="100"/>
    </row>
    <row r="27" spans="1:7" ht="15" x14ac:dyDescent="0.25">
      <c r="A27" s="143" t="s">
        <v>225</v>
      </c>
      <c r="B27" s="85"/>
      <c r="C27" s="181"/>
      <c r="D27" s="86"/>
      <c r="E27" s="173" t="s">
        <v>12</v>
      </c>
      <c r="G27" s="100"/>
    </row>
    <row r="28" spans="1:7" x14ac:dyDescent="0.2">
      <c r="A28" s="144" t="s">
        <v>226</v>
      </c>
      <c r="B28" s="141">
        <v>0</v>
      </c>
      <c r="C28" s="142">
        <v>0</v>
      </c>
      <c r="D28" s="110">
        <v>-33832</v>
      </c>
      <c r="E28" s="173" t="s">
        <v>12</v>
      </c>
      <c r="G28" s="100"/>
    </row>
    <row r="29" spans="1:7" x14ac:dyDescent="0.2">
      <c r="A29" s="144" t="s">
        <v>10</v>
      </c>
      <c r="B29" s="141">
        <f>SUM(B28:B28)</f>
        <v>0</v>
      </c>
      <c r="C29" s="142">
        <f>SUM(C28:C28)</f>
        <v>0</v>
      </c>
      <c r="D29" s="139">
        <f>SUM(D28:D28)</f>
        <v>-33832</v>
      </c>
      <c r="E29" s="173" t="s">
        <v>12</v>
      </c>
      <c r="G29" s="100"/>
    </row>
    <row r="30" spans="1:7" ht="15" x14ac:dyDescent="0.25">
      <c r="A30" s="80" t="s">
        <v>11</v>
      </c>
      <c r="B30" s="158">
        <f>+B29</f>
        <v>0</v>
      </c>
      <c r="C30" s="157">
        <f>+C29</f>
        <v>0</v>
      </c>
      <c r="D30" s="298">
        <f>+D29</f>
        <v>-33832</v>
      </c>
      <c r="E30" s="173" t="s">
        <v>12</v>
      </c>
      <c r="G30" s="101"/>
    </row>
    <row r="31" spans="1:7" ht="15" x14ac:dyDescent="0.25">
      <c r="A31" s="87" t="s">
        <v>130</v>
      </c>
      <c r="B31" s="104">
        <f>B25+B30</f>
        <v>5554</v>
      </c>
      <c r="C31" s="183">
        <f>C25+C30</f>
        <v>5103</v>
      </c>
      <c r="D31" s="105">
        <f>D25+D30</f>
        <v>1185000</v>
      </c>
      <c r="E31" s="173" t="s">
        <v>12</v>
      </c>
      <c r="G31" s="101"/>
    </row>
    <row r="32" spans="1:7" ht="15" x14ac:dyDescent="0.25">
      <c r="A32" s="137" t="s">
        <v>160</v>
      </c>
      <c r="B32" s="106"/>
      <c r="C32" s="27"/>
      <c r="D32" s="138">
        <v>0</v>
      </c>
      <c r="E32" s="173" t="s">
        <v>12</v>
      </c>
      <c r="G32" s="100"/>
    </row>
    <row r="33" spans="1:7" s="5" customFormat="1" ht="15" x14ac:dyDescent="0.25">
      <c r="A33" s="96" t="s">
        <v>131</v>
      </c>
      <c r="B33" s="93">
        <f t="shared" ref="B33:C33" si="1">SUM(B31:B32)</f>
        <v>5554</v>
      </c>
      <c r="C33" s="94">
        <f t="shared" si="1"/>
        <v>5103</v>
      </c>
      <c r="D33" s="95">
        <f>SUM(D31:D32)</f>
        <v>1185000</v>
      </c>
      <c r="E33" s="173" t="s">
        <v>12</v>
      </c>
      <c r="G33" s="101"/>
    </row>
    <row r="34" spans="1:7" ht="15.75" thickBot="1" x14ac:dyDescent="0.3">
      <c r="A34" s="145" t="s">
        <v>172</v>
      </c>
      <c r="B34" s="146">
        <f>B31-B14</f>
        <v>0</v>
      </c>
      <c r="C34" s="291">
        <f>C31-C14</f>
        <v>0</v>
      </c>
      <c r="D34" s="292">
        <f>D31-D14</f>
        <v>0</v>
      </c>
      <c r="E34" s="173" t="s">
        <v>12</v>
      </c>
      <c r="G34" s="101"/>
    </row>
    <row r="35" spans="1:7" x14ac:dyDescent="0.2">
      <c r="A35" s="173"/>
      <c r="E35" s="173" t="s">
        <v>12</v>
      </c>
    </row>
    <row r="36" spans="1:7" ht="17.25" x14ac:dyDescent="0.2">
      <c r="A36" s="328" t="s">
        <v>163</v>
      </c>
      <c r="B36" s="329"/>
      <c r="C36" s="329"/>
      <c r="D36" s="329"/>
      <c r="E36" s="173" t="s">
        <v>12</v>
      </c>
    </row>
    <row r="37" spans="1:7" x14ac:dyDescent="0.2">
      <c r="E37" s="173" t="s">
        <v>13</v>
      </c>
    </row>
  </sheetData>
  <mergeCells count="6">
    <mergeCell ref="A36:D36"/>
    <mergeCell ref="A1:D1"/>
    <mergeCell ref="A2:D2"/>
    <mergeCell ref="A3:D3"/>
    <mergeCell ref="A4:D4"/>
    <mergeCell ref="B6:D6"/>
  </mergeCells>
  <printOptions horizontalCentered="1"/>
  <pageMargins left="0.7" right="0.7" top="0.63" bottom="0.63" header="0.3" footer="0.3"/>
  <pageSetup scale="80" orientation="landscape" r:id="rId1"/>
  <headerFooter>
    <oddHeader>&amp;L&amp;"Arial,Bold"&amp;12B. Summary of Requirements</oddHeader>
    <oddFooter>&amp;C&amp;"Arial,Regular"Exhibit B - Summary of Requirements - Salaries and Expenses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view="pageBreakPreview" zoomScale="80" zoomScaleNormal="100" zoomScaleSheetLayoutView="80" workbookViewId="0">
      <selection activeCell="N26" sqref="N26"/>
    </sheetView>
  </sheetViews>
  <sheetFormatPr defaultColWidth="9.140625" defaultRowHeight="14.25" x14ac:dyDescent="0.2"/>
  <cols>
    <col min="1" max="1" width="42.5703125" style="131" customWidth="1"/>
    <col min="2" max="3" width="8.28515625" style="131" customWidth="1"/>
    <col min="4" max="4" width="12.7109375" style="131" customWidth="1"/>
    <col min="5" max="6" width="8.28515625" style="131" customWidth="1"/>
    <col min="7" max="7" width="12.7109375" style="131" customWidth="1"/>
    <col min="8" max="9" width="8.28515625" style="131" customWidth="1"/>
    <col min="10" max="10" width="12.7109375" style="131" customWidth="1"/>
    <col min="11" max="12" width="8.28515625" style="131" customWidth="1"/>
    <col min="13" max="13" width="12.7109375" style="131" customWidth="1"/>
    <col min="14" max="14" width="14" style="173" bestFit="1" customWidth="1"/>
    <col min="15" max="15" width="4.5703125" style="131" customWidth="1"/>
    <col min="16" max="16" width="116.7109375" style="131" customWidth="1"/>
    <col min="17" max="18" width="8.28515625" style="131" customWidth="1"/>
    <col min="19" max="19" width="12.7109375" style="131" customWidth="1"/>
    <col min="20" max="21" width="8.28515625" style="131" customWidth="1"/>
    <col min="22" max="22" width="12.7109375" style="131" customWidth="1"/>
    <col min="23" max="16384" width="9.140625" style="131"/>
  </cols>
  <sheetData>
    <row r="1" spans="1:22" ht="18" x14ac:dyDescent="0.25">
      <c r="A1" s="330" t="s">
        <v>0</v>
      </c>
      <c r="B1" s="330"/>
      <c r="C1" s="330"/>
      <c r="D1" s="330"/>
      <c r="E1" s="330"/>
      <c r="F1" s="330"/>
      <c r="G1" s="330"/>
      <c r="H1" s="330"/>
      <c r="I1" s="330"/>
      <c r="J1" s="330"/>
      <c r="K1" s="330"/>
      <c r="L1" s="330"/>
      <c r="M1" s="330"/>
      <c r="N1" s="176" t="s">
        <v>12</v>
      </c>
      <c r="O1" s="174"/>
      <c r="P1" s="308"/>
      <c r="Q1" s="310"/>
      <c r="R1" s="174"/>
      <c r="S1" s="174"/>
      <c r="T1" s="174"/>
      <c r="U1" s="174"/>
      <c r="V1" s="174"/>
    </row>
    <row r="2" spans="1:22" ht="15" x14ac:dyDescent="0.2">
      <c r="A2" s="331" t="s">
        <v>175</v>
      </c>
      <c r="B2" s="331"/>
      <c r="C2" s="331"/>
      <c r="D2" s="331"/>
      <c r="E2" s="331"/>
      <c r="F2" s="331"/>
      <c r="G2" s="331"/>
      <c r="H2" s="331"/>
      <c r="I2" s="331"/>
      <c r="J2" s="331"/>
      <c r="K2" s="331"/>
      <c r="L2" s="331"/>
      <c r="M2" s="331"/>
      <c r="N2" s="176" t="s">
        <v>12</v>
      </c>
      <c r="O2" s="175"/>
      <c r="P2" s="307"/>
      <c r="Q2" s="175"/>
      <c r="R2" s="175"/>
      <c r="S2" s="175"/>
      <c r="T2" s="175"/>
      <c r="U2" s="175"/>
      <c r="V2" s="175"/>
    </row>
    <row r="3" spans="1:22" x14ac:dyDescent="0.2">
      <c r="A3" s="332" t="s">
        <v>1</v>
      </c>
      <c r="B3" s="332"/>
      <c r="C3" s="332"/>
      <c r="D3" s="332"/>
      <c r="E3" s="332"/>
      <c r="F3" s="332"/>
      <c r="G3" s="332"/>
      <c r="H3" s="332"/>
      <c r="I3" s="332"/>
      <c r="J3" s="332"/>
      <c r="K3" s="332"/>
      <c r="L3" s="332"/>
      <c r="M3" s="332"/>
      <c r="N3" s="176" t="s">
        <v>12</v>
      </c>
      <c r="O3" s="152"/>
      <c r="P3" s="307"/>
      <c r="Q3" s="152"/>
      <c r="R3" s="152"/>
      <c r="S3" s="152"/>
      <c r="T3" s="152"/>
      <c r="U3" s="152"/>
      <c r="V3" s="152"/>
    </row>
    <row r="4" spans="1:22" x14ac:dyDescent="0.2">
      <c r="A4" s="333" t="s">
        <v>2</v>
      </c>
      <c r="B4" s="333"/>
      <c r="C4" s="333"/>
      <c r="D4" s="333"/>
      <c r="E4" s="333"/>
      <c r="F4" s="333"/>
      <c r="G4" s="333"/>
      <c r="H4" s="333"/>
      <c r="I4" s="333"/>
      <c r="J4" s="333"/>
      <c r="K4" s="333"/>
      <c r="L4" s="333"/>
      <c r="M4" s="333"/>
      <c r="N4" s="176" t="s">
        <v>12</v>
      </c>
      <c r="O4" s="151"/>
      <c r="P4" s="307"/>
      <c r="Q4" s="151"/>
      <c r="R4" s="151"/>
      <c r="S4" s="151"/>
      <c r="T4" s="151"/>
      <c r="U4" s="151"/>
      <c r="V4" s="151"/>
    </row>
    <row r="5" spans="1:22" ht="15" x14ac:dyDescent="0.25">
      <c r="A5" s="333"/>
      <c r="B5" s="333"/>
      <c r="C5" s="333"/>
      <c r="D5" s="333"/>
      <c r="E5" s="333"/>
      <c r="F5" s="333"/>
      <c r="G5" s="333"/>
      <c r="H5" s="333"/>
      <c r="I5" s="333"/>
      <c r="J5" s="333"/>
      <c r="K5" s="333"/>
      <c r="L5" s="333"/>
      <c r="M5" s="333"/>
      <c r="N5" s="176" t="s">
        <v>12</v>
      </c>
      <c r="O5" s="151"/>
      <c r="P5" s="309"/>
      <c r="Q5" s="151"/>
      <c r="R5" s="151"/>
      <c r="S5" s="151"/>
      <c r="T5" s="151"/>
      <c r="U5" s="151"/>
      <c r="V5" s="151"/>
    </row>
    <row r="6" spans="1:22" ht="15" thickBot="1" x14ac:dyDescent="0.25">
      <c r="A6" s="333"/>
      <c r="B6" s="333"/>
      <c r="C6" s="333"/>
      <c r="D6" s="333"/>
      <c r="E6" s="333"/>
      <c r="F6" s="333"/>
      <c r="G6" s="333"/>
      <c r="H6" s="333"/>
      <c r="I6" s="333"/>
      <c r="J6" s="333"/>
      <c r="K6" s="333"/>
      <c r="L6" s="333"/>
      <c r="M6" s="333"/>
      <c r="N6" s="176" t="s">
        <v>12</v>
      </c>
      <c r="O6" s="151"/>
      <c r="P6" s="151"/>
      <c r="Q6" s="151"/>
      <c r="R6" s="151"/>
      <c r="S6" s="151"/>
      <c r="T6" s="151"/>
      <c r="U6" s="151"/>
      <c r="V6" s="151"/>
    </row>
    <row r="7" spans="1:22" ht="45.75" customHeight="1" x14ac:dyDescent="0.2">
      <c r="A7" s="337" t="s">
        <v>105</v>
      </c>
      <c r="B7" s="339" t="s">
        <v>132</v>
      </c>
      <c r="C7" s="339"/>
      <c r="D7" s="339"/>
      <c r="E7" s="339" t="s">
        <v>166</v>
      </c>
      <c r="F7" s="339"/>
      <c r="G7" s="339"/>
      <c r="H7" s="339" t="s">
        <v>133</v>
      </c>
      <c r="I7" s="339"/>
      <c r="J7" s="339"/>
      <c r="K7" s="339" t="s">
        <v>129</v>
      </c>
      <c r="L7" s="339"/>
      <c r="M7" s="340"/>
      <c r="N7" s="176" t="s">
        <v>12</v>
      </c>
    </row>
    <row r="8" spans="1:22" ht="28.5" x14ac:dyDescent="0.25">
      <c r="A8" s="338"/>
      <c r="B8" s="195" t="s">
        <v>3</v>
      </c>
      <c r="C8" s="195" t="s">
        <v>99</v>
      </c>
      <c r="D8" s="195" t="s">
        <v>4</v>
      </c>
      <c r="E8" s="195" t="s">
        <v>3</v>
      </c>
      <c r="F8" s="195" t="s">
        <v>115</v>
      </c>
      <c r="G8" s="195" t="s">
        <v>4</v>
      </c>
      <c r="H8" s="195" t="s">
        <v>3</v>
      </c>
      <c r="I8" s="195" t="s">
        <v>115</v>
      </c>
      <c r="J8" s="195" t="s">
        <v>4</v>
      </c>
      <c r="K8" s="195" t="s">
        <v>3</v>
      </c>
      <c r="L8" s="195" t="s">
        <v>115</v>
      </c>
      <c r="M8" s="201" t="s">
        <v>4</v>
      </c>
      <c r="N8" s="176" t="s">
        <v>12</v>
      </c>
      <c r="P8" s="18"/>
    </row>
    <row r="9" spans="1:22" x14ac:dyDescent="0.2">
      <c r="A9" s="222" t="s">
        <v>227</v>
      </c>
      <c r="B9" s="185">
        <v>2222</v>
      </c>
      <c r="C9" s="185">
        <v>2042</v>
      </c>
      <c r="D9" s="185">
        <v>431208</v>
      </c>
      <c r="E9" s="185">
        <v>2222</v>
      </c>
      <c r="F9" s="185">
        <v>2042</v>
      </c>
      <c r="G9" s="185">
        <v>458426</v>
      </c>
      <c r="H9" s="185">
        <v>0</v>
      </c>
      <c r="I9" s="185">
        <v>0</v>
      </c>
      <c r="J9" s="185">
        <v>12904</v>
      </c>
      <c r="K9" s="185">
        <f>E9+H9</f>
        <v>2222</v>
      </c>
      <c r="L9" s="185">
        <f t="shared" ref="L9:M16" si="0">F9+I9</f>
        <v>2042</v>
      </c>
      <c r="M9" s="202">
        <f t="shared" si="0"/>
        <v>471330</v>
      </c>
      <c r="N9" s="176" t="s">
        <v>12</v>
      </c>
    </row>
    <row r="10" spans="1:22" x14ac:dyDescent="0.2">
      <c r="A10" s="223" t="s">
        <v>188</v>
      </c>
      <c r="B10" s="142">
        <v>1744</v>
      </c>
      <c r="C10" s="142">
        <v>1602</v>
      </c>
      <c r="D10" s="142">
        <v>375812</v>
      </c>
      <c r="E10" s="142">
        <v>1744</v>
      </c>
      <c r="F10" s="142">
        <v>1602</v>
      </c>
      <c r="G10" s="142">
        <v>399353</v>
      </c>
      <c r="H10" s="142">
        <v>0</v>
      </c>
      <c r="I10" s="142">
        <v>0</v>
      </c>
      <c r="J10" s="142">
        <v>10813</v>
      </c>
      <c r="K10" s="142">
        <f t="shared" ref="K10:K13" si="1">E10+H10</f>
        <v>1744</v>
      </c>
      <c r="L10" s="142">
        <f t="shared" si="0"/>
        <v>1602</v>
      </c>
      <c r="M10" s="139">
        <f t="shared" si="0"/>
        <v>410166</v>
      </c>
      <c r="N10" s="176" t="s">
        <v>12</v>
      </c>
    </row>
    <row r="11" spans="1:22" x14ac:dyDescent="0.2">
      <c r="A11" s="223" t="s">
        <v>189</v>
      </c>
      <c r="B11" s="142">
        <v>1204</v>
      </c>
      <c r="C11" s="142">
        <v>1106</v>
      </c>
      <c r="D11" s="142">
        <v>236806</v>
      </c>
      <c r="E11" s="142">
        <v>1204</v>
      </c>
      <c r="F11" s="142">
        <v>1106</v>
      </c>
      <c r="G11" s="142">
        <v>251555</v>
      </c>
      <c r="H11" s="142">
        <v>0</v>
      </c>
      <c r="I11" s="142">
        <v>0</v>
      </c>
      <c r="J11" s="142">
        <v>6992</v>
      </c>
      <c r="K11" s="142">
        <f t="shared" si="1"/>
        <v>1204</v>
      </c>
      <c r="L11" s="142">
        <f t="shared" si="0"/>
        <v>1106</v>
      </c>
      <c r="M11" s="139">
        <f t="shared" si="0"/>
        <v>258547</v>
      </c>
      <c r="N11" s="176" t="s">
        <v>12</v>
      </c>
    </row>
    <row r="12" spans="1:22" x14ac:dyDescent="0.2">
      <c r="A12" s="293" t="s">
        <v>190</v>
      </c>
      <c r="B12" s="142">
        <v>207</v>
      </c>
      <c r="C12" s="142">
        <v>190</v>
      </c>
      <c r="D12" s="142">
        <v>32862</v>
      </c>
      <c r="E12" s="142">
        <v>207</v>
      </c>
      <c r="F12" s="142">
        <v>190</v>
      </c>
      <c r="G12" s="142">
        <v>35399</v>
      </c>
      <c r="H12" s="142">
        <v>0</v>
      </c>
      <c r="I12" s="142">
        <v>0</v>
      </c>
      <c r="J12" s="142">
        <v>1203</v>
      </c>
      <c r="K12" s="142">
        <f t="shared" si="1"/>
        <v>207</v>
      </c>
      <c r="L12" s="142">
        <f t="shared" si="0"/>
        <v>190</v>
      </c>
      <c r="M12" s="139">
        <f t="shared" si="0"/>
        <v>36602</v>
      </c>
      <c r="N12" s="176" t="s">
        <v>12</v>
      </c>
    </row>
    <row r="13" spans="1:22" x14ac:dyDescent="0.2">
      <c r="A13" s="224" t="s">
        <v>191</v>
      </c>
      <c r="B13" s="225">
        <v>177</v>
      </c>
      <c r="C13" s="225">
        <v>163</v>
      </c>
      <c r="D13" s="225">
        <v>35381</v>
      </c>
      <c r="E13" s="225">
        <v>177</v>
      </c>
      <c r="F13" s="225">
        <v>163</v>
      </c>
      <c r="G13" s="225">
        <v>40267</v>
      </c>
      <c r="H13" s="225">
        <v>0</v>
      </c>
      <c r="I13" s="225">
        <v>0</v>
      </c>
      <c r="J13" s="225">
        <v>1920</v>
      </c>
      <c r="K13" s="225">
        <f t="shared" si="1"/>
        <v>177</v>
      </c>
      <c r="L13" s="225">
        <f t="shared" si="0"/>
        <v>163</v>
      </c>
      <c r="M13" s="226">
        <f t="shared" si="0"/>
        <v>42187</v>
      </c>
      <c r="N13" s="176" t="s">
        <v>12</v>
      </c>
    </row>
    <row r="14" spans="1:22" ht="15" x14ac:dyDescent="0.25">
      <c r="A14" s="13" t="s">
        <v>102</v>
      </c>
      <c r="B14" s="114">
        <f>SUM(B9:B13)</f>
        <v>5554</v>
      </c>
      <c r="C14" s="114">
        <f t="shared" ref="C14:M14" si="2">SUM(C9:C13)</f>
        <v>5103</v>
      </c>
      <c r="D14" s="114">
        <f t="shared" si="2"/>
        <v>1112069</v>
      </c>
      <c r="E14" s="114">
        <f t="shared" si="2"/>
        <v>5554</v>
      </c>
      <c r="F14" s="114">
        <f t="shared" si="2"/>
        <v>5103</v>
      </c>
      <c r="G14" s="114">
        <f t="shared" si="2"/>
        <v>1185000</v>
      </c>
      <c r="H14" s="114">
        <f t="shared" si="2"/>
        <v>0</v>
      </c>
      <c r="I14" s="114">
        <f t="shared" si="2"/>
        <v>0</v>
      </c>
      <c r="J14" s="114">
        <f t="shared" si="2"/>
        <v>33832</v>
      </c>
      <c r="K14" s="114">
        <f t="shared" si="2"/>
        <v>5554</v>
      </c>
      <c r="L14" s="114">
        <f t="shared" si="2"/>
        <v>5103</v>
      </c>
      <c r="M14" s="115">
        <f t="shared" si="2"/>
        <v>1218832</v>
      </c>
      <c r="N14" s="176" t="s">
        <v>12</v>
      </c>
      <c r="P14" s="5"/>
    </row>
    <row r="15" spans="1:22" ht="15" x14ac:dyDescent="0.25">
      <c r="A15" s="294" t="s">
        <v>101</v>
      </c>
      <c r="B15" s="116"/>
      <c r="C15" s="116"/>
      <c r="D15" s="185">
        <v>0</v>
      </c>
      <c r="E15" s="116"/>
      <c r="F15" s="116"/>
      <c r="G15" s="185">
        <v>0</v>
      </c>
      <c r="H15" s="116"/>
      <c r="I15" s="116"/>
      <c r="J15" s="185">
        <v>0</v>
      </c>
      <c r="K15" s="116"/>
      <c r="L15" s="116"/>
      <c r="M15" s="202">
        <f t="shared" si="0"/>
        <v>0</v>
      </c>
      <c r="N15" s="176" t="s">
        <v>12</v>
      </c>
      <c r="P15" s="5"/>
    </row>
    <row r="16" spans="1:22" ht="15" x14ac:dyDescent="0.25">
      <c r="A16" s="295" t="s">
        <v>116</v>
      </c>
      <c r="B16" s="27"/>
      <c r="C16" s="27"/>
      <c r="D16" s="198">
        <f>SUM(D14:D15)</f>
        <v>1112069</v>
      </c>
      <c r="E16" s="27"/>
      <c r="F16" s="27"/>
      <c r="G16" s="198">
        <f>SUM(G14:G15)</f>
        <v>1185000</v>
      </c>
      <c r="H16" s="27"/>
      <c r="I16" s="27"/>
      <c r="J16" s="198">
        <f>SUM(J14:J15)</f>
        <v>33832</v>
      </c>
      <c r="K16" s="27"/>
      <c r="L16" s="27"/>
      <c r="M16" s="290">
        <f t="shared" si="0"/>
        <v>1218832</v>
      </c>
      <c r="N16" s="176" t="s">
        <v>12</v>
      </c>
      <c r="P16" s="5"/>
    </row>
    <row r="17" spans="1:14" x14ac:dyDescent="0.2">
      <c r="A17" s="227" t="s">
        <v>15</v>
      </c>
      <c r="B17" s="193"/>
      <c r="C17" s="193">
        <v>340</v>
      </c>
      <c r="D17" s="193"/>
      <c r="E17" s="193"/>
      <c r="F17" s="193">
        <v>425</v>
      </c>
      <c r="G17" s="193"/>
      <c r="H17" s="193"/>
      <c r="I17" s="193">
        <v>0</v>
      </c>
      <c r="J17" s="193"/>
      <c r="K17" s="193"/>
      <c r="L17" s="142">
        <f>F17+I17</f>
        <v>425</v>
      </c>
      <c r="M17" s="228"/>
      <c r="N17" s="176" t="s">
        <v>12</v>
      </c>
    </row>
    <row r="18" spans="1:14" ht="13.9" x14ac:dyDescent="0.25">
      <c r="A18" s="223" t="s">
        <v>103</v>
      </c>
      <c r="B18" s="142"/>
      <c r="C18" s="142">
        <f>C14+C17</f>
        <v>5443</v>
      </c>
      <c r="D18" s="142"/>
      <c r="E18" s="142"/>
      <c r="F18" s="142">
        <f>F14+F17</f>
        <v>5528</v>
      </c>
      <c r="G18" s="142"/>
      <c r="H18" s="142"/>
      <c r="I18" s="142">
        <f>I14+I17</f>
        <v>0</v>
      </c>
      <c r="J18" s="142"/>
      <c r="K18" s="142"/>
      <c r="L18" s="142">
        <f>F18+I18</f>
        <v>5528</v>
      </c>
      <c r="M18" s="139"/>
      <c r="N18" s="176" t="s">
        <v>12</v>
      </c>
    </row>
    <row r="19" spans="1:14" ht="13.9" x14ac:dyDescent="0.25">
      <c r="A19" s="223"/>
      <c r="B19" s="142"/>
      <c r="C19" s="142"/>
      <c r="D19" s="142"/>
      <c r="E19" s="142"/>
      <c r="F19" s="142"/>
      <c r="G19" s="142"/>
      <c r="H19" s="142"/>
      <c r="I19" s="142"/>
      <c r="J19" s="142"/>
      <c r="K19" s="142"/>
      <c r="L19" s="142"/>
      <c r="M19" s="139"/>
      <c r="N19" s="176" t="s">
        <v>12</v>
      </c>
    </row>
    <row r="20" spans="1:14" ht="13.9" x14ac:dyDescent="0.25">
      <c r="A20" s="223" t="s">
        <v>16</v>
      </c>
      <c r="B20" s="142"/>
      <c r="C20" s="142"/>
      <c r="D20" s="142"/>
      <c r="E20" s="142"/>
      <c r="F20" s="142"/>
      <c r="G20" s="142"/>
      <c r="H20" s="142"/>
      <c r="I20" s="142"/>
      <c r="J20" s="142"/>
      <c r="K20" s="142"/>
      <c r="L20" s="142"/>
      <c r="M20" s="139"/>
      <c r="N20" s="176" t="s">
        <v>12</v>
      </c>
    </row>
    <row r="21" spans="1:14" ht="13.9" x14ac:dyDescent="0.25">
      <c r="A21" s="229" t="s">
        <v>17</v>
      </c>
      <c r="B21" s="142"/>
      <c r="C21" s="142">
        <v>774</v>
      </c>
      <c r="D21" s="142"/>
      <c r="E21" s="142"/>
      <c r="F21" s="142">
        <v>774</v>
      </c>
      <c r="G21" s="142"/>
      <c r="H21" s="142"/>
      <c r="I21" s="142">
        <v>0</v>
      </c>
      <c r="J21" s="142"/>
      <c r="K21" s="142"/>
      <c r="L21" s="142">
        <f t="shared" ref="L21:L23" si="3">F21+I21</f>
        <v>774</v>
      </c>
      <c r="M21" s="139"/>
      <c r="N21" s="176" t="s">
        <v>12</v>
      </c>
    </row>
    <row r="22" spans="1:14" ht="13.9" x14ac:dyDescent="0.25">
      <c r="A22" s="230" t="s">
        <v>18</v>
      </c>
      <c r="B22" s="231"/>
      <c r="C22" s="231">
        <v>62</v>
      </c>
      <c r="D22" s="231"/>
      <c r="E22" s="231"/>
      <c r="F22" s="231">
        <v>207</v>
      </c>
      <c r="G22" s="231"/>
      <c r="H22" s="231"/>
      <c r="I22" s="231">
        <v>0</v>
      </c>
      <c r="J22" s="231"/>
      <c r="K22" s="231"/>
      <c r="L22" s="231">
        <f t="shared" si="3"/>
        <v>207</v>
      </c>
      <c r="M22" s="232"/>
      <c r="N22" s="176" t="s">
        <v>12</v>
      </c>
    </row>
    <row r="23" spans="1:14" ht="14.45" thickBot="1" x14ac:dyDescent="0.3">
      <c r="A23" s="233" t="s">
        <v>104</v>
      </c>
      <c r="B23" s="234"/>
      <c r="C23" s="234">
        <f>C18+C21+C22</f>
        <v>6279</v>
      </c>
      <c r="D23" s="234"/>
      <c r="E23" s="234"/>
      <c r="F23" s="234">
        <f>F18+F21+F22</f>
        <v>6509</v>
      </c>
      <c r="G23" s="234"/>
      <c r="H23" s="234"/>
      <c r="I23" s="234">
        <f>I18+I21+I22</f>
        <v>0</v>
      </c>
      <c r="J23" s="234"/>
      <c r="K23" s="234"/>
      <c r="L23" s="234">
        <f t="shared" si="3"/>
        <v>6509</v>
      </c>
      <c r="M23" s="235"/>
      <c r="N23" s="176" t="s">
        <v>12</v>
      </c>
    </row>
    <row r="24" spans="1:14" ht="14.45" thickBot="1" x14ac:dyDescent="0.3">
      <c r="N24" s="176" t="s">
        <v>12</v>
      </c>
    </row>
    <row r="25" spans="1:14" ht="15" x14ac:dyDescent="0.2">
      <c r="A25" s="337" t="s">
        <v>105</v>
      </c>
      <c r="B25" s="339" t="s">
        <v>134</v>
      </c>
      <c r="C25" s="339"/>
      <c r="D25" s="339"/>
      <c r="E25" s="339" t="s">
        <v>135</v>
      </c>
      <c r="F25" s="339"/>
      <c r="G25" s="339"/>
      <c r="H25" s="339" t="s">
        <v>136</v>
      </c>
      <c r="I25" s="339"/>
      <c r="J25" s="340"/>
      <c r="N25" s="176" t="s">
        <v>12</v>
      </c>
    </row>
    <row r="26" spans="1:14" ht="28.5" x14ac:dyDescent="0.2">
      <c r="A26" s="338"/>
      <c r="B26" s="195" t="s">
        <v>3</v>
      </c>
      <c r="C26" s="195" t="s">
        <v>115</v>
      </c>
      <c r="D26" s="195" t="s">
        <v>4</v>
      </c>
      <c r="E26" s="195" t="s">
        <v>3</v>
      </c>
      <c r="F26" s="195" t="s">
        <v>115</v>
      </c>
      <c r="G26" s="195" t="s">
        <v>4</v>
      </c>
      <c r="H26" s="195" t="s">
        <v>3</v>
      </c>
      <c r="I26" s="195" t="s">
        <v>115</v>
      </c>
      <c r="J26" s="201" t="s">
        <v>4</v>
      </c>
      <c r="N26" s="176" t="s">
        <v>12</v>
      </c>
    </row>
    <row r="27" spans="1:14" ht="13.9" x14ac:dyDescent="0.25">
      <c r="A27" s="222" t="s">
        <v>227</v>
      </c>
      <c r="B27" s="185">
        <v>0</v>
      </c>
      <c r="C27" s="185">
        <v>0</v>
      </c>
      <c r="D27" s="185">
        <v>0</v>
      </c>
      <c r="E27" s="185">
        <v>0</v>
      </c>
      <c r="F27" s="185">
        <v>0</v>
      </c>
      <c r="G27" s="185">
        <v>-13533</v>
      </c>
      <c r="H27" s="185">
        <f t="shared" ref="H27:J31" si="4">K9+B27+E27</f>
        <v>2222</v>
      </c>
      <c r="I27" s="185">
        <f t="shared" si="4"/>
        <v>2042</v>
      </c>
      <c r="J27" s="202">
        <f t="shared" si="4"/>
        <v>457797</v>
      </c>
      <c r="N27" s="176" t="s">
        <v>12</v>
      </c>
    </row>
    <row r="28" spans="1:14" ht="13.9" x14ac:dyDescent="0.25">
      <c r="A28" s="223" t="s">
        <v>188</v>
      </c>
      <c r="B28" s="142">
        <v>0</v>
      </c>
      <c r="C28" s="142">
        <v>0</v>
      </c>
      <c r="D28" s="142">
        <v>0</v>
      </c>
      <c r="E28" s="142">
        <v>0</v>
      </c>
      <c r="F28" s="142">
        <v>0</v>
      </c>
      <c r="G28" s="142">
        <v>-10624</v>
      </c>
      <c r="H28" s="142">
        <f t="shared" si="4"/>
        <v>1744</v>
      </c>
      <c r="I28" s="142">
        <f t="shared" si="4"/>
        <v>1602</v>
      </c>
      <c r="J28" s="139">
        <f t="shared" si="4"/>
        <v>399542</v>
      </c>
      <c r="N28" s="176" t="s">
        <v>12</v>
      </c>
    </row>
    <row r="29" spans="1:14" ht="13.9" x14ac:dyDescent="0.25">
      <c r="A29" s="223" t="s">
        <v>189</v>
      </c>
      <c r="B29" s="142">
        <v>0</v>
      </c>
      <c r="C29" s="142">
        <v>0</v>
      </c>
      <c r="D29" s="142">
        <v>0</v>
      </c>
      <c r="E29" s="142">
        <v>0</v>
      </c>
      <c r="F29" s="142">
        <v>0</v>
      </c>
      <c r="G29" s="142">
        <v>-7334</v>
      </c>
      <c r="H29" s="142">
        <f t="shared" si="4"/>
        <v>1204</v>
      </c>
      <c r="I29" s="142">
        <f t="shared" si="4"/>
        <v>1106</v>
      </c>
      <c r="J29" s="139">
        <f t="shared" si="4"/>
        <v>251213</v>
      </c>
      <c r="N29" s="176" t="s">
        <v>12</v>
      </c>
    </row>
    <row r="30" spans="1:14" ht="13.9" x14ac:dyDescent="0.25">
      <c r="A30" s="293" t="s">
        <v>190</v>
      </c>
      <c r="B30" s="142">
        <v>0</v>
      </c>
      <c r="C30" s="142">
        <v>0</v>
      </c>
      <c r="D30" s="142">
        <v>0</v>
      </c>
      <c r="E30" s="142">
        <v>0</v>
      </c>
      <c r="F30" s="142">
        <v>0</v>
      </c>
      <c r="G30" s="142">
        <v>-1263</v>
      </c>
      <c r="H30" s="142">
        <f t="shared" si="4"/>
        <v>207</v>
      </c>
      <c r="I30" s="142">
        <f t="shared" si="4"/>
        <v>190</v>
      </c>
      <c r="J30" s="139">
        <f t="shared" si="4"/>
        <v>35339</v>
      </c>
      <c r="N30" s="176" t="s">
        <v>12</v>
      </c>
    </row>
    <row r="31" spans="1:14" ht="13.9" x14ac:dyDescent="0.25">
      <c r="A31" s="224" t="s">
        <v>191</v>
      </c>
      <c r="B31" s="198">
        <v>0</v>
      </c>
      <c r="C31" s="198">
        <v>0</v>
      </c>
      <c r="D31" s="198">
        <v>0</v>
      </c>
      <c r="E31" s="198">
        <v>0</v>
      </c>
      <c r="F31" s="198">
        <v>0</v>
      </c>
      <c r="G31" s="225">
        <v>-1078</v>
      </c>
      <c r="H31" s="198">
        <f t="shared" si="4"/>
        <v>177</v>
      </c>
      <c r="I31" s="198">
        <f t="shared" si="4"/>
        <v>163</v>
      </c>
      <c r="J31" s="290">
        <f t="shared" si="4"/>
        <v>41109</v>
      </c>
      <c r="N31" s="176" t="s">
        <v>12</v>
      </c>
    </row>
    <row r="32" spans="1:14" ht="13.9" x14ac:dyDescent="0.25">
      <c r="A32" s="13" t="s">
        <v>102</v>
      </c>
      <c r="B32" s="114">
        <f t="shared" ref="B32:J32" si="5">SUM(B27:B31)</f>
        <v>0</v>
      </c>
      <c r="C32" s="114">
        <f t="shared" si="5"/>
        <v>0</v>
      </c>
      <c r="D32" s="114">
        <f t="shared" si="5"/>
        <v>0</v>
      </c>
      <c r="E32" s="114">
        <f t="shared" si="5"/>
        <v>0</v>
      </c>
      <c r="F32" s="114">
        <f t="shared" si="5"/>
        <v>0</v>
      </c>
      <c r="G32" s="114">
        <f t="shared" si="5"/>
        <v>-33832</v>
      </c>
      <c r="H32" s="114">
        <f t="shared" si="5"/>
        <v>5554</v>
      </c>
      <c r="I32" s="114">
        <f t="shared" si="5"/>
        <v>5103</v>
      </c>
      <c r="J32" s="115">
        <f t="shared" si="5"/>
        <v>1185000</v>
      </c>
      <c r="N32" s="176" t="s">
        <v>12</v>
      </c>
    </row>
    <row r="33" spans="1:14" ht="13.9" x14ac:dyDescent="0.25">
      <c r="A33" s="294" t="s">
        <v>101</v>
      </c>
      <c r="B33" s="116"/>
      <c r="C33" s="116"/>
      <c r="D33" s="185">
        <v>0</v>
      </c>
      <c r="E33" s="116"/>
      <c r="F33" s="116"/>
      <c r="G33" s="185">
        <v>0</v>
      </c>
      <c r="H33" s="116"/>
      <c r="I33" s="116"/>
      <c r="J33" s="202">
        <f>M15+D33+G33</f>
        <v>0</v>
      </c>
      <c r="N33" s="176" t="s">
        <v>12</v>
      </c>
    </row>
    <row r="34" spans="1:14" ht="13.9" x14ac:dyDescent="0.25">
      <c r="A34" s="295" t="s">
        <v>116</v>
      </c>
      <c r="B34" s="27"/>
      <c r="C34" s="27"/>
      <c r="D34" s="198">
        <f>SUM(D32:D33)</f>
        <v>0</v>
      </c>
      <c r="E34" s="27"/>
      <c r="F34" s="27"/>
      <c r="G34" s="198">
        <f>SUM(G32:G33)</f>
        <v>-33832</v>
      </c>
      <c r="H34" s="27"/>
      <c r="I34" s="27"/>
      <c r="J34" s="290">
        <f>M16+D34+G34</f>
        <v>1185000</v>
      </c>
      <c r="N34" s="176" t="s">
        <v>12</v>
      </c>
    </row>
    <row r="35" spans="1:14" ht="13.9" x14ac:dyDescent="0.25">
      <c r="A35" s="227" t="s">
        <v>15</v>
      </c>
      <c r="B35" s="193"/>
      <c r="C35" s="193">
        <v>0</v>
      </c>
      <c r="D35" s="193"/>
      <c r="E35" s="193"/>
      <c r="F35" s="193">
        <v>0</v>
      </c>
      <c r="G35" s="193"/>
      <c r="H35" s="193"/>
      <c r="I35" s="142">
        <f>L17+C35+F35</f>
        <v>425</v>
      </c>
      <c r="J35" s="228"/>
      <c r="N35" s="176" t="s">
        <v>12</v>
      </c>
    </row>
    <row r="36" spans="1:14" ht="13.9" x14ac:dyDescent="0.25">
      <c r="A36" s="223" t="s">
        <v>103</v>
      </c>
      <c r="B36" s="142"/>
      <c r="C36" s="142">
        <f>C32+C35</f>
        <v>0</v>
      </c>
      <c r="D36" s="142"/>
      <c r="E36" s="142"/>
      <c r="F36" s="142">
        <f>F32+F35</f>
        <v>0</v>
      </c>
      <c r="G36" s="142"/>
      <c r="H36" s="142"/>
      <c r="I36" s="142">
        <f>L18+C36+F36</f>
        <v>5528</v>
      </c>
      <c r="J36" s="139"/>
      <c r="N36" s="176" t="s">
        <v>12</v>
      </c>
    </row>
    <row r="37" spans="1:14" ht="13.9" x14ac:dyDescent="0.25">
      <c r="A37" s="223"/>
      <c r="B37" s="142"/>
      <c r="C37" s="142"/>
      <c r="D37" s="142"/>
      <c r="E37" s="142"/>
      <c r="F37" s="142"/>
      <c r="G37" s="142"/>
      <c r="H37" s="142"/>
      <c r="I37" s="142"/>
      <c r="J37" s="139"/>
      <c r="N37" s="176" t="s">
        <v>12</v>
      </c>
    </row>
    <row r="38" spans="1:14" ht="13.9" x14ac:dyDescent="0.25">
      <c r="A38" s="223" t="s">
        <v>16</v>
      </c>
      <c r="B38" s="142"/>
      <c r="C38" s="142"/>
      <c r="D38" s="142"/>
      <c r="E38" s="142"/>
      <c r="F38" s="142"/>
      <c r="G38" s="142"/>
      <c r="H38" s="142"/>
      <c r="I38" s="142"/>
      <c r="J38" s="139"/>
      <c r="N38" s="176" t="s">
        <v>12</v>
      </c>
    </row>
    <row r="39" spans="1:14" ht="13.9" x14ac:dyDescent="0.25">
      <c r="A39" s="229" t="s">
        <v>17</v>
      </c>
      <c r="B39" s="142"/>
      <c r="C39" s="142">
        <v>0</v>
      </c>
      <c r="D39" s="142"/>
      <c r="E39" s="142"/>
      <c r="F39" s="142">
        <v>0</v>
      </c>
      <c r="G39" s="142"/>
      <c r="H39" s="142"/>
      <c r="I39" s="142">
        <f>L21+C39+F39</f>
        <v>774</v>
      </c>
      <c r="J39" s="139"/>
      <c r="N39" s="176" t="s">
        <v>12</v>
      </c>
    </row>
    <row r="40" spans="1:14" ht="13.9" x14ac:dyDescent="0.25">
      <c r="A40" s="230" t="s">
        <v>18</v>
      </c>
      <c r="B40" s="231"/>
      <c r="C40" s="231">
        <v>0</v>
      </c>
      <c r="D40" s="231"/>
      <c r="E40" s="231"/>
      <c r="F40" s="231">
        <v>0</v>
      </c>
      <c r="G40" s="231"/>
      <c r="H40" s="231"/>
      <c r="I40" s="231">
        <f>L22+C40+F40</f>
        <v>207</v>
      </c>
      <c r="J40" s="232"/>
      <c r="N40" s="176" t="s">
        <v>12</v>
      </c>
    </row>
    <row r="41" spans="1:14" ht="14.45" thickBot="1" x14ac:dyDescent="0.3">
      <c r="A41" s="233" t="s">
        <v>104</v>
      </c>
      <c r="B41" s="234"/>
      <c r="C41" s="234">
        <f>C36+C39+C40</f>
        <v>0</v>
      </c>
      <c r="D41" s="234"/>
      <c r="E41" s="234"/>
      <c r="F41" s="234">
        <f>F36+F39+F40</f>
        <v>0</v>
      </c>
      <c r="G41" s="234"/>
      <c r="H41" s="234"/>
      <c r="I41" s="234">
        <f>L23+C41+F41</f>
        <v>6509</v>
      </c>
      <c r="J41" s="235"/>
      <c r="N41" s="176" t="s">
        <v>12</v>
      </c>
    </row>
    <row r="42" spans="1:14" ht="13.9" x14ac:dyDescent="0.25">
      <c r="N42" s="173" t="s">
        <v>13</v>
      </c>
    </row>
    <row r="43" spans="1:14" ht="13.9" x14ac:dyDescent="0.25">
      <c r="A43" s="41"/>
    </row>
    <row r="44" spans="1:14" ht="13.9" x14ac:dyDescent="0.25">
      <c r="A44" s="147"/>
    </row>
  </sheetData>
  <mergeCells count="15">
    <mergeCell ref="A25:A26"/>
    <mergeCell ref="B25:D25"/>
    <mergeCell ref="E25:G25"/>
    <mergeCell ref="H25:J25"/>
    <mergeCell ref="A1:M1"/>
    <mergeCell ref="A2:M2"/>
    <mergeCell ref="A3:M3"/>
    <mergeCell ref="A4:M4"/>
    <mergeCell ref="A5:M5"/>
    <mergeCell ref="A6:M6"/>
    <mergeCell ref="A7:A8"/>
    <mergeCell ref="B7:D7"/>
    <mergeCell ref="E7:G7"/>
    <mergeCell ref="H7:J7"/>
    <mergeCell ref="K7:M7"/>
  </mergeCells>
  <printOptions horizontalCentered="1"/>
  <pageMargins left="0.7" right="0.7" top="0.75" bottom="0.75" header="0.3" footer="0.3"/>
  <pageSetup scale="74" orientation="landscape" r:id="rId1"/>
  <headerFooter>
    <oddHeader>&amp;L&amp;"Arial,Bold"&amp;12B. Summary of Requirements</oddHeader>
    <oddFooter>&amp;C&amp;"Arial,Regular"Exhibit B - Summary of Requirements - Salaries and Expenses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view="pageBreakPreview" zoomScale="70" zoomScaleNormal="100" zoomScaleSheetLayoutView="70" workbookViewId="0">
      <selection activeCell="A17" sqref="A17:XFD17"/>
    </sheetView>
  </sheetViews>
  <sheetFormatPr defaultColWidth="9.140625" defaultRowHeight="14.25" x14ac:dyDescent="0.2"/>
  <cols>
    <col min="1" max="1" width="113.5703125" style="131" customWidth="1"/>
    <col min="2" max="3" width="14.5703125" style="135" customWidth="1"/>
    <col min="4" max="4" width="14.5703125" style="136" customWidth="1"/>
    <col min="5" max="5" width="11.5703125" style="173" bestFit="1" customWidth="1"/>
    <col min="6" max="6" width="4.85546875" style="131" customWidth="1"/>
    <col min="7" max="16384" width="9.140625" style="131"/>
  </cols>
  <sheetData>
    <row r="1" spans="1:7" ht="18" x14ac:dyDescent="0.25">
      <c r="A1" s="330" t="s">
        <v>0</v>
      </c>
      <c r="B1" s="330"/>
      <c r="C1" s="330"/>
      <c r="D1" s="330"/>
      <c r="E1" s="173" t="s">
        <v>12</v>
      </c>
      <c r="F1" s="199"/>
      <c r="G1" s="311"/>
    </row>
    <row r="2" spans="1:7" ht="15" x14ac:dyDescent="0.2">
      <c r="A2" s="331" t="s">
        <v>175</v>
      </c>
      <c r="B2" s="331"/>
      <c r="C2" s="331"/>
      <c r="D2" s="331"/>
      <c r="E2" s="173" t="s">
        <v>12</v>
      </c>
      <c r="F2" s="199"/>
      <c r="G2" s="307"/>
    </row>
    <row r="3" spans="1:7" x14ac:dyDescent="0.2">
      <c r="A3" s="332" t="s">
        <v>176</v>
      </c>
      <c r="B3" s="332"/>
      <c r="C3" s="332"/>
      <c r="D3" s="332"/>
      <c r="E3" s="173" t="s">
        <v>12</v>
      </c>
      <c r="F3" s="199"/>
      <c r="G3" s="307"/>
    </row>
    <row r="4" spans="1:7" x14ac:dyDescent="0.2">
      <c r="A4" s="333" t="s">
        <v>2</v>
      </c>
      <c r="B4" s="333"/>
      <c r="C4" s="333"/>
      <c r="D4" s="333"/>
      <c r="E4" s="173" t="s">
        <v>12</v>
      </c>
      <c r="F4" s="199"/>
      <c r="G4" s="307"/>
    </row>
    <row r="5" spans="1:7" ht="15" thickBot="1" x14ac:dyDescent="0.25">
      <c r="E5" s="173" t="s">
        <v>12</v>
      </c>
      <c r="F5" s="199"/>
      <c r="G5" s="307"/>
    </row>
    <row r="6" spans="1:7" ht="15" x14ac:dyDescent="0.25">
      <c r="B6" s="334" t="s">
        <v>127</v>
      </c>
      <c r="C6" s="335"/>
      <c r="D6" s="336"/>
      <c r="E6" s="173" t="s">
        <v>12</v>
      </c>
    </row>
    <row r="7" spans="1:7" ht="15.75" thickBot="1" x14ac:dyDescent="0.25">
      <c r="B7" s="1" t="s">
        <v>3</v>
      </c>
      <c r="C7" s="2" t="s">
        <v>98</v>
      </c>
      <c r="D7" s="3" t="s">
        <v>4</v>
      </c>
      <c r="E7" s="173" t="s">
        <v>12</v>
      </c>
      <c r="G7" s="99"/>
    </row>
    <row r="8" spans="1:7" ht="15" x14ac:dyDescent="0.25">
      <c r="A8" s="89" t="s">
        <v>125</v>
      </c>
      <c r="B8" s="90">
        <v>0</v>
      </c>
      <c r="C8" s="91">
        <v>0</v>
      </c>
      <c r="D8" s="92">
        <v>10000</v>
      </c>
      <c r="E8" s="173" t="s">
        <v>12</v>
      </c>
      <c r="G8" s="100"/>
    </row>
    <row r="9" spans="1:7" x14ac:dyDescent="0.2">
      <c r="A9" s="153" t="s">
        <v>126</v>
      </c>
      <c r="B9" s="296">
        <v>0</v>
      </c>
      <c r="C9" s="196">
        <v>0</v>
      </c>
      <c r="D9" s="297">
        <f>-(188+20-1)</f>
        <v>-207</v>
      </c>
      <c r="E9" s="173" t="s">
        <v>12</v>
      </c>
      <c r="G9" s="100"/>
    </row>
    <row r="10" spans="1:7" ht="15" x14ac:dyDescent="0.25">
      <c r="A10" s="153" t="s">
        <v>157</v>
      </c>
      <c r="B10" s="93"/>
      <c r="C10" s="94"/>
      <c r="D10" s="297">
        <v>0</v>
      </c>
      <c r="E10" s="173" t="s">
        <v>12</v>
      </c>
      <c r="G10" s="100"/>
    </row>
    <row r="11" spans="1:7" ht="15" x14ac:dyDescent="0.25">
      <c r="A11" s="137" t="s">
        <v>158</v>
      </c>
      <c r="B11" s="106"/>
      <c r="C11" s="27"/>
      <c r="D11" s="138">
        <v>0</v>
      </c>
      <c r="E11" s="173" t="s">
        <v>12</v>
      </c>
      <c r="G11" s="100"/>
    </row>
    <row r="12" spans="1:7" ht="15" x14ac:dyDescent="0.25">
      <c r="A12" s="88" t="s">
        <v>228</v>
      </c>
      <c r="B12" s="104">
        <f>SUM(B8:B11)</f>
        <v>0</v>
      </c>
      <c r="C12" s="183">
        <f>SUM(C8:C11)</f>
        <v>0</v>
      </c>
      <c r="D12" s="105">
        <f>SUM(D8:D11)</f>
        <v>9793</v>
      </c>
      <c r="E12" s="173" t="s">
        <v>12</v>
      </c>
      <c r="G12" s="101"/>
    </row>
    <row r="13" spans="1:7" ht="15" x14ac:dyDescent="0.25">
      <c r="A13" s="88"/>
      <c r="B13" s="104"/>
      <c r="C13" s="183"/>
      <c r="D13" s="105"/>
      <c r="E13" s="173" t="s">
        <v>12</v>
      </c>
      <c r="G13" s="101"/>
    </row>
    <row r="14" spans="1:7" ht="15" x14ac:dyDescent="0.25">
      <c r="A14" s="77" t="s">
        <v>166</v>
      </c>
      <c r="B14" s="104">
        <v>0</v>
      </c>
      <c r="C14" s="183">
        <v>0</v>
      </c>
      <c r="D14" s="105">
        <v>9800</v>
      </c>
      <c r="E14" s="173" t="s">
        <v>12</v>
      </c>
      <c r="G14" s="100"/>
    </row>
    <row r="15" spans="1:7" ht="15" x14ac:dyDescent="0.25">
      <c r="A15" s="137" t="s">
        <v>159</v>
      </c>
      <c r="B15" s="127"/>
      <c r="C15" s="128"/>
      <c r="D15" s="140">
        <v>0</v>
      </c>
      <c r="E15" s="173" t="s">
        <v>12</v>
      </c>
      <c r="G15" s="100"/>
    </row>
    <row r="16" spans="1:7" ht="15" x14ac:dyDescent="0.25">
      <c r="A16" s="80" t="s">
        <v>167</v>
      </c>
      <c r="B16" s="78">
        <f>SUM(B14:B15)</f>
        <v>0</v>
      </c>
      <c r="C16" s="181">
        <f t="shared" ref="C16" si="0">SUM(C14:C15)</f>
        <v>0</v>
      </c>
      <c r="D16" s="86">
        <f>SUM(D14:D15)</f>
        <v>9800</v>
      </c>
      <c r="E16" s="173" t="s">
        <v>12</v>
      </c>
      <c r="G16" s="101"/>
    </row>
    <row r="17" spans="1:7" ht="15" x14ac:dyDescent="0.25">
      <c r="A17" s="80"/>
      <c r="B17" s="78"/>
      <c r="C17" s="181"/>
      <c r="D17" s="182"/>
      <c r="E17" s="173" t="s">
        <v>12</v>
      </c>
      <c r="G17" s="100"/>
    </row>
    <row r="18" spans="1:7" ht="15" x14ac:dyDescent="0.25">
      <c r="A18" s="83" t="s">
        <v>121</v>
      </c>
      <c r="B18" s="78">
        <v>0</v>
      </c>
      <c r="C18" s="181">
        <v>0</v>
      </c>
      <c r="D18" s="182">
        <v>0</v>
      </c>
      <c r="E18" s="173" t="s">
        <v>12</v>
      </c>
      <c r="G18" s="100"/>
    </row>
    <row r="19" spans="1:7" ht="15" x14ac:dyDescent="0.25">
      <c r="A19" s="83" t="s">
        <v>96</v>
      </c>
      <c r="B19" s="78">
        <v>0</v>
      </c>
      <c r="C19" s="181">
        <v>0</v>
      </c>
      <c r="D19" s="182">
        <v>0</v>
      </c>
      <c r="E19" s="173" t="s">
        <v>12</v>
      </c>
      <c r="G19" s="101"/>
    </row>
    <row r="20" spans="1:7" ht="15" x14ac:dyDescent="0.25">
      <c r="A20" s="80" t="s">
        <v>97</v>
      </c>
      <c r="B20" s="108">
        <f>B19+B18</f>
        <v>0</v>
      </c>
      <c r="C20" s="27">
        <f>C19+C18</f>
        <v>0</v>
      </c>
      <c r="D20" s="28">
        <f>D19+D18</f>
        <v>0</v>
      </c>
      <c r="E20" s="173" t="s">
        <v>12</v>
      </c>
      <c r="G20" s="101"/>
    </row>
    <row r="21" spans="1:7" ht="15" x14ac:dyDescent="0.25">
      <c r="A21" s="84" t="s">
        <v>129</v>
      </c>
      <c r="B21" s="107">
        <f>B16+B20</f>
        <v>0</v>
      </c>
      <c r="C21" s="183">
        <f>C16+C20</f>
        <v>0</v>
      </c>
      <c r="D21" s="184">
        <f>D16+D20</f>
        <v>9800</v>
      </c>
      <c r="E21" s="173" t="s">
        <v>12</v>
      </c>
      <c r="G21" s="101"/>
    </row>
    <row r="22" spans="1:7" ht="15" x14ac:dyDescent="0.25">
      <c r="A22" s="84" t="s">
        <v>9</v>
      </c>
      <c r="B22" s="107"/>
      <c r="C22" s="183"/>
      <c r="D22" s="184"/>
      <c r="E22" s="173" t="s">
        <v>12</v>
      </c>
      <c r="G22" s="100"/>
    </row>
    <row r="23" spans="1:7" ht="15" x14ac:dyDescent="0.25">
      <c r="A23" s="80" t="s">
        <v>11</v>
      </c>
      <c r="B23" s="106">
        <v>0</v>
      </c>
      <c r="C23" s="27">
        <v>0</v>
      </c>
      <c r="D23" s="109">
        <v>0</v>
      </c>
      <c r="E23" s="173" t="s">
        <v>12</v>
      </c>
      <c r="G23" s="101"/>
    </row>
    <row r="24" spans="1:7" ht="13.9" x14ac:dyDescent="0.25">
      <c r="A24" s="87" t="s">
        <v>130</v>
      </c>
      <c r="B24" s="104">
        <f>B21+B23</f>
        <v>0</v>
      </c>
      <c r="C24" s="183">
        <f>C21+C23</f>
        <v>0</v>
      </c>
      <c r="D24" s="105">
        <f>D21+D23</f>
        <v>9800</v>
      </c>
      <c r="E24" s="173" t="s">
        <v>12</v>
      </c>
      <c r="G24" s="101"/>
    </row>
    <row r="25" spans="1:7" ht="13.9" x14ac:dyDescent="0.25">
      <c r="A25" s="137" t="s">
        <v>160</v>
      </c>
      <c r="B25" s="106"/>
      <c r="C25" s="27"/>
      <c r="D25" s="138">
        <v>0</v>
      </c>
      <c r="E25" s="173" t="s">
        <v>12</v>
      </c>
      <c r="G25" s="100"/>
    </row>
    <row r="26" spans="1:7" s="5" customFormat="1" ht="13.9" x14ac:dyDescent="0.25">
      <c r="A26" s="96" t="s">
        <v>131</v>
      </c>
      <c r="B26" s="93">
        <f t="shared" ref="B26:C26" si="1">SUM(B24:B25)</f>
        <v>0</v>
      </c>
      <c r="C26" s="94">
        <f t="shared" si="1"/>
        <v>0</v>
      </c>
      <c r="D26" s="95">
        <f>SUM(D24:D25)</f>
        <v>9800</v>
      </c>
      <c r="E26" s="173" t="s">
        <v>12</v>
      </c>
      <c r="G26" s="101"/>
    </row>
    <row r="27" spans="1:7" ht="14.45" thickBot="1" x14ac:dyDescent="0.3">
      <c r="A27" s="145" t="s">
        <v>172</v>
      </c>
      <c r="B27" s="146">
        <f>B24-B14</f>
        <v>0</v>
      </c>
      <c r="C27" s="291">
        <f>C24-C14</f>
        <v>0</v>
      </c>
      <c r="D27" s="292">
        <f>D24-D14</f>
        <v>0</v>
      </c>
      <c r="E27" s="173" t="s">
        <v>12</v>
      </c>
      <c r="G27" s="101"/>
    </row>
    <row r="28" spans="1:7" ht="13.9" x14ac:dyDescent="0.25">
      <c r="A28" s="173"/>
      <c r="E28" s="173" t="s">
        <v>13</v>
      </c>
    </row>
    <row r="29" spans="1:7" ht="13.9" x14ac:dyDescent="0.25">
      <c r="E29" s="131"/>
    </row>
  </sheetData>
  <mergeCells count="5">
    <mergeCell ref="A1:D1"/>
    <mergeCell ref="A2:D2"/>
    <mergeCell ref="A3:D3"/>
    <mergeCell ref="A4:D4"/>
    <mergeCell ref="B6:D6"/>
  </mergeCells>
  <printOptions horizontalCentered="1"/>
  <pageMargins left="0.7" right="0.7" top="0.63" bottom="0.63" header="0.3" footer="0.3"/>
  <pageSetup scale="77" orientation="landscape" r:id="rId1"/>
  <headerFooter>
    <oddHeader>&amp;L&amp;"Arial,Bold"&amp;12B. Summary of Requirements</oddHeader>
    <oddFooter>&amp;C&amp;"Arial,Regular"Exhibit B - Summary of Requirements - Construction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3"/>
  <sheetViews>
    <sheetView view="pageBreakPreview" zoomScale="85" zoomScaleNormal="100" zoomScaleSheetLayoutView="85" workbookViewId="0">
      <selection activeCell="H24" sqref="H24"/>
    </sheetView>
  </sheetViews>
  <sheetFormatPr defaultColWidth="9.140625" defaultRowHeight="14.25" x14ac:dyDescent="0.2"/>
  <cols>
    <col min="1" max="1" width="37.140625" style="131" customWidth="1"/>
    <col min="2" max="3" width="8.28515625" style="131" customWidth="1"/>
    <col min="4" max="4" width="12.7109375" style="131" customWidth="1"/>
    <col min="5" max="6" width="8.28515625" style="131" customWidth="1"/>
    <col min="7" max="7" width="12.7109375" style="131" customWidth="1"/>
    <col min="8" max="9" width="8.28515625" style="131" customWidth="1"/>
    <col min="10" max="10" width="12.7109375" style="131" customWidth="1"/>
    <col min="11" max="12" width="8.28515625" style="131" customWidth="1"/>
    <col min="13" max="13" width="12.7109375" style="131" customWidth="1"/>
    <col min="14" max="14" width="14" style="173" bestFit="1" customWidth="1"/>
    <col min="15" max="15" width="4.5703125" style="131" customWidth="1"/>
    <col min="16" max="16" width="87.140625" style="131" customWidth="1"/>
    <col min="17" max="17" width="8.28515625" style="131" customWidth="1"/>
    <col min="18" max="18" width="12.7109375" style="131" customWidth="1"/>
    <col min="19" max="20" width="8.28515625" style="131" customWidth="1"/>
    <col min="21" max="21" width="12.7109375" style="131" customWidth="1"/>
    <col min="22" max="16384" width="9.140625" style="131"/>
  </cols>
  <sheetData>
    <row r="1" spans="1:21" ht="18" x14ac:dyDescent="0.25">
      <c r="A1" s="330" t="s">
        <v>0</v>
      </c>
      <c r="B1" s="330"/>
      <c r="C1" s="330"/>
      <c r="D1" s="330"/>
      <c r="E1" s="330"/>
      <c r="F1" s="330"/>
      <c r="G1" s="330"/>
      <c r="H1" s="330"/>
      <c r="I1" s="330"/>
      <c r="J1" s="330"/>
      <c r="K1" s="330"/>
      <c r="L1" s="330"/>
      <c r="M1" s="330"/>
      <c r="N1" s="176" t="s">
        <v>12</v>
      </c>
      <c r="O1" s="174"/>
      <c r="P1" s="311"/>
      <c r="Q1" s="174"/>
      <c r="R1" s="174"/>
      <c r="S1" s="174"/>
      <c r="T1" s="174"/>
      <c r="U1" s="174"/>
    </row>
    <row r="2" spans="1:21" ht="15" x14ac:dyDescent="0.2">
      <c r="A2" s="331" t="s">
        <v>175</v>
      </c>
      <c r="B2" s="331"/>
      <c r="C2" s="331"/>
      <c r="D2" s="331"/>
      <c r="E2" s="331"/>
      <c r="F2" s="331"/>
      <c r="G2" s="331"/>
      <c r="H2" s="331"/>
      <c r="I2" s="331"/>
      <c r="J2" s="331"/>
      <c r="K2" s="331"/>
      <c r="L2" s="331"/>
      <c r="M2" s="331"/>
      <c r="N2" s="176" t="s">
        <v>12</v>
      </c>
      <c r="O2" s="175"/>
      <c r="P2" s="307"/>
      <c r="Q2" s="175"/>
      <c r="R2" s="175"/>
      <c r="S2" s="175"/>
      <c r="T2" s="175"/>
      <c r="U2" s="175"/>
    </row>
    <row r="3" spans="1:21" x14ac:dyDescent="0.2">
      <c r="A3" s="332" t="s">
        <v>176</v>
      </c>
      <c r="B3" s="332"/>
      <c r="C3" s="332"/>
      <c r="D3" s="332"/>
      <c r="E3" s="332"/>
      <c r="F3" s="332"/>
      <c r="G3" s="332"/>
      <c r="H3" s="332"/>
      <c r="I3" s="332"/>
      <c r="J3" s="332"/>
      <c r="K3" s="332"/>
      <c r="L3" s="332"/>
      <c r="M3" s="332"/>
      <c r="N3" s="176" t="s">
        <v>12</v>
      </c>
      <c r="O3" s="152"/>
      <c r="P3" s="307"/>
      <c r="Q3" s="152"/>
      <c r="R3" s="152"/>
      <c r="S3" s="152"/>
      <c r="T3" s="152"/>
      <c r="U3" s="152"/>
    </row>
    <row r="4" spans="1:21" x14ac:dyDescent="0.2">
      <c r="A4" s="333" t="s">
        <v>2</v>
      </c>
      <c r="B4" s="333"/>
      <c r="C4" s="333"/>
      <c r="D4" s="333"/>
      <c r="E4" s="333"/>
      <c r="F4" s="333"/>
      <c r="G4" s="333"/>
      <c r="H4" s="333"/>
      <c r="I4" s="333"/>
      <c r="J4" s="333"/>
      <c r="K4" s="333"/>
      <c r="L4" s="333"/>
      <c r="M4" s="333"/>
      <c r="N4" s="176" t="s">
        <v>12</v>
      </c>
      <c r="O4" s="151"/>
      <c r="P4" s="307"/>
      <c r="Q4" s="151"/>
      <c r="R4" s="151"/>
      <c r="S4" s="151"/>
      <c r="T4" s="151"/>
      <c r="U4" s="151"/>
    </row>
    <row r="5" spans="1:21" ht="15" x14ac:dyDescent="0.25">
      <c r="A5" s="333"/>
      <c r="B5" s="333"/>
      <c r="C5" s="333"/>
      <c r="D5" s="333"/>
      <c r="E5" s="333"/>
      <c r="F5" s="333"/>
      <c r="G5" s="333"/>
      <c r="H5" s="333"/>
      <c r="I5" s="333"/>
      <c r="J5" s="333"/>
      <c r="K5" s="333"/>
      <c r="L5" s="333"/>
      <c r="M5" s="333"/>
      <c r="N5" s="176" t="s">
        <v>12</v>
      </c>
      <c r="O5" s="151"/>
      <c r="P5" s="309"/>
      <c r="Q5" s="151"/>
      <c r="R5" s="151"/>
      <c r="S5" s="151"/>
      <c r="T5" s="151"/>
      <c r="U5" s="151"/>
    </row>
    <row r="6" spans="1:21" ht="15" thickBot="1" x14ac:dyDescent="0.25">
      <c r="A6" s="333"/>
      <c r="B6" s="333"/>
      <c r="C6" s="333"/>
      <c r="D6" s="333"/>
      <c r="E6" s="333"/>
      <c r="F6" s="333"/>
      <c r="G6" s="333"/>
      <c r="H6" s="333"/>
      <c r="I6" s="333"/>
      <c r="J6" s="333"/>
      <c r="K6" s="333"/>
      <c r="L6" s="333"/>
      <c r="M6" s="333"/>
      <c r="N6" s="176" t="s">
        <v>12</v>
      </c>
      <c r="O6" s="151"/>
      <c r="P6" s="151"/>
      <c r="Q6" s="151"/>
      <c r="R6" s="151"/>
      <c r="S6" s="151"/>
      <c r="T6" s="151"/>
      <c r="U6" s="151"/>
    </row>
    <row r="7" spans="1:21" ht="63.75" customHeight="1" x14ac:dyDescent="0.2">
      <c r="A7" s="337" t="s">
        <v>105</v>
      </c>
      <c r="B7" s="339" t="s">
        <v>132</v>
      </c>
      <c r="C7" s="339"/>
      <c r="D7" s="339"/>
      <c r="E7" s="339" t="s">
        <v>166</v>
      </c>
      <c r="F7" s="339"/>
      <c r="G7" s="339"/>
      <c r="H7" s="339" t="s">
        <v>133</v>
      </c>
      <c r="I7" s="339"/>
      <c r="J7" s="339"/>
      <c r="K7" s="339" t="s">
        <v>129</v>
      </c>
      <c r="L7" s="339"/>
      <c r="M7" s="340"/>
      <c r="N7" s="176" t="s">
        <v>12</v>
      </c>
    </row>
    <row r="8" spans="1:21" ht="28.5" x14ac:dyDescent="0.25">
      <c r="A8" s="338"/>
      <c r="B8" s="195" t="s">
        <v>3</v>
      </c>
      <c r="C8" s="195" t="s">
        <v>115</v>
      </c>
      <c r="D8" s="195" t="s">
        <v>4</v>
      </c>
      <c r="E8" s="195" t="s">
        <v>3</v>
      </c>
      <c r="F8" s="195" t="s">
        <v>115</v>
      </c>
      <c r="G8" s="195" t="s">
        <v>4</v>
      </c>
      <c r="H8" s="195" t="s">
        <v>3</v>
      </c>
      <c r="I8" s="195" t="s">
        <v>115</v>
      </c>
      <c r="J8" s="195" t="s">
        <v>4</v>
      </c>
      <c r="K8" s="195" t="s">
        <v>3</v>
      </c>
      <c r="L8" s="195" t="s">
        <v>115</v>
      </c>
      <c r="M8" s="201" t="s">
        <v>4</v>
      </c>
      <c r="N8" s="176" t="s">
        <v>12</v>
      </c>
      <c r="P8" s="18"/>
    </row>
    <row r="9" spans="1:21" x14ac:dyDescent="0.2">
      <c r="A9" s="222" t="s">
        <v>176</v>
      </c>
      <c r="B9" s="185">
        <v>0</v>
      </c>
      <c r="C9" s="185">
        <v>0</v>
      </c>
      <c r="D9" s="185">
        <v>9793</v>
      </c>
      <c r="E9" s="185">
        <v>0</v>
      </c>
      <c r="F9" s="185">
        <v>0</v>
      </c>
      <c r="G9" s="185">
        <v>9800</v>
      </c>
      <c r="H9" s="185">
        <v>0</v>
      </c>
      <c r="I9" s="185">
        <v>0</v>
      </c>
      <c r="J9" s="185">
        <v>0</v>
      </c>
      <c r="K9" s="185">
        <f>E9+H9</f>
        <v>0</v>
      </c>
      <c r="L9" s="185">
        <f t="shared" ref="L9:M12" si="0">F9+I9</f>
        <v>0</v>
      </c>
      <c r="M9" s="202">
        <f t="shared" si="0"/>
        <v>9800</v>
      </c>
      <c r="N9" s="176" t="s">
        <v>12</v>
      </c>
    </row>
    <row r="10" spans="1:21" ht="15" x14ac:dyDescent="0.25">
      <c r="A10" s="13" t="s">
        <v>102</v>
      </c>
      <c r="B10" s="114">
        <f t="shared" ref="B10:M10" si="1">SUM(B9:B9)</f>
        <v>0</v>
      </c>
      <c r="C10" s="114">
        <f t="shared" si="1"/>
        <v>0</v>
      </c>
      <c r="D10" s="114">
        <f t="shared" si="1"/>
        <v>9793</v>
      </c>
      <c r="E10" s="114">
        <f t="shared" si="1"/>
        <v>0</v>
      </c>
      <c r="F10" s="114">
        <f t="shared" si="1"/>
        <v>0</v>
      </c>
      <c r="G10" s="114">
        <f t="shared" si="1"/>
        <v>9800</v>
      </c>
      <c r="H10" s="114">
        <f t="shared" si="1"/>
        <v>0</v>
      </c>
      <c r="I10" s="114">
        <f t="shared" si="1"/>
        <v>0</v>
      </c>
      <c r="J10" s="114">
        <f t="shared" si="1"/>
        <v>0</v>
      </c>
      <c r="K10" s="114">
        <f t="shared" si="1"/>
        <v>0</v>
      </c>
      <c r="L10" s="114">
        <f t="shared" si="1"/>
        <v>0</v>
      </c>
      <c r="M10" s="115">
        <f t="shared" si="1"/>
        <v>9800</v>
      </c>
      <c r="N10" s="176" t="s">
        <v>12</v>
      </c>
    </row>
    <row r="11" spans="1:21" ht="15" x14ac:dyDescent="0.25">
      <c r="A11" s="294" t="s">
        <v>101</v>
      </c>
      <c r="B11" s="116"/>
      <c r="C11" s="116"/>
      <c r="D11" s="185">
        <v>0</v>
      </c>
      <c r="E11" s="116"/>
      <c r="F11" s="116"/>
      <c r="G11" s="185">
        <v>0</v>
      </c>
      <c r="H11" s="116"/>
      <c r="I11" s="116"/>
      <c r="J11" s="185">
        <v>0</v>
      </c>
      <c r="K11" s="116"/>
      <c r="L11" s="116"/>
      <c r="M11" s="202">
        <f t="shared" si="0"/>
        <v>0</v>
      </c>
      <c r="N11" s="176" t="s">
        <v>12</v>
      </c>
      <c r="P11" s="5"/>
    </row>
    <row r="12" spans="1:21" ht="15" x14ac:dyDescent="0.25">
      <c r="A12" s="295" t="s">
        <v>116</v>
      </c>
      <c r="B12" s="27"/>
      <c r="C12" s="27"/>
      <c r="D12" s="198">
        <f>SUM(D10:D11)</f>
        <v>9793</v>
      </c>
      <c r="E12" s="27"/>
      <c r="F12" s="27"/>
      <c r="G12" s="198">
        <f>SUM(G10:G11)</f>
        <v>9800</v>
      </c>
      <c r="H12" s="27"/>
      <c r="I12" s="27"/>
      <c r="J12" s="198">
        <f>SUM(J10:J11)</f>
        <v>0</v>
      </c>
      <c r="K12" s="27"/>
      <c r="L12" s="27"/>
      <c r="M12" s="290">
        <f t="shared" si="0"/>
        <v>9800</v>
      </c>
      <c r="N12" s="176" t="s">
        <v>12</v>
      </c>
      <c r="P12" s="5"/>
    </row>
    <row r="13" spans="1:21" ht="15" thickBot="1" x14ac:dyDescent="0.25">
      <c r="A13" s="233" t="s">
        <v>104</v>
      </c>
      <c r="B13" s="234"/>
      <c r="C13" s="234">
        <f>C10</f>
        <v>0</v>
      </c>
      <c r="D13" s="234"/>
      <c r="E13" s="234"/>
      <c r="F13" s="234">
        <f>F10</f>
        <v>0</v>
      </c>
      <c r="G13" s="234"/>
      <c r="H13" s="234"/>
      <c r="I13" s="234">
        <f>I10</f>
        <v>0</v>
      </c>
      <c r="J13" s="234"/>
      <c r="K13" s="234"/>
      <c r="L13" s="234">
        <f>L10</f>
        <v>0</v>
      </c>
      <c r="M13" s="235"/>
      <c r="N13" s="176" t="s">
        <v>12</v>
      </c>
    </row>
    <row r="14" spans="1:21" ht="15" thickBot="1" x14ac:dyDescent="0.25">
      <c r="N14" s="176" t="s">
        <v>12</v>
      </c>
    </row>
    <row r="15" spans="1:21" ht="15" x14ac:dyDescent="0.2">
      <c r="A15" s="337" t="s">
        <v>105</v>
      </c>
      <c r="B15" s="339" t="s">
        <v>134</v>
      </c>
      <c r="C15" s="339"/>
      <c r="D15" s="339"/>
      <c r="E15" s="339" t="s">
        <v>135</v>
      </c>
      <c r="F15" s="339"/>
      <c r="G15" s="339"/>
      <c r="H15" s="339" t="s">
        <v>136</v>
      </c>
      <c r="I15" s="339"/>
      <c r="J15" s="340"/>
      <c r="N15" s="176" t="s">
        <v>12</v>
      </c>
    </row>
    <row r="16" spans="1:21" ht="28.5" x14ac:dyDescent="0.2">
      <c r="A16" s="338"/>
      <c r="B16" s="195" t="s">
        <v>3</v>
      </c>
      <c r="C16" s="195" t="s">
        <v>115</v>
      </c>
      <c r="D16" s="195" t="s">
        <v>4</v>
      </c>
      <c r="E16" s="195" t="s">
        <v>3</v>
      </c>
      <c r="F16" s="195" t="s">
        <v>115</v>
      </c>
      <c r="G16" s="195" t="s">
        <v>4</v>
      </c>
      <c r="H16" s="195" t="s">
        <v>3</v>
      </c>
      <c r="I16" s="195" t="s">
        <v>115</v>
      </c>
      <c r="J16" s="201" t="s">
        <v>4</v>
      </c>
      <c r="N16" s="176" t="s">
        <v>12</v>
      </c>
    </row>
    <row r="17" spans="1:14" ht="13.9" x14ac:dyDescent="0.25">
      <c r="A17" s="222" t="str">
        <f>A9</f>
        <v>Construction</v>
      </c>
      <c r="B17" s="185">
        <v>0</v>
      </c>
      <c r="C17" s="185">
        <v>0</v>
      </c>
      <c r="D17" s="185">
        <v>0</v>
      </c>
      <c r="E17" s="185">
        <v>0</v>
      </c>
      <c r="F17" s="185">
        <v>0</v>
      </c>
      <c r="G17" s="185">
        <v>0</v>
      </c>
      <c r="H17" s="185">
        <f>K9+B17+E17</f>
        <v>0</v>
      </c>
      <c r="I17" s="185">
        <f>L9+C17+F17</f>
        <v>0</v>
      </c>
      <c r="J17" s="202">
        <f>M9+D17+G17</f>
        <v>9800</v>
      </c>
      <c r="N17" s="176" t="s">
        <v>12</v>
      </c>
    </row>
    <row r="18" spans="1:14" ht="13.9" x14ac:dyDescent="0.25">
      <c r="A18" s="13" t="s">
        <v>102</v>
      </c>
      <c r="B18" s="114">
        <f t="shared" ref="B18:J18" si="2">SUM(B17:B17)</f>
        <v>0</v>
      </c>
      <c r="C18" s="114">
        <f t="shared" si="2"/>
        <v>0</v>
      </c>
      <c r="D18" s="114">
        <f t="shared" si="2"/>
        <v>0</v>
      </c>
      <c r="E18" s="114">
        <f t="shared" si="2"/>
        <v>0</v>
      </c>
      <c r="F18" s="114">
        <f t="shared" si="2"/>
        <v>0</v>
      </c>
      <c r="G18" s="114">
        <f t="shared" si="2"/>
        <v>0</v>
      </c>
      <c r="H18" s="114">
        <f t="shared" si="2"/>
        <v>0</v>
      </c>
      <c r="I18" s="114">
        <f t="shared" si="2"/>
        <v>0</v>
      </c>
      <c r="J18" s="115">
        <f t="shared" si="2"/>
        <v>9800</v>
      </c>
      <c r="N18" s="176" t="s">
        <v>12</v>
      </c>
    </row>
    <row r="19" spans="1:14" ht="15" x14ac:dyDescent="0.25">
      <c r="A19" s="294" t="s">
        <v>101</v>
      </c>
      <c r="B19" s="116"/>
      <c r="C19" s="116"/>
      <c r="D19" s="185">
        <v>0</v>
      </c>
      <c r="E19" s="116"/>
      <c r="F19" s="116"/>
      <c r="G19" s="185">
        <v>0</v>
      </c>
      <c r="H19" s="116"/>
      <c r="I19" s="116"/>
      <c r="J19" s="202">
        <f>M11+D19+G19</f>
        <v>0</v>
      </c>
      <c r="N19" s="176" t="s">
        <v>12</v>
      </c>
    </row>
    <row r="20" spans="1:14" ht="15" x14ac:dyDescent="0.25">
      <c r="A20" s="295" t="s">
        <v>116</v>
      </c>
      <c r="B20" s="27"/>
      <c r="C20" s="27"/>
      <c r="D20" s="198">
        <f>SUM(D18:D19)</f>
        <v>0</v>
      </c>
      <c r="E20" s="27"/>
      <c r="F20" s="27"/>
      <c r="G20" s="198">
        <f>SUM(G18:G19)</f>
        <v>0</v>
      </c>
      <c r="H20" s="27"/>
      <c r="I20" s="27"/>
      <c r="J20" s="290">
        <f>M12+D20+G20</f>
        <v>9800</v>
      </c>
      <c r="N20" s="176" t="s">
        <v>12</v>
      </c>
    </row>
    <row r="21" spans="1:14" ht="15" thickBot="1" x14ac:dyDescent="0.25">
      <c r="A21" s="233" t="s">
        <v>104</v>
      </c>
      <c r="B21" s="234"/>
      <c r="C21" s="234">
        <f>C18</f>
        <v>0</v>
      </c>
      <c r="D21" s="234"/>
      <c r="E21" s="234"/>
      <c r="F21" s="234">
        <f>F18</f>
        <v>0</v>
      </c>
      <c r="G21" s="234"/>
      <c r="H21" s="234"/>
      <c r="I21" s="234">
        <f>I18</f>
        <v>0</v>
      </c>
      <c r="J21" s="235"/>
      <c r="N21" s="176" t="s">
        <v>12</v>
      </c>
    </row>
    <row r="22" spans="1:14" x14ac:dyDescent="0.2">
      <c r="N22" s="173" t="s">
        <v>13</v>
      </c>
    </row>
    <row r="23" spans="1:14" ht="13.9" x14ac:dyDescent="0.25">
      <c r="A23" s="147"/>
    </row>
  </sheetData>
  <mergeCells count="15">
    <mergeCell ref="A15:A16"/>
    <mergeCell ref="B15:D15"/>
    <mergeCell ref="E15:G15"/>
    <mergeCell ref="H15:J15"/>
    <mergeCell ref="A1:M1"/>
    <mergeCell ref="A2:M2"/>
    <mergeCell ref="A3:M3"/>
    <mergeCell ref="A4:M4"/>
    <mergeCell ref="A5:M5"/>
    <mergeCell ref="A6:M6"/>
    <mergeCell ref="A7:A8"/>
    <mergeCell ref="B7:D7"/>
    <mergeCell ref="E7:G7"/>
    <mergeCell ref="H7:J7"/>
    <mergeCell ref="K7:M7"/>
  </mergeCells>
  <printOptions horizontalCentered="1"/>
  <pageMargins left="0.7" right="0.7" top="0.75" bottom="0.75" header="0.3" footer="0.3"/>
  <pageSetup scale="79" orientation="landscape" r:id="rId1"/>
  <headerFooter>
    <oddHeader>&amp;L&amp;"Arial,Bold"&amp;12B. Summary of Requirements</oddHeader>
    <oddFooter>&amp;C&amp;"Arial,Regular"Exhibit B - Summary of Requirements - Construction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6"/>
  <sheetViews>
    <sheetView view="pageBreakPreview" zoomScale="80" zoomScaleNormal="100" zoomScaleSheetLayoutView="80" workbookViewId="0">
      <selection activeCell="H22" sqref="H22"/>
    </sheetView>
  </sheetViews>
  <sheetFormatPr defaultColWidth="9.140625" defaultRowHeight="14.25" x14ac:dyDescent="0.2"/>
  <cols>
    <col min="1" max="1" width="65.5703125" style="131" customWidth="1"/>
    <col min="2" max="2" width="21.7109375" style="131" customWidth="1"/>
    <col min="3" max="5" width="8.7109375" style="131" customWidth="1"/>
    <col min="6" max="6" width="12.7109375" style="131" customWidth="1"/>
    <col min="7" max="9" width="8.7109375" style="131" customWidth="1"/>
    <col min="10" max="10" width="12.7109375" style="131" customWidth="1"/>
    <col min="11" max="13" width="8.7109375" style="131" customWidth="1"/>
    <col min="14" max="14" width="15.5703125" style="131" customWidth="1"/>
    <col min="15" max="15" width="14" style="173" bestFit="1" customWidth="1"/>
    <col min="16" max="16" width="4.5703125" style="131" customWidth="1"/>
    <col min="17" max="17" width="122.85546875" style="131" customWidth="1"/>
    <col min="18" max="19" width="8.28515625" style="131" customWidth="1"/>
    <col min="20" max="20" width="12.7109375" style="131" customWidth="1"/>
    <col min="21" max="22" width="8.28515625" style="131" customWidth="1"/>
    <col min="23" max="23" width="12.7109375" style="131" customWidth="1"/>
    <col min="24" max="16384" width="9.140625" style="131"/>
  </cols>
  <sheetData>
    <row r="1" spans="1:23" ht="18" x14ac:dyDescent="0.25">
      <c r="A1" s="330" t="s">
        <v>137</v>
      </c>
      <c r="B1" s="330"/>
      <c r="C1" s="330"/>
      <c r="D1" s="330"/>
      <c r="E1" s="330"/>
      <c r="F1" s="330"/>
      <c r="G1" s="330"/>
      <c r="H1" s="330"/>
      <c r="I1" s="330"/>
      <c r="J1" s="330"/>
      <c r="K1" s="330"/>
      <c r="L1" s="330"/>
      <c r="M1" s="330"/>
      <c r="N1" s="330"/>
      <c r="O1" s="16" t="s">
        <v>12</v>
      </c>
      <c r="P1" s="174"/>
      <c r="Q1" s="312"/>
      <c r="R1" s="174"/>
      <c r="S1" s="174"/>
      <c r="T1" s="174"/>
      <c r="U1" s="174"/>
      <c r="V1" s="174"/>
      <c r="W1" s="174"/>
    </row>
    <row r="2" spans="1:23" ht="18" x14ac:dyDescent="0.25">
      <c r="A2" s="331" t="s">
        <v>175</v>
      </c>
      <c r="B2" s="331"/>
      <c r="C2" s="331"/>
      <c r="D2" s="331"/>
      <c r="E2" s="331"/>
      <c r="F2" s="331"/>
      <c r="G2" s="331"/>
      <c r="H2" s="331"/>
      <c r="I2" s="331"/>
      <c r="J2" s="331"/>
      <c r="K2" s="331"/>
      <c r="L2" s="331"/>
      <c r="M2" s="331"/>
      <c r="N2" s="331"/>
      <c r="O2" s="16" t="s">
        <v>12</v>
      </c>
      <c r="P2" s="175"/>
      <c r="Q2" s="313"/>
      <c r="R2" s="175"/>
      <c r="S2" s="175"/>
      <c r="T2" s="175"/>
      <c r="U2" s="175"/>
      <c r="V2" s="175"/>
      <c r="W2" s="175"/>
    </row>
    <row r="3" spans="1:23" ht="18" x14ac:dyDescent="0.25">
      <c r="A3" s="332" t="s">
        <v>1</v>
      </c>
      <c r="B3" s="332"/>
      <c r="C3" s="332"/>
      <c r="D3" s="332"/>
      <c r="E3" s="332"/>
      <c r="F3" s="332"/>
      <c r="G3" s="332"/>
      <c r="H3" s="332"/>
      <c r="I3" s="332"/>
      <c r="J3" s="332"/>
      <c r="K3" s="332"/>
      <c r="L3" s="332"/>
      <c r="M3" s="332"/>
      <c r="N3" s="332"/>
      <c r="O3" s="16" t="s">
        <v>12</v>
      </c>
      <c r="P3" s="152"/>
      <c r="Q3" s="314"/>
      <c r="R3" s="152"/>
      <c r="S3" s="152"/>
      <c r="T3" s="152"/>
      <c r="U3" s="152"/>
      <c r="V3" s="152"/>
      <c r="W3" s="152"/>
    </row>
    <row r="4" spans="1:23" ht="18" x14ac:dyDescent="0.25">
      <c r="A4" s="333" t="s">
        <v>2</v>
      </c>
      <c r="B4" s="333"/>
      <c r="C4" s="333"/>
      <c r="D4" s="333"/>
      <c r="E4" s="333"/>
      <c r="F4" s="333"/>
      <c r="G4" s="333"/>
      <c r="H4" s="333"/>
      <c r="I4" s="333"/>
      <c r="J4" s="333"/>
      <c r="K4" s="333"/>
      <c r="L4" s="333"/>
      <c r="M4" s="333"/>
      <c r="N4" s="333"/>
      <c r="O4" s="16" t="s">
        <v>12</v>
      </c>
      <c r="P4" s="151"/>
      <c r="Q4" s="314"/>
      <c r="R4" s="151"/>
      <c r="S4" s="151"/>
      <c r="T4" s="151"/>
      <c r="U4" s="151"/>
      <c r="V4" s="151"/>
      <c r="W4" s="151"/>
    </row>
    <row r="5" spans="1:23" ht="18.75" thickBot="1" x14ac:dyDescent="0.3">
      <c r="A5" s="344"/>
      <c r="B5" s="344"/>
      <c r="C5" s="344"/>
      <c r="D5" s="344"/>
      <c r="E5" s="344"/>
      <c r="F5" s="344"/>
      <c r="G5" s="344"/>
      <c r="H5" s="344"/>
      <c r="I5" s="344"/>
      <c r="J5" s="344"/>
      <c r="K5" s="345"/>
      <c r="L5" s="345"/>
      <c r="M5" s="345"/>
      <c r="N5" s="345"/>
      <c r="O5" s="16" t="s">
        <v>12</v>
      </c>
      <c r="P5" s="151"/>
      <c r="Q5" s="315"/>
      <c r="R5" s="151"/>
      <c r="S5" s="151"/>
      <c r="T5" s="151"/>
      <c r="U5" s="151"/>
      <c r="V5" s="151"/>
      <c r="W5" s="151"/>
    </row>
    <row r="6" spans="1:23" ht="33.75" customHeight="1" x14ac:dyDescent="0.25">
      <c r="A6" s="337" t="s">
        <v>22</v>
      </c>
      <c r="B6" s="341" t="s">
        <v>164</v>
      </c>
      <c r="C6" s="339" t="s">
        <v>187</v>
      </c>
      <c r="D6" s="339"/>
      <c r="E6" s="339"/>
      <c r="F6" s="339"/>
      <c r="G6" s="339" t="s">
        <v>188</v>
      </c>
      <c r="H6" s="339"/>
      <c r="I6" s="339"/>
      <c r="J6" s="343"/>
      <c r="K6" s="339" t="s">
        <v>189</v>
      </c>
      <c r="L6" s="339"/>
      <c r="M6" s="339"/>
      <c r="N6" s="340"/>
      <c r="O6" s="16" t="s">
        <v>12</v>
      </c>
    </row>
    <row r="7" spans="1:23" ht="28.5" x14ac:dyDescent="0.25">
      <c r="A7" s="338"/>
      <c r="B7" s="342"/>
      <c r="C7" s="195" t="s">
        <v>3</v>
      </c>
      <c r="D7" s="195" t="s">
        <v>24</v>
      </c>
      <c r="E7" s="195" t="s">
        <v>115</v>
      </c>
      <c r="F7" s="195" t="s">
        <v>4</v>
      </c>
      <c r="G7" s="195" t="s">
        <v>3</v>
      </c>
      <c r="H7" s="195" t="s">
        <v>24</v>
      </c>
      <c r="I7" s="195" t="s">
        <v>115</v>
      </c>
      <c r="J7" s="299" t="s">
        <v>4</v>
      </c>
      <c r="K7" s="195" t="s">
        <v>3</v>
      </c>
      <c r="L7" s="195" t="s">
        <v>24</v>
      </c>
      <c r="M7" s="195" t="s">
        <v>115</v>
      </c>
      <c r="N7" s="201" t="s">
        <v>4</v>
      </c>
      <c r="O7" s="16" t="s">
        <v>12</v>
      </c>
    </row>
    <row r="8" spans="1:23" ht="18" x14ac:dyDescent="0.25">
      <c r="A8" s="300" t="s">
        <v>226</v>
      </c>
      <c r="B8" s="301" t="s">
        <v>236</v>
      </c>
      <c r="C8" s="302">
        <v>0</v>
      </c>
      <c r="D8" s="302">
        <v>0</v>
      </c>
      <c r="E8" s="302">
        <v>0</v>
      </c>
      <c r="F8" s="302">
        <v>-13533</v>
      </c>
      <c r="G8" s="302">
        <v>0</v>
      </c>
      <c r="H8" s="302">
        <v>0</v>
      </c>
      <c r="I8" s="302">
        <v>0</v>
      </c>
      <c r="J8" s="303">
        <v>-10624</v>
      </c>
      <c r="K8" s="302">
        <v>0</v>
      </c>
      <c r="L8" s="302">
        <v>0</v>
      </c>
      <c r="M8" s="302">
        <v>0</v>
      </c>
      <c r="N8" s="304">
        <v>-7334</v>
      </c>
      <c r="O8" s="16" t="s">
        <v>12</v>
      </c>
    </row>
    <row r="9" spans="1:23" ht="18.75" thickBot="1" x14ac:dyDescent="0.3">
      <c r="A9" s="20" t="s">
        <v>23</v>
      </c>
      <c r="B9" s="21"/>
      <c r="C9" s="35">
        <f t="shared" ref="C9:N9" si="0">SUM(C8:C8)</f>
        <v>0</v>
      </c>
      <c r="D9" s="35">
        <f t="shared" si="0"/>
        <v>0</v>
      </c>
      <c r="E9" s="35">
        <f t="shared" si="0"/>
        <v>0</v>
      </c>
      <c r="F9" s="35">
        <f t="shared" si="0"/>
        <v>-13533</v>
      </c>
      <c r="G9" s="35">
        <f t="shared" si="0"/>
        <v>0</v>
      </c>
      <c r="H9" s="35">
        <f t="shared" si="0"/>
        <v>0</v>
      </c>
      <c r="I9" s="35">
        <f t="shared" si="0"/>
        <v>0</v>
      </c>
      <c r="J9" s="305">
        <f t="shared" si="0"/>
        <v>-10624</v>
      </c>
      <c r="K9" s="35">
        <f t="shared" si="0"/>
        <v>0</v>
      </c>
      <c r="L9" s="35">
        <f t="shared" si="0"/>
        <v>0</v>
      </c>
      <c r="M9" s="35">
        <f t="shared" si="0"/>
        <v>0</v>
      </c>
      <c r="N9" s="120">
        <f t="shared" si="0"/>
        <v>-7334</v>
      </c>
      <c r="O9" s="16" t="s">
        <v>12</v>
      </c>
      <c r="Q9" s="5"/>
    </row>
    <row r="10" spans="1:23" ht="18.75" thickBot="1" x14ac:dyDescent="0.3">
      <c r="O10" s="16" t="s">
        <v>12</v>
      </c>
    </row>
    <row r="11" spans="1:23" ht="33.75" customHeight="1" x14ac:dyDescent="0.25">
      <c r="A11" s="337" t="s">
        <v>22</v>
      </c>
      <c r="B11" s="341" t="s">
        <v>164</v>
      </c>
      <c r="C11" s="339" t="s">
        <v>190</v>
      </c>
      <c r="D11" s="339"/>
      <c r="E11" s="339"/>
      <c r="F11" s="339"/>
      <c r="G11" s="339" t="s">
        <v>191</v>
      </c>
      <c r="H11" s="339"/>
      <c r="I11" s="339"/>
      <c r="J11" s="339"/>
      <c r="K11" s="339" t="s">
        <v>21</v>
      </c>
      <c r="L11" s="339"/>
      <c r="M11" s="339"/>
      <c r="N11" s="340"/>
      <c r="O11" s="16" t="s">
        <v>12</v>
      </c>
    </row>
    <row r="12" spans="1:23" ht="28.5" x14ac:dyDescent="0.25">
      <c r="A12" s="338"/>
      <c r="B12" s="342"/>
      <c r="C12" s="195" t="s">
        <v>3</v>
      </c>
      <c r="D12" s="195" t="s">
        <v>24</v>
      </c>
      <c r="E12" s="195" t="s">
        <v>115</v>
      </c>
      <c r="F12" s="195" t="s">
        <v>4</v>
      </c>
      <c r="G12" s="195" t="s">
        <v>3</v>
      </c>
      <c r="H12" s="195" t="s">
        <v>24</v>
      </c>
      <c r="I12" s="195" t="s">
        <v>115</v>
      </c>
      <c r="J12" s="195" t="s">
        <v>4</v>
      </c>
      <c r="K12" s="195" t="s">
        <v>3</v>
      </c>
      <c r="L12" s="195" t="s">
        <v>24</v>
      </c>
      <c r="M12" s="195" t="s">
        <v>115</v>
      </c>
      <c r="N12" s="201" t="s">
        <v>4</v>
      </c>
      <c r="O12" s="16" t="s">
        <v>12</v>
      </c>
    </row>
    <row r="13" spans="1:23" ht="18" x14ac:dyDescent="0.25">
      <c r="A13" s="300" t="s">
        <v>226</v>
      </c>
      <c r="B13" s="301" t="s">
        <v>236</v>
      </c>
      <c r="C13" s="302">
        <v>0</v>
      </c>
      <c r="D13" s="302">
        <v>0</v>
      </c>
      <c r="E13" s="302">
        <v>0</v>
      </c>
      <c r="F13" s="302">
        <v>-1263</v>
      </c>
      <c r="G13" s="302">
        <v>0</v>
      </c>
      <c r="H13" s="302">
        <v>0</v>
      </c>
      <c r="I13" s="302">
        <v>0</v>
      </c>
      <c r="J13" s="302">
        <v>-1078</v>
      </c>
      <c r="K13" s="302">
        <f>C8+G8+K8+C13+G13</f>
        <v>0</v>
      </c>
      <c r="L13" s="302">
        <f>D8+H8+L8+D13+H13</f>
        <v>0</v>
      </c>
      <c r="M13" s="302">
        <f>E8+I8+M8+E13+I13</f>
        <v>0</v>
      </c>
      <c r="N13" s="304">
        <f>F8+J8+N8+F13+J13</f>
        <v>-33832</v>
      </c>
      <c r="O13" s="16" t="s">
        <v>12</v>
      </c>
      <c r="Q13" s="5"/>
    </row>
    <row r="14" spans="1:23" ht="18.75" thickBot="1" x14ac:dyDescent="0.3">
      <c r="A14" s="20" t="s">
        <v>23</v>
      </c>
      <c r="B14" s="21"/>
      <c r="C14" s="35">
        <f t="shared" ref="C14:N14" si="1">SUM(C13:C13)</f>
        <v>0</v>
      </c>
      <c r="D14" s="35">
        <f t="shared" si="1"/>
        <v>0</v>
      </c>
      <c r="E14" s="35">
        <f t="shared" si="1"/>
        <v>0</v>
      </c>
      <c r="F14" s="35">
        <f t="shared" si="1"/>
        <v>-1263</v>
      </c>
      <c r="G14" s="35">
        <f t="shared" si="1"/>
        <v>0</v>
      </c>
      <c r="H14" s="35">
        <f t="shared" si="1"/>
        <v>0</v>
      </c>
      <c r="I14" s="35">
        <f t="shared" si="1"/>
        <v>0</v>
      </c>
      <c r="J14" s="35">
        <f t="shared" si="1"/>
        <v>-1078</v>
      </c>
      <c r="K14" s="35">
        <f t="shared" si="1"/>
        <v>0</v>
      </c>
      <c r="L14" s="35">
        <f t="shared" si="1"/>
        <v>0</v>
      </c>
      <c r="M14" s="35">
        <f t="shared" si="1"/>
        <v>0</v>
      </c>
      <c r="N14" s="120">
        <f t="shared" si="1"/>
        <v>-33832</v>
      </c>
      <c r="O14" s="16" t="s">
        <v>12</v>
      </c>
      <c r="Q14" s="5"/>
    </row>
    <row r="15" spans="1:23" ht="13.9" x14ac:dyDescent="0.25">
      <c r="O15" s="173" t="s">
        <v>13</v>
      </c>
    </row>
    <row r="16" spans="1:23" ht="13.9" x14ac:dyDescent="0.25">
      <c r="B16" s="306"/>
    </row>
  </sheetData>
  <mergeCells count="15">
    <mergeCell ref="A11:A12"/>
    <mergeCell ref="B11:B12"/>
    <mergeCell ref="C11:F11"/>
    <mergeCell ref="G11:J11"/>
    <mergeCell ref="K11:N11"/>
    <mergeCell ref="A1:N1"/>
    <mergeCell ref="A2:N2"/>
    <mergeCell ref="A3:N3"/>
    <mergeCell ref="A4:N4"/>
    <mergeCell ref="A5:N5"/>
    <mergeCell ref="A6:A7"/>
    <mergeCell ref="B6:B7"/>
    <mergeCell ref="C6:F6"/>
    <mergeCell ref="G6:J6"/>
    <mergeCell ref="K6:N6"/>
  </mergeCells>
  <printOptions horizontalCentered="1"/>
  <pageMargins left="0.7" right="0.7" top="0.66" bottom="0.65" header="0.3" footer="0.3"/>
  <pageSetup scale="59" orientation="landscape" r:id="rId1"/>
  <headerFooter>
    <oddHeader xml:space="preserve">&amp;L&amp;"Arial,Bold"&amp;12C. Program Changes by Decision Unit
</oddHeader>
    <oddFooter xml:space="preserve">&amp;C&amp;"Arial,Regular"Exhibit C - Program Changes by Decision Unit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8"/>
  <sheetViews>
    <sheetView view="pageBreakPreview" topLeftCell="A4" zoomScale="80" zoomScaleNormal="100" zoomScaleSheetLayoutView="80" workbookViewId="0">
      <selection activeCell="I13" sqref="I13"/>
    </sheetView>
  </sheetViews>
  <sheetFormatPr defaultColWidth="9.140625" defaultRowHeight="14.25" x14ac:dyDescent="0.2"/>
  <cols>
    <col min="1" max="1" width="7.42578125" style="9" bestFit="1" customWidth="1"/>
    <col min="2" max="2" width="58.140625" style="9" customWidth="1"/>
    <col min="3" max="3" width="8.7109375" style="9" customWidth="1"/>
    <col min="4" max="4" width="12.7109375" style="9" customWidth="1"/>
    <col min="5" max="5" width="8.7109375" style="9" customWidth="1"/>
    <col min="6" max="6" width="12.7109375" style="9" customWidth="1"/>
    <col min="7" max="7" width="8.7109375" style="9" customWidth="1"/>
    <col min="8" max="8" width="12.7109375" style="9" customWidth="1"/>
    <col min="9" max="9" width="8.7109375" style="9" customWidth="1"/>
    <col min="10" max="10" width="12.7109375" style="9" customWidth="1"/>
    <col min="11" max="11" width="8.7109375" style="9" customWidth="1"/>
    <col min="12" max="12" width="12.7109375" style="9" customWidth="1"/>
    <col min="13" max="13" width="14" style="173" bestFit="1" customWidth="1"/>
    <col min="14" max="14" width="4.5703125" style="9" customWidth="1"/>
    <col min="15" max="15" width="122.85546875" style="9" customWidth="1"/>
    <col min="16" max="17" width="8.28515625" style="9" customWidth="1"/>
    <col min="18" max="18" width="12.7109375" style="9" customWidth="1"/>
    <col min="19" max="20" width="8.28515625" style="9" customWidth="1"/>
    <col min="21" max="21" width="12.7109375" style="9" customWidth="1"/>
    <col min="22" max="16384" width="9.140625" style="9"/>
  </cols>
  <sheetData>
    <row r="1" spans="1:21" ht="18" x14ac:dyDescent="0.25">
      <c r="A1" s="330" t="s">
        <v>25</v>
      </c>
      <c r="B1" s="330"/>
      <c r="C1" s="330"/>
      <c r="D1" s="330"/>
      <c r="E1" s="330"/>
      <c r="F1" s="330"/>
      <c r="G1" s="330"/>
      <c r="H1" s="330"/>
      <c r="I1" s="330"/>
      <c r="J1" s="330"/>
      <c r="K1" s="330"/>
      <c r="L1" s="330"/>
      <c r="M1" s="176" t="s">
        <v>12</v>
      </c>
      <c r="N1" s="174"/>
      <c r="O1" s="311"/>
      <c r="P1" s="174"/>
      <c r="Q1" s="174"/>
      <c r="R1" s="174"/>
      <c r="S1" s="174"/>
      <c r="T1" s="174"/>
      <c r="U1" s="174"/>
    </row>
    <row r="2" spans="1:21" ht="15" x14ac:dyDescent="0.2">
      <c r="A2" s="331" t="s">
        <v>175</v>
      </c>
      <c r="B2" s="331"/>
      <c r="C2" s="331"/>
      <c r="D2" s="331"/>
      <c r="E2" s="331"/>
      <c r="F2" s="331"/>
      <c r="G2" s="331"/>
      <c r="H2" s="331"/>
      <c r="I2" s="331"/>
      <c r="J2" s="331"/>
      <c r="K2" s="331"/>
      <c r="L2" s="331"/>
      <c r="M2" s="176" t="s">
        <v>12</v>
      </c>
      <c r="N2" s="175"/>
      <c r="O2" s="307"/>
      <c r="P2" s="175"/>
      <c r="Q2" s="175"/>
      <c r="R2" s="175"/>
      <c r="S2" s="175"/>
      <c r="T2" s="175"/>
      <c r="U2" s="175"/>
    </row>
    <row r="3" spans="1:21" x14ac:dyDescent="0.2">
      <c r="A3" s="353" t="s">
        <v>1</v>
      </c>
      <c r="B3" s="353"/>
      <c r="C3" s="353"/>
      <c r="D3" s="353"/>
      <c r="E3" s="353"/>
      <c r="F3" s="353"/>
      <c r="G3" s="353"/>
      <c r="H3" s="353"/>
      <c r="I3" s="353"/>
      <c r="J3" s="353"/>
      <c r="K3" s="353"/>
      <c r="L3" s="353"/>
      <c r="M3" s="176" t="s">
        <v>12</v>
      </c>
      <c r="N3" s="10"/>
      <c r="O3" s="307"/>
      <c r="P3" s="10"/>
      <c r="Q3" s="10"/>
      <c r="R3" s="10"/>
      <c r="S3" s="10"/>
      <c r="T3" s="10"/>
      <c r="U3" s="10"/>
    </row>
    <row r="4" spans="1:21" x14ac:dyDescent="0.2">
      <c r="A4" s="354" t="s">
        <v>2</v>
      </c>
      <c r="B4" s="354"/>
      <c r="C4" s="354"/>
      <c r="D4" s="354"/>
      <c r="E4" s="354"/>
      <c r="F4" s="354"/>
      <c r="G4" s="354"/>
      <c r="H4" s="354"/>
      <c r="I4" s="354"/>
      <c r="J4" s="354"/>
      <c r="K4" s="354"/>
      <c r="L4" s="354"/>
      <c r="M4" s="176" t="s">
        <v>12</v>
      </c>
      <c r="N4" s="8"/>
      <c r="O4" s="307"/>
      <c r="P4" s="8"/>
      <c r="Q4" s="8"/>
      <c r="R4" s="8"/>
      <c r="S4" s="8"/>
      <c r="T4" s="8"/>
      <c r="U4" s="8"/>
    </row>
    <row r="5" spans="1:21" ht="15" x14ac:dyDescent="0.25">
      <c r="A5" s="355"/>
      <c r="B5" s="355"/>
      <c r="C5" s="355"/>
      <c r="D5" s="355"/>
      <c r="E5" s="355"/>
      <c r="F5" s="355"/>
      <c r="G5" s="355"/>
      <c r="H5" s="355"/>
      <c r="I5" s="355"/>
      <c r="J5" s="355"/>
      <c r="K5" s="355"/>
      <c r="L5" s="355"/>
      <c r="M5" s="176" t="s">
        <v>12</v>
      </c>
      <c r="N5" s="8"/>
      <c r="O5" s="309"/>
      <c r="P5" s="8"/>
      <c r="Q5" s="8"/>
      <c r="R5" s="8"/>
      <c r="S5" s="8"/>
      <c r="T5" s="8"/>
      <c r="U5" s="8"/>
    </row>
    <row r="6" spans="1:21" ht="15" thickBot="1" x14ac:dyDescent="0.25">
      <c r="A6" s="352"/>
      <c r="B6" s="352"/>
      <c r="C6" s="352"/>
      <c r="D6" s="352"/>
      <c r="E6" s="352"/>
      <c r="F6" s="352"/>
      <c r="G6" s="352"/>
      <c r="H6" s="352"/>
      <c r="I6" s="352"/>
      <c r="J6" s="352"/>
      <c r="K6" s="352"/>
      <c r="L6" s="352"/>
      <c r="M6" s="176" t="s">
        <v>12</v>
      </c>
      <c r="N6" s="8"/>
      <c r="O6" s="36"/>
      <c r="P6" s="8"/>
      <c r="Q6" s="8"/>
      <c r="R6" s="8"/>
      <c r="S6" s="8"/>
      <c r="T6" s="8"/>
      <c r="U6" s="8"/>
    </row>
    <row r="7" spans="1:21" s="19" customFormat="1" ht="46.5" customHeight="1" x14ac:dyDescent="0.2">
      <c r="A7" s="348" t="s">
        <v>26</v>
      </c>
      <c r="B7" s="349"/>
      <c r="C7" s="339" t="s">
        <v>132</v>
      </c>
      <c r="D7" s="339"/>
      <c r="E7" s="339" t="s">
        <v>166</v>
      </c>
      <c r="F7" s="339"/>
      <c r="G7" s="339" t="s">
        <v>129</v>
      </c>
      <c r="H7" s="339"/>
      <c r="I7" s="339" t="s">
        <v>135</v>
      </c>
      <c r="J7" s="339"/>
      <c r="K7" s="339" t="s">
        <v>130</v>
      </c>
      <c r="L7" s="340"/>
      <c r="M7" s="176" t="s">
        <v>12</v>
      </c>
      <c r="O7" s="102"/>
    </row>
    <row r="8" spans="1:21" s="19" customFormat="1" ht="42.75" x14ac:dyDescent="0.2">
      <c r="A8" s="350"/>
      <c r="B8" s="351"/>
      <c r="C8" s="17" t="s">
        <v>28</v>
      </c>
      <c r="D8" s="97" t="s">
        <v>27</v>
      </c>
      <c r="E8" s="17" t="s">
        <v>28</v>
      </c>
      <c r="F8" s="97" t="s">
        <v>27</v>
      </c>
      <c r="G8" s="17" t="s">
        <v>28</v>
      </c>
      <c r="H8" s="17" t="s">
        <v>27</v>
      </c>
      <c r="I8" s="17" t="s">
        <v>28</v>
      </c>
      <c r="J8" s="17" t="s">
        <v>27</v>
      </c>
      <c r="K8" s="17" t="s">
        <v>28</v>
      </c>
      <c r="L8" s="22" t="s">
        <v>27</v>
      </c>
      <c r="M8" s="176" t="s">
        <v>12</v>
      </c>
    </row>
    <row r="9" spans="1:21" ht="45" x14ac:dyDescent="0.2">
      <c r="A9" s="30" t="s">
        <v>29</v>
      </c>
      <c r="B9" s="37" t="s">
        <v>30</v>
      </c>
      <c r="C9" s="14"/>
      <c r="D9" s="14"/>
      <c r="E9" s="14"/>
      <c r="F9" s="14"/>
      <c r="G9" s="14"/>
      <c r="H9" s="14"/>
      <c r="I9" s="14"/>
      <c r="J9" s="14"/>
      <c r="K9" s="14"/>
      <c r="L9" s="15"/>
      <c r="M9" s="176" t="s">
        <v>12</v>
      </c>
      <c r="O9" s="19"/>
    </row>
    <row r="10" spans="1:21" ht="57" x14ac:dyDescent="0.2">
      <c r="A10" s="31">
        <v>1.1000000000000001</v>
      </c>
      <c r="B10" s="159" t="s">
        <v>146</v>
      </c>
      <c r="C10" s="23">
        <v>399</v>
      </c>
      <c r="D10" s="24">
        <v>95850</v>
      </c>
      <c r="E10" s="23">
        <v>399</v>
      </c>
      <c r="F10" s="23">
        <v>103726</v>
      </c>
      <c r="G10" s="23">
        <v>391</v>
      </c>
      <c r="H10" s="23">
        <f>105177</f>
        <v>105177</v>
      </c>
      <c r="I10" s="23">
        <v>0</v>
      </c>
      <c r="J10" s="23">
        <f>-13533*(G10/2222)</f>
        <v>-2381.3694869486949</v>
      </c>
      <c r="K10" s="25">
        <f>G10+I10</f>
        <v>391</v>
      </c>
      <c r="L10" s="26">
        <f>H10+J10</f>
        <v>102795.63051305131</v>
      </c>
      <c r="M10" s="176" t="s">
        <v>12</v>
      </c>
    </row>
    <row r="11" spans="1:21" ht="15" x14ac:dyDescent="0.25">
      <c r="A11" s="32"/>
      <c r="B11" s="38" t="s">
        <v>34</v>
      </c>
      <c r="C11" s="27">
        <f t="shared" ref="C11:L11" si="0">SUM(C10:C10)</f>
        <v>399</v>
      </c>
      <c r="D11" s="27">
        <f t="shared" si="0"/>
        <v>95850</v>
      </c>
      <c r="E11" s="27">
        <f t="shared" si="0"/>
        <v>399</v>
      </c>
      <c r="F11" s="27">
        <f t="shared" si="0"/>
        <v>103726</v>
      </c>
      <c r="G11" s="27">
        <f t="shared" si="0"/>
        <v>391</v>
      </c>
      <c r="H11" s="27">
        <f t="shared" si="0"/>
        <v>105177</v>
      </c>
      <c r="I11" s="27">
        <f t="shared" si="0"/>
        <v>0</v>
      </c>
      <c r="J11" s="27">
        <f t="shared" si="0"/>
        <v>-2381.3694869486949</v>
      </c>
      <c r="K11" s="27">
        <f t="shared" si="0"/>
        <v>391</v>
      </c>
      <c r="L11" s="28">
        <f t="shared" si="0"/>
        <v>102795.63051305131</v>
      </c>
      <c r="M11" s="176" t="s">
        <v>12</v>
      </c>
      <c r="O11" s="19"/>
    </row>
    <row r="12" spans="1:21" ht="30" x14ac:dyDescent="0.2">
      <c r="A12" s="30" t="s">
        <v>31</v>
      </c>
      <c r="B12" s="37" t="s">
        <v>32</v>
      </c>
      <c r="C12" s="14"/>
      <c r="D12" s="14"/>
      <c r="E12" s="14"/>
      <c r="F12" s="14"/>
      <c r="G12" s="14"/>
      <c r="H12" s="14"/>
      <c r="I12" s="14"/>
      <c r="J12" s="14"/>
      <c r="K12" s="14"/>
      <c r="L12" s="419"/>
      <c r="M12" s="176" t="s">
        <v>12</v>
      </c>
      <c r="O12" s="19"/>
    </row>
    <row r="13" spans="1:21" ht="48.75" customHeight="1" x14ac:dyDescent="0.2">
      <c r="A13" s="31">
        <v>2.2000000000000002</v>
      </c>
      <c r="B13" s="159" t="s">
        <v>147</v>
      </c>
      <c r="C13" s="23">
        <v>211</v>
      </c>
      <c r="D13" s="23">
        <v>52429</v>
      </c>
      <c r="E13" s="23">
        <v>211</v>
      </c>
      <c r="F13" s="23">
        <v>55435</v>
      </c>
      <c r="G13" s="23">
        <v>211</v>
      </c>
      <c r="H13" s="23">
        <v>55733</v>
      </c>
      <c r="I13" s="23">
        <v>0</v>
      </c>
      <c r="J13" s="23">
        <f>-10624*(G13/1744)</f>
        <v>-1285.3577981651376</v>
      </c>
      <c r="K13" s="25">
        <f>G13+I13</f>
        <v>211</v>
      </c>
      <c r="L13" s="26">
        <f>H13+J13</f>
        <v>54447.64220183486</v>
      </c>
      <c r="M13" s="176" t="s">
        <v>12</v>
      </c>
      <c r="O13" s="19"/>
    </row>
    <row r="14" spans="1:21" ht="15" x14ac:dyDescent="0.25">
      <c r="A14" s="32"/>
      <c r="B14" s="38" t="s">
        <v>33</v>
      </c>
      <c r="C14" s="27">
        <f t="shared" ref="C14:L14" si="1">SUM(C13:C13)</f>
        <v>211</v>
      </c>
      <c r="D14" s="27">
        <f t="shared" si="1"/>
        <v>52429</v>
      </c>
      <c r="E14" s="27">
        <f t="shared" si="1"/>
        <v>211</v>
      </c>
      <c r="F14" s="27">
        <f t="shared" si="1"/>
        <v>55435</v>
      </c>
      <c r="G14" s="27">
        <f t="shared" si="1"/>
        <v>211</v>
      </c>
      <c r="H14" s="27">
        <f t="shared" si="1"/>
        <v>55733</v>
      </c>
      <c r="I14" s="27">
        <f t="shared" si="1"/>
        <v>0</v>
      </c>
      <c r="J14" s="27">
        <f t="shared" si="1"/>
        <v>-1285.3577981651376</v>
      </c>
      <c r="K14" s="27">
        <f t="shared" si="1"/>
        <v>211</v>
      </c>
      <c r="L14" s="28">
        <f t="shared" si="1"/>
        <v>54447.64220183486</v>
      </c>
      <c r="M14" s="176" t="s">
        <v>12</v>
      </c>
      <c r="O14" s="19"/>
    </row>
    <row r="15" spans="1:21" ht="45" x14ac:dyDescent="0.2">
      <c r="A15" s="30" t="s">
        <v>35</v>
      </c>
      <c r="B15" s="37" t="s">
        <v>36</v>
      </c>
      <c r="C15" s="14"/>
      <c r="D15" s="14"/>
      <c r="E15" s="14"/>
      <c r="F15" s="14"/>
      <c r="G15" s="14"/>
      <c r="H15" s="14"/>
      <c r="I15" s="14"/>
      <c r="J15" s="14"/>
      <c r="K15" s="14"/>
      <c r="L15" s="15"/>
      <c r="M15" s="176" t="s">
        <v>12</v>
      </c>
      <c r="O15" s="19"/>
    </row>
    <row r="16" spans="1:21" ht="57" x14ac:dyDescent="0.2">
      <c r="A16" s="31">
        <v>3.1</v>
      </c>
      <c r="B16" s="159" t="s">
        <v>148</v>
      </c>
      <c r="C16" s="23">
        <v>37</v>
      </c>
      <c r="D16" s="23">
        <v>14281</v>
      </c>
      <c r="E16" s="23">
        <v>37</v>
      </c>
      <c r="F16" s="23">
        <v>17199</v>
      </c>
      <c r="G16" s="23">
        <v>29</v>
      </c>
      <c r="H16" s="23">
        <v>15211</v>
      </c>
      <c r="I16" s="23">
        <v>0</v>
      </c>
      <c r="J16" s="23">
        <f>-10624*(G16/1744)</f>
        <v>-176.66055045871562</v>
      </c>
      <c r="K16" s="25">
        <f t="shared" ref="K16:L19" si="2">G16+I16</f>
        <v>29</v>
      </c>
      <c r="L16" s="26">
        <f t="shared" si="2"/>
        <v>15034.339449541285</v>
      </c>
      <c r="M16" s="176" t="s">
        <v>12</v>
      </c>
      <c r="O16" s="19"/>
    </row>
    <row r="17" spans="1:15" ht="42.75" x14ac:dyDescent="0.2">
      <c r="A17" s="31">
        <v>3.2</v>
      </c>
      <c r="B17" s="159" t="s">
        <v>149</v>
      </c>
      <c r="C17" s="23">
        <f>(5443-C11-C14-C16-C18-C19)</f>
        <v>2090</v>
      </c>
      <c r="D17" s="23">
        <f>1112069-D11-D14-D16-D18-D19</f>
        <v>403601</v>
      </c>
      <c r="E17" s="23">
        <f>5528-E11-E14-E16-E18-E19</f>
        <v>2117</v>
      </c>
      <c r="F17" s="23">
        <f>1185000-F11-F14-F16-F18-F19</f>
        <v>430366</v>
      </c>
      <c r="G17" s="23">
        <f>5528-G11-G14-G16-G18-G19</f>
        <v>2125</v>
      </c>
      <c r="H17" s="23">
        <f>1218832-H11-H14-H16-H18-H19</f>
        <v>444942</v>
      </c>
      <c r="I17" s="23">
        <v>0</v>
      </c>
      <c r="J17" s="23">
        <f>-33832+-J11+-J14+-J16+-J18+-J19</f>
        <v>-13492.630513051306</v>
      </c>
      <c r="K17" s="25">
        <f t="shared" si="2"/>
        <v>2125</v>
      </c>
      <c r="L17" s="26">
        <f t="shared" si="2"/>
        <v>431449.36948694871</v>
      </c>
      <c r="M17" s="176" t="s">
        <v>12</v>
      </c>
      <c r="O17" s="19"/>
    </row>
    <row r="18" spans="1:15" ht="42.75" x14ac:dyDescent="0.2">
      <c r="A18" s="31">
        <v>3.3</v>
      </c>
      <c r="B18" s="159" t="s">
        <v>150</v>
      </c>
      <c r="C18" s="23">
        <f>1106</f>
        <v>1106</v>
      </c>
      <c r="D18" s="23">
        <v>236806</v>
      </c>
      <c r="E18" s="23">
        <v>1106</v>
      </c>
      <c r="F18" s="23">
        <v>251555</v>
      </c>
      <c r="G18" s="23">
        <v>1106</v>
      </c>
      <c r="H18" s="23">
        <v>258547</v>
      </c>
      <c r="I18" s="23">
        <v>0</v>
      </c>
      <c r="J18" s="23">
        <v>-7334</v>
      </c>
      <c r="K18" s="25">
        <f t="shared" si="2"/>
        <v>1106</v>
      </c>
      <c r="L18" s="26">
        <f t="shared" si="2"/>
        <v>251213</v>
      </c>
      <c r="M18" s="176" t="s">
        <v>12</v>
      </c>
      <c r="O18" s="19"/>
    </row>
    <row r="19" spans="1:15" ht="28.5" x14ac:dyDescent="0.2">
      <c r="A19" s="160">
        <v>3.5</v>
      </c>
      <c r="B19" s="161" t="s">
        <v>151</v>
      </c>
      <c r="C19" s="117">
        <f>(1607-C14-C16)+241</f>
        <v>1600</v>
      </c>
      <c r="D19" s="117">
        <f>375812-D14-D16</f>
        <v>309102</v>
      </c>
      <c r="E19" s="117">
        <f>(1602-E14-E16)+304</f>
        <v>1658</v>
      </c>
      <c r="F19" s="117">
        <f>399353-F14-F16</f>
        <v>326719</v>
      </c>
      <c r="G19" s="117">
        <f>(1602-G14-G16)+304</f>
        <v>1666</v>
      </c>
      <c r="H19" s="117">
        <f>410166-H14-H16</f>
        <v>339222</v>
      </c>
      <c r="I19" s="117">
        <v>0</v>
      </c>
      <c r="J19" s="117">
        <f>-10624+-J13+-J16</f>
        <v>-9161.9816513761471</v>
      </c>
      <c r="K19" s="162">
        <f t="shared" si="2"/>
        <v>1666</v>
      </c>
      <c r="L19" s="26">
        <f t="shared" si="2"/>
        <v>330060.01834862388</v>
      </c>
      <c r="M19" s="176"/>
      <c r="O19" s="19"/>
    </row>
    <row r="20" spans="1:15" ht="57" hidden="1" x14ac:dyDescent="0.2">
      <c r="A20" s="160">
        <v>3.6</v>
      </c>
      <c r="B20" s="161" t="s">
        <v>152</v>
      </c>
      <c r="C20" s="117"/>
      <c r="D20" s="117"/>
      <c r="E20" s="117"/>
      <c r="F20" s="117"/>
      <c r="G20" s="117"/>
      <c r="H20" s="117"/>
      <c r="I20" s="117"/>
      <c r="J20" s="117"/>
      <c r="K20" s="162"/>
      <c r="L20" s="163"/>
      <c r="M20" s="176"/>
      <c r="O20" s="19"/>
    </row>
    <row r="21" spans="1:15" ht="28.5" hidden="1" x14ac:dyDescent="0.2">
      <c r="A21" s="160">
        <v>3.7</v>
      </c>
      <c r="B21" s="164" t="s">
        <v>153</v>
      </c>
      <c r="C21" s="117"/>
      <c r="D21" s="117"/>
      <c r="E21" s="117"/>
      <c r="F21" s="117"/>
      <c r="G21" s="117"/>
      <c r="H21" s="117"/>
      <c r="I21" s="117"/>
      <c r="J21" s="117"/>
      <c r="K21" s="162"/>
      <c r="L21" s="163"/>
      <c r="M21" s="176"/>
      <c r="O21" s="19"/>
    </row>
    <row r="22" spans="1:15" ht="71.25" hidden="1" x14ac:dyDescent="0.2">
      <c r="A22" s="160">
        <v>3.8</v>
      </c>
      <c r="B22" s="161" t="s">
        <v>154</v>
      </c>
      <c r="C22" s="117"/>
      <c r="D22" s="117"/>
      <c r="E22" s="117"/>
      <c r="F22" s="117"/>
      <c r="G22" s="117"/>
      <c r="H22" s="117"/>
      <c r="I22" s="117"/>
      <c r="J22" s="117"/>
      <c r="K22" s="162"/>
      <c r="L22" s="163"/>
      <c r="M22" s="176"/>
      <c r="O22" s="19"/>
    </row>
    <row r="23" spans="1:15" ht="15" x14ac:dyDescent="0.25">
      <c r="A23" s="32"/>
      <c r="B23" s="29" t="s">
        <v>37</v>
      </c>
      <c r="C23" s="27">
        <f>C16+C17+C18+C19</f>
        <v>4833</v>
      </c>
      <c r="D23" s="27">
        <f t="shared" ref="D23:L23" si="3">SUM(D16:D22)</f>
        <v>963790</v>
      </c>
      <c r="E23" s="27">
        <f t="shared" si="3"/>
        <v>4918</v>
      </c>
      <c r="F23" s="27">
        <f t="shared" si="3"/>
        <v>1025839</v>
      </c>
      <c r="G23" s="27">
        <f t="shared" si="3"/>
        <v>4926</v>
      </c>
      <c r="H23" s="27">
        <f t="shared" si="3"/>
        <v>1057922</v>
      </c>
      <c r="I23" s="27">
        <f t="shared" si="3"/>
        <v>0</v>
      </c>
      <c r="J23" s="27">
        <f t="shared" si="3"/>
        <v>-30165.272714886167</v>
      </c>
      <c r="K23" s="27">
        <f t="shared" si="3"/>
        <v>4926</v>
      </c>
      <c r="L23" s="28">
        <f t="shared" si="3"/>
        <v>1027756.7272851139</v>
      </c>
      <c r="M23" s="176" t="s">
        <v>12</v>
      </c>
      <c r="O23" s="19"/>
    </row>
    <row r="24" spans="1:15" ht="15.75" thickBot="1" x14ac:dyDescent="0.3">
      <c r="A24" s="33"/>
      <c r="B24" s="34" t="s">
        <v>38</v>
      </c>
      <c r="C24" s="35">
        <f t="shared" ref="C24:L24" si="4">C23+C14+C11</f>
        <v>5443</v>
      </c>
      <c r="D24" s="35">
        <f t="shared" si="4"/>
        <v>1112069</v>
      </c>
      <c r="E24" s="35">
        <f t="shared" si="4"/>
        <v>5528</v>
      </c>
      <c r="F24" s="35">
        <f t="shared" si="4"/>
        <v>1185000</v>
      </c>
      <c r="G24" s="35">
        <f t="shared" si="4"/>
        <v>5528</v>
      </c>
      <c r="H24" s="35">
        <f t="shared" si="4"/>
        <v>1218832</v>
      </c>
      <c r="I24" s="35">
        <f t="shared" si="4"/>
        <v>0</v>
      </c>
      <c r="J24" s="35">
        <f t="shared" si="4"/>
        <v>-33832</v>
      </c>
      <c r="K24" s="35">
        <f t="shared" si="4"/>
        <v>5528</v>
      </c>
      <c r="L24" s="120">
        <f t="shared" si="4"/>
        <v>1185000</v>
      </c>
      <c r="M24" s="176" t="s">
        <v>12</v>
      </c>
      <c r="O24" s="5"/>
    </row>
    <row r="25" spans="1:15" x14ac:dyDescent="0.2">
      <c r="M25" s="176" t="s">
        <v>12</v>
      </c>
    </row>
    <row r="26" spans="1:15" ht="15" x14ac:dyDescent="0.2">
      <c r="A26" s="346"/>
      <c r="B26" s="347"/>
      <c r="C26" s="347"/>
      <c r="D26" s="347"/>
      <c r="E26" s="347"/>
      <c r="F26" s="347"/>
      <c r="G26" s="347"/>
      <c r="H26" s="347"/>
      <c r="I26" s="347"/>
      <c r="J26" s="347"/>
      <c r="K26" s="347"/>
      <c r="L26" s="347"/>
      <c r="M26" s="176" t="s">
        <v>13</v>
      </c>
    </row>
    <row r="27" spans="1:15" x14ac:dyDescent="0.2">
      <c r="L27" s="206"/>
    </row>
    <row r="28" spans="1:15" x14ac:dyDescent="0.2">
      <c r="A28" s="148"/>
    </row>
  </sheetData>
  <mergeCells count="13">
    <mergeCell ref="A6:L6"/>
    <mergeCell ref="A1:L1"/>
    <mergeCell ref="A2:L2"/>
    <mergeCell ref="A3:L3"/>
    <mergeCell ref="A4:L4"/>
    <mergeCell ref="A5:L5"/>
    <mergeCell ref="K7:L7"/>
    <mergeCell ref="A26:L26"/>
    <mergeCell ref="A7:B8"/>
    <mergeCell ref="C7:D7"/>
    <mergeCell ref="E7:F7"/>
    <mergeCell ref="G7:H7"/>
    <mergeCell ref="I7:J7"/>
  </mergeCells>
  <printOptions horizontalCentered="1"/>
  <pageMargins left="0.7" right="0.7" top="0.75" bottom="0.75" header="0.3" footer="0.3"/>
  <pageSetup scale="61" orientation="landscape" r:id="rId1"/>
  <headerFooter>
    <oddHeader>&amp;L&amp;"Arial,Bold"&amp;12D. Resources by DOJ Strategic Goal and Strategic Objective</oddHeader>
    <oddFooter>&amp;C&amp;"Arial,Regular"Exhibit D - Resources by DOJ Strategic Goal and Strategic Objective - Salaries and Expenses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view="pageBreakPreview" zoomScale="80" zoomScaleNormal="100" zoomScaleSheetLayoutView="80" workbookViewId="0">
      <selection activeCell="J11" sqref="J11"/>
    </sheetView>
  </sheetViews>
  <sheetFormatPr defaultColWidth="9.140625" defaultRowHeight="14.25" x14ac:dyDescent="0.2"/>
  <cols>
    <col min="1" max="1" width="7.42578125" style="131" bestFit="1" customWidth="1"/>
    <col min="2" max="2" width="58.140625" style="131" customWidth="1"/>
    <col min="3" max="3" width="8.7109375" style="131" customWidth="1"/>
    <col min="4" max="4" width="12.7109375" style="131" customWidth="1"/>
    <col min="5" max="5" width="8.7109375" style="131" customWidth="1"/>
    <col min="6" max="6" width="12.7109375" style="131" customWidth="1"/>
    <col min="7" max="7" width="8.7109375" style="131" customWidth="1"/>
    <col min="8" max="8" width="12.7109375" style="131" customWidth="1"/>
    <col min="9" max="9" width="8.7109375" style="131" customWidth="1"/>
    <col min="10" max="10" width="12.7109375" style="131" customWidth="1"/>
    <col min="11" max="11" width="14" style="173" bestFit="1" customWidth="1"/>
    <col min="12" max="12" width="4.5703125" style="131" customWidth="1"/>
    <col min="13" max="14" width="8.28515625" style="131" customWidth="1"/>
    <col min="15" max="15" width="12.7109375" style="131" customWidth="1"/>
    <col min="16" max="17" width="8.28515625" style="131" customWidth="1"/>
    <col min="18" max="18" width="12.7109375" style="131" customWidth="1"/>
    <col min="19" max="16384" width="9.140625" style="131"/>
  </cols>
  <sheetData>
    <row r="1" spans="1:16" ht="15" x14ac:dyDescent="0.25">
      <c r="K1" s="176" t="s">
        <v>12</v>
      </c>
      <c r="M1" s="199"/>
      <c r="N1" s="199"/>
      <c r="O1" s="311"/>
      <c r="P1" s="199"/>
    </row>
    <row r="2" spans="1:16" ht="18" x14ac:dyDescent="0.25">
      <c r="A2" s="330" t="s">
        <v>25</v>
      </c>
      <c r="B2" s="330"/>
      <c r="C2" s="330"/>
      <c r="D2" s="330"/>
      <c r="E2" s="330"/>
      <c r="F2" s="330"/>
      <c r="G2" s="330"/>
      <c r="H2" s="330"/>
      <c r="I2" s="330"/>
      <c r="J2" s="330"/>
      <c r="K2" s="176" t="s">
        <v>12</v>
      </c>
      <c r="M2" s="199"/>
      <c r="N2" s="199"/>
      <c r="O2" s="307"/>
      <c r="P2" s="199"/>
    </row>
    <row r="3" spans="1:16" ht="15" x14ac:dyDescent="0.2">
      <c r="A3" s="331" t="s">
        <v>175</v>
      </c>
      <c r="B3" s="331"/>
      <c r="C3" s="331"/>
      <c r="D3" s="331"/>
      <c r="E3" s="331"/>
      <c r="F3" s="331"/>
      <c r="G3" s="331"/>
      <c r="H3" s="331"/>
      <c r="I3" s="331"/>
      <c r="J3" s="331"/>
      <c r="K3" s="176" t="s">
        <v>12</v>
      </c>
      <c r="M3" s="199"/>
      <c r="N3" s="199"/>
      <c r="O3" s="307"/>
      <c r="P3" s="199"/>
    </row>
    <row r="4" spans="1:16" x14ac:dyDescent="0.2">
      <c r="A4" s="332" t="s">
        <v>176</v>
      </c>
      <c r="B4" s="332"/>
      <c r="C4" s="332"/>
      <c r="D4" s="332"/>
      <c r="E4" s="332"/>
      <c r="F4" s="332"/>
      <c r="G4" s="332"/>
      <c r="H4" s="332"/>
      <c r="I4" s="332"/>
      <c r="J4" s="332"/>
      <c r="K4" s="176" t="s">
        <v>12</v>
      </c>
      <c r="M4" s="199"/>
      <c r="N4" s="199"/>
      <c r="O4" s="307"/>
      <c r="P4" s="199"/>
    </row>
    <row r="5" spans="1:16" ht="15" x14ac:dyDescent="0.25">
      <c r="A5" s="333" t="s">
        <v>2</v>
      </c>
      <c r="B5" s="333"/>
      <c r="C5" s="333"/>
      <c r="D5" s="333"/>
      <c r="E5" s="333"/>
      <c r="F5" s="333"/>
      <c r="G5" s="333"/>
      <c r="H5" s="333"/>
      <c r="I5" s="333"/>
      <c r="J5" s="333"/>
      <c r="K5" s="176" t="s">
        <v>12</v>
      </c>
      <c r="M5" s="199"/>
      <c r="N5" s="199"/>
      <c r="O5" s="309"/>
      <c r="P5" s="199"/>
    </row>
    <row r="6" spans="1:16" ht="15" thickBot="1" x14ac:dyDescent="0.25">
      <c r="A6" s="332"/>
      <c r="B6" s="332"/>
      <c r="C6" s="332"/>
      <c r="D6" s="332"/>
      <c r="E6" s="332"/>
      <c r="F6" s="332"/>
      <c r="G6" s="332"/>
      <c r="H6" s="332"/>
      <c r="I6" s="332"/>
      <c r="J6" s="332"/>
      <c r="K6" s="176" t="s">
        <v>12</v>
      </c>
      <c r="O6" s="36"/>
    </row>
    <row r="7" spans="1:16" ht="41.45" customHeight="1" x14ac:dyDescent="0.2">
      <c r="A7" s="348" t="s">
        <v>26</v>
      </c>
      <c r="B7" s="349"/>
      <c r="C7" s="339" t="s">
        <v>132</v>
      </c>
      <c r="D7" s="339"/>
      <c r="E7" s="339" t="s">
        <v>166</v>
      </c>
      <c r="F7" s="339"/>
      <c r="G7" s="339" t="s">
        <v>129</v>
      </c>
      <c r="H7" s="339"/>
      <c r="I7" s="339" t="s">
        <v>130</v>
      </c>
      <c r="J7" s="340"/>
      <c r="K7" s="176" t="s">
        <v>12</v>
      </c>
      <c r="O7" s="102"/>
    </row>
    <row r="8" spans="1:16" ht="42.75" x14ac:dyDescent="0.2">
      <c r="A8" s="350"/>
      <c r="B8" s="351"/>
      <c r="C8" s="207" t="s">
        <v>28</v>
      </c>
      <c r="D8" s="207" t="s">
        <v>27</v>
      </c>
      <c r="E8" s="207" t="s">
        <v>28</v>
      </c>
      <c r="F8" s="207" t="s">
        <v>27</v>
      </c>
      <c r="G8" s="207" t="s">
        <v>28</v>
      </c>
      <c r="H8" s="207" t="s">
        <v>27</v>
      </c>
      <c r="I8" s="207" t="s">
        <v>28</v>
      </c>
      <c r="J8" s="208" t="s">
        <v>27</v>
      </c>
      <c r="K8" s="176" t="s">
        <v>12</v>
      </c>
      <c r="O8" s="19"/>
    </row>
    <row r="9" spans="1:16" ht="45" x14ac:dyDescent="0.2">
      <c r="A9" s="209" t="s">
        <v>35</v>
      </c>
      <c r="B9" s="37" t="s">
        <v>36</v>
      </c>
      <c r="C9" s="210"/>
      <c r="D9" s="210"/>
      <c r="E9" s="210"/>
      <c r="F9" s="210"/>
      <c r="G9" s="210"/>
      <c r="H9" s="210"/>
      <c r="I9" s="210"/>
      <c r="J9" s="211"/>
      <c r="K9" s="176" t="s">
        <v>12</v>
      </c>
    </row>
    <row r="10" spans="1:16" ht="42.75" x14ac:dyDescent="0.2">
      <c r="A10" s="212">
        <v>3.2</v>
      </c>
      <c r="B10" s="159" t="s">
        <v>149</v>
      </c>
      <c r="C10" s="142">
        <v>0</v>
      </c>
      <c r="D10" s="142">
        <v>9793</v>
      </c>
      <c r="E10" s="142">
        <v>0</v>
      </c>
      <c r="F10" s="142">
        <v>9800</v>
      </c>
      <c r="G10" s="142">
        <v>0</v>
      </c>
      <c r="H10" s="142">
        <v>9800</v>
      </c>
      <c r="I10" s="142">
        <v>0</v>
      </c>
      <c r="J10" s="139">
        <f>H10</f>
        <v>9800</v>
      </c>
      <c r="K10" s="176" t="s">
        <v>12</v>
      </c>
    </row>
    <row r="11" spans="1:16" ht="15" x14ac:dyDescent="0.25">
      <c r="A11" s="213"/>
      <c r="B11" s="29" t="s">
        <v>37</v>
      </c>
      <c r="C11" s="27">
        <f>SUM(C7:C10)</f>
        <v>0</v>
      </c>
      <c r="D11" s="27">
        <f t="shared" ref="D11:J11" si="0">SUM(D7:D10)</f>
        <v>9793</v>
      </c>
      <c r="E11" s="27">
        <f t="shared" si="0"/>
        <v>0</v>
      </c>
      <c r="F11" s="27">
        <f t="shared" si="0"/>
        <v>9800</v>
      </c>
      <c r="G11" s="27">
        <f t="shared" si="0"/>
        <v>0</v>
      </c>
      <c r="H11" s="27">
        <f t="shared" si="0"/>
        <v>9800</v>
      </c>
      <c r="I11" s="27">
        <f t="shared" si="0"/>
        <v>0</v>
      </c>
      <c r="J11" s="28">
        <f t="shared" si="0"/>
        <v>9800</v>
      </c>
      <c r="K11" s="176" t="s">
        <v>12</v>
      </c>
    </row>
    <row r="12" spans="1:16" ht="15.75" thickBot="1" x14ac:dyDescent="0.3">
      <c r="A12" s="214"/>
      <c r="B12" s="215" t="s">
        <v>38</v>
      </c>
      <c r="C12" s="216">
        <f>C11+C5</f>
        <v>0</v>
      </c>
      <c r="D12" s="216">
        <f t="shared" ref="D12:J12" si="1">D11+D5</f>
        <v>9793</v>
      </c>
      <c r="E12" s="216">
        <f t="shared" si="1"/>
        <v>0</v>
      </c>
      <c r="F12" s="216">
        <f t="shared" si="1"/>
        <v>9800</v>
      </c>
      <c r="G12" s="216">
        <f t="shared" si="1"/>
        <v>0</v>
      </c>
      <c r="H12" s="216">
        <f t="shared" si="1"/>
        <v>9800</v>
      </c>
      <c r="I12" s="216">
        <f t="shared" si="1"/>
        <v>0</v>
      </c>
      <c r="J12" s="217">
        <f t="shared" si="1"/>
        <v>9800</v>
      </c>
      <c r="K12" s="176" t="s">
        <v>12</v>
      </c>
    </row>
    <row r="13" spans="1:16" ht="10.15" customHeight="1" x14ac:dyDescent="0.2">
      <c r="K13" s="176" t="s">
        <v>13</v>
      </c>
    </row>
    <row r="20" spans="5:5" x14ac:dyDescent="0.2">
      <c r="E20" s="218"/>
    </row>
  </sheetData>
  <mergeCells count="10">
    <mergeCell ref="I7:J7"/>
    <mergeCell ref="A2:J2"/>
    <mergeCell ref="A3:J3"/>
    <mergeCell ref="A4:J4"/>
    <mergeCell ref="A5:J5"/>
    <mergeCell ref="A6:J6"/>
    <mergeCell ref="A7:B8"/>
    <mergeCell ref="C7:D7"/>
    <mergeCell ref="E7:F7"/>
    <mergeCell ref="G7:H7"/>
  </mergeCells>
  <printOptions horizontalCentered="1"/>
  <pageMargins left="0.7" right="0.7" top="0.75" bottom="0.75" header="0.3" footer="0.3"/>
  <pageSetup scale="80" orientation="landscape" r:id="rId1"/>
  <headerFooter>
    <oddHeader>&amp;L&amp;"Arial,Bold"&amp;12D. Resources by DOJ Strategic Goal and Strategic Objective</oddHeader>
    <oddFooter>&amp;C&amp;"Arial,Regular"Exhibit D - Resources by DOJ Strategic Goal and Strategic Objective - Construction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view="pageBreakPreview" zoomScaleNormal="100" zoomScaleSheetLayoutView="100" workbookViewId="0">
      <pane xSplit="4" ySplit="6" topLeftCell="E22" activePane="bottomRight" state="frozen"/>
      <selection pane="topRight" activeCell="E1" sqref="E1"/>
      <selection pane="bottomLeft" activeCell="A7" sqref="A7"/>
      <selection pane="bottomRight" activeCell="H1" sqref="G1:H1048576"/>
    </sheetView>
  </sheetViews>
  <sheetFormatPr defaultColWidth="9.140625" defaultRowHeight="15" x14ac:dyDescent="0.25"/>
  <cols>
    <col min="1" max="1" width="3.7109375" customWidth="1"/>
    <col min="2" max="2" width="71.140625" customWidth="1"/>
    <col min="3" max="4" width="14.7109375" customWidth="1"/>
    <col min="5" max="6" width="8.7109375" customWidth="1"/>
    <col min="7" max="7" width="12.7109375" customWidth="1"/>
    <col min="8" max="8" width="14" bestFit="1" customWidth="1"/>
    <col min="9" max="9" width="4.5703125" customWidth="1"/>
    <col min="10" max="10" width="122.85546875" customWidth="1"/>
    <col min="11" max="12" width="8.28515625" customWidth="1"/>
    <col min="13" max="13" width="12.7109375" customWidth="1"/>
    <col min="14" max="15" width="8.28515625" customWidth="1"/>
    <col min="16" max="16" width="12.7109375" customWidth="1"/>
  </cols>
  <sheetData>
    <row r="1" spans="1:16" ht="18" x14ac:dyDescent="0.25">
      <c r="A1" s="379" t="s">
        <v>106</v>
      </c>
      <c r="B1" s="379"/>
      <c r="C1" s="379"/>
      <c r="D1" s="379"/>
      <c r="E1" s="379"/>
      <c r="F1" s="379"/>
      <c r="G1" s="379"/>
      <c r="H1" s="40" t="s">
        <v>12</v>
      </c>
      <c r="I1" s="174"/>
      <c r="J1" s="311"/>
      <c r="K1" s="174"/>
      <c r="L1" s="174"/>
      <c r="M1" s="174"/>
      <c r="N1" s="174"/>
      <c r="O1" s="174"/>
      <c r="P1" s="174"/>
    </row>
    <row r="2" spans="1:16" ht="15.75" x14ac:dyDescent="0.25">
      <c r="A2" s="333" t="s">
        <v>175</v>
      </c>
      <c r="B2" s="333"/>
      <c r="C2" s="333"/>
      <c r="D2" s="333"/>
      <c r="E2" s="333"/>
      <c r="F2" s="333"/>
      <c r="G2" s="333"/>
      <c r="H2" s="40" t="s">
        <v>12</v>
      </c>
      <c r="I2" s="175"/>
      <c r="J2" s="307"/>
      <c r="K2" s="175"/>
      <c r="L2" s="175"/>
      <c r="M2" s="175"/>
      <c r="N2" s="175"/>
      <c r="O2" s="175"/>
      <c r="P2" s="175"/>
    </row>
    <row r="3" spans="1:16" x14ac:dyDescent="0.25">
      <c r="A3" s="380" t="s">
        <v>1</v>
      </c>
      <c r="B3" s="380"/>
      <c r="C3" s="380"/>
      <c r="D3" s="380"/>
      <c r="E3" s="380"/>
      <c r="F3" s="380"/>
      <c r="G3" s="380"/>
      <c r="H3" s="40" t="s">
        <v>12</v>
      </c>
      <c r="I3" s="152"/>
      <c r="J3" s="307"/>
      <c r="K3" s="152"/>
      <c r="L3" s="152"/>
      <c r="M3" s="152"/>
      <c r="N3" s="152"/>
      <c r="O3" s="152"/>
      <c r="P3" s="152"/>
    </row>
    <row r="4" spans="1:16" x14ac:dyDescent="0.25">
      <c r="A4" s="381" t="s">
        <v>2</v>
      </c>
      <c r="B4" s="381"/>
      <c r="C4" s="381"/>
      <c r="D4" s="381"/>
      <c r="E4" s="381"/>
      <c r="F4" s="381"/>
      <c r="G4" s="381"/>
      <c r="H4" s="40" t="s">
        <v>12</v>
      </c>
      <c r="I4" s="151"/>
      <c r="J4" s="307"/>
      <c r="K4" s="151"/>
      <c r="L4" s="151"/>
      <c r="M4" s="151"/>
      <c r="N4" s="151"/>
      <c r="O4" s="151"/>
      <c r="P4" s="151"/>
    </row>
    <row r="5" spans="1:16" ht="15.75" thickBot="1" x14ac:dyDescent="0.3">
      <c r="A5" s="382"/>
      <c r="B5" s="382"/>
      <c r="C5" s="382"/>
      <c r="D5" s="382"/>
      <c r="E5" s="383"/>
      <c r="F5" s="383"/>
      <c r="G5" s="383"/>
      <c r="H5" s="40" t="s">
        <v>12</v>
      </c>
      <c r="I5" s="151"/>
      <c r="J5" s="307"/>
      <c r="K5" s="151"/>
      <c r="L5" s="151"/>
      <c r="M5" s="151"/>
      <c r="N5" s="151"/>
      <c r="O5" s="151"/>
      <c r="P5" s="151"/>
    </row>
    <row r="6" spans="1:16" s="41" customFormat="1" ht="29.25" customHeight="1" thickBot="1" x14ac:dyDescent="0.25">
      <c r="A6" s="39"/>
      <c r="B6" s="39"/>
      <c r="C6" s="39"/>
      <c r="D6" s="39"/>
      <c r="E6" s="56" t="s">
        <v>3</v>
      </c>
      <c r="F6" s="46" t="s">
        <v>98</v>
      </c>
      <c r="G6" s="45" t="s">
        <v>4</v>
      </c>
      <c r="H6" s="40" t="s">
        <v>12</v>
      </c>
      <c r="J6" s="63"/>
    </row>
    <row r="7" spans="1:16" s="41" customFormat="1" ht="12.75" x14ac:dyDescent="0.2">
      <c r="A7" s="50"/>
      <c r="B7" s="367" t="s">
        <v>5</v>
      </c>
      <c r="C7" s="367"/>
      <c r="D7" s="367"/>
      <c r="E7" s="49"/>
      <c r="F7" s="49"/>
      <c r="G7" s="59"/>
      <c r="H7" s="40" t="s">
        <v>12</v>
      </c>
      <c r="J7" s="150"/>
    </row>
    <row r="8" spans="1:16" s="41" customFormat="1" ht="12.75" x14ac:dyDescent="0.2">
      <c r="A8" s="132">
        <v>1</v>
      </c>
      <c r="B8" s="368" t="s">
        <v>240</v>
      </c>
      <c r="C8" s="369"/>
      <c r="D8" s="370"/>
      <c r="E8" s="133"/>
      <c r="F8" s="133"/>
      <c r="G8" s="134"/>
      <c r="H8" s="40" t="s">
        <v>12</v>
      </c>
      <c r="J8" s="150"/>
    </row>
    <row r="9" spans="1:16" s="41" customFormat="1" ht="31.5" customHeight="1" x14ac:dyDescent="0.2">
      <c r="A9" s="132"/>
      <c r="B9" s="371"/>
      <c r="C9" s="371"/>
      <c r="D9" s="372"/>
      <c r="E9" s="133"/>
      <c r="F9" s="133"/>
      <c r="G9" s="134">
        <v>4970</v>
      </c>
      <c r="H9" s="40" t="s">
        <v>12</v>
      </c>
      <c r="J9" s="150"/>
    </row>
    <row r="10" spans="1:16" s="41" customFormat="1" ht="12.75" x14ac:dyDescent="0.2">
      <c r="A10" s="132">
        <v>2</v>
      </c>
      <c r="B10" s="368" t="s">
        <v>229</v>
      </c>
      <c r="C10" s="373"/>
      <c r="D10" s="374"/>
      <c r="E10" s="133"/>
      <c r="F10" s="133"/>
      <c r="G10" s="134"/>
      <c r="H10" s="40" t="s">
        <v>12</v>
      </c>
      <c r="J10" s="150"/>
    </row>
    <row r="11" spans="1:16" s="41" customFormat="1" ht="50.25" customHeight="1" x14ac:dyDescent="0.2">
      <c r="A11" s="132"/>
      <c r="B11" s="375"/>
      <c r="C11" s="375"/>
      <c r="D11" s="376"/>
      <c r="E11" s="133"/>
      <c r="F11" s="133"/>
      <c r="G11" s="134">
        <v>1632</v>
      </c>
      <c r="H11" s="40" t="s">
        <v>12</v>
      </c>
      <c r="J11" s="150"/>
    </row>
    <row r="12" spans="1:16" s="41" customFormat="1" ht="52.5" customHeight="1" x14ac:dyDescent="0.2">
      <c r="A12" s="132">
        <v>3</v>
      </c>
      <c r="B12" s="377" t="s">
        <v>230</v>
      </c>
      <c r="C12" s="377"/>
      <c r="D12" s="378"/>
      <c r="E12" s="133"/>
      <c r="F12" s="133"/>
      <c r="G12" s="134">
        <v>13299</v>
      </c>
      <c r="H12" s="40" t="s">
        <v>12</v>
      </c>
      <c r="J12" s="150"/>
    </row>
    <row r="13" spans="1:16" s="41" customFormat="1" ht="38.25" customHeight="1" x14ac:dyDescent="0.2">
      <c r="A13" s="42">
        <v>4</v>
      </c>
      <c r="B13" s="358" t="s">
        <v>231</v>
      </c>
      <c r="C13" s="363"/>
      <c r="D13" s="364"/>
      <c r="E13" s="51"/>
      <c r="F13" s="51"/>
      <c r="G13" s="57">
        <v>1577</v>
      </c>
      <c r="H13" s="40" t="s">
        <v>12</v>
      </c>
      <c r="J13" s="150"/>
    </row>
    <row r="14" spans="1:16" s="41" customFormat="1" ht="63" customHeight="1" x14ac:dyDescent="0.2">
      <c r="A14" s="42">
        <v>5</v>
      </c>
      <c r="B14" s="358" t="s">
        <v>232</v>
      </c>
      <c r="C14" s="363"/>
      <c r="D14" s="364"/>
      <c r="E14" s="51" t="s">
        <v>40</v>
      </c>
      <c r="F14" s="51"/>
      <c r="G14" s="57">
        <v>1251</v>
      </c>
      <c r="H14" s="40" t="s">
        <v>12</v>
      </c>
      <c r="J14" s="150"/>
    </row>
    <row r="15" spans="1:16" s="41" customFormat="1" ht="13.15" x14ac:dyDescent="0.25">
      <c r="A15" s="43"/>
      <c r="B15" s="360" t="s">
        <v>41</v>
      </c>
      <c r="C15" s="360"/>
      <c r="D15" s="360"/>
      <c r="E15" s="48">
        <f>SUM(E9:E14)</f>
        <v>0</v>
      </c>
      <c r="F15" s="48">
        <f>SUM(F9:F14)</f>
        <v>0</v>
      </c>
      <c r="G15" s="58">
        <f>SUM(G9:G14)</f>
        <v>22729</v>
      </c>
      <c r="H15" s="40" t="s">
        <v>12</v>
      </c>
      <c r="J15" s="63"/>
    </row>
    <row r="16" spans="1:16" s="41" customFormat="1" ht="13.15" x14ac:dyDescent="0.25">
      <c r="A16" s="53"/>
      <c r="B16" s="365" t="s">
        <v>6</v>
      </c>
      <c r="C16" s="365"/>
      <c r="D16" s="366"/>
      <c r="E16" s="52"/>
      <c r="F16" s="52"/>
      <c r="G16" s="60"/>
      <c r="H16" s="40" t="s">
        <v>12</v>
      </c>
      <c r="J16" s="150"/>
    </row>
    <row r="17" spans="1:16" s="41" customFormat="1" ht="76.5" customHeight="1" x14ac:dyDescent="0.25">
      <c r="A17" s="42">
        <v>1</v>
      </c>
      <c r="B17" s="358" t="s">
        <v>233</v>
      </c>
      <c r="C17" s="363"/>
      <c r="D17" s="364"/>
      <c r="E17" s="51"/>
      <c r="F17" s="51"/>
      <c r="G17" s="57">
        <v>9141</v>
      </c>
      <c r="H17" s="40" t="s">
        <v>12</v>
      </c>
      <c r="J17" s="150"/>
    </row>
    <row r="18" spans="1:16" s="41" customFormat="1" ht="39" customHeight="1" x14ac:dyDescent="0.25">
      <c r="A18" s="42">
        <v>2</v>
      </c>
      <c r="B18" s="358" t="s">
        <v>234</v>
      </c>
      <c r="C18" s="363"/>
      <c r="D18" s="364"/>
      <c r="E18" s="51"/>
      <c r="F18" s="51"/>
      <c r="G18" s="57">
        <v>383</v>
      </c>
      <c r="H18" s="40" t="s">
        <v>12</v>
      </c>
      <c r="J18" s="150"/>
    </row>
    <row r="19" spans="1:16" s="41" customFormat="1" ht="13.15" x14ac:dyDescent="0.25">
      <c r="A19" s="43"/>
      <c r="B19" s="360" t="s">
        <v>42</v>
      </c>
      <c r="C19" s="360"/>
      <c r="D19" s="360"/>
      <c r="E19" s="48">
        <f>SUM(E17:E18)</f>
        <v>0</v>
      </c>
      <c r="F19" s="48">
        <f>SUM(F17:F18)</f>
        <v>0</v>
      </c>
      <c r="G19" s="58">
        <f>SUM(G17:G18)</f>
        <v>9524</v>
      </c>
      <c r="H19" s="40" t="s">
        <v>12</v>
      </c>
      <c r="J19" s="63"/>
    </row>
    <row r="20" spans="1:16" s="41" customFormat="1" ht="13.15" x14ac:dyDescent="0.25">
      <c r="A20" s="42"/>
      <c r="B20" s="356" t="s">
        <v>7</v>
      </c>
      <c r="C20" s="356"/>
      <c r="D20" s="357"/>
      <c r="E20" s="51"/>
      <c r="F20" s="51"/>
      <c r="G20" s="57"/>
      <c r="H20" s="40" t="s">
        <v>12</v>
      </c>
      <c r="J20" s="150"/>
    </row>
    <row r="21" spans="1:16" s="41" customFormat="1" ht="66.599999999999994" customHeight="1" x14ac:dyDescent="0.25">
      <c r="A21" s="42">
        <v>1</v>
      </c>
      <c r="B21" s="358" t="s">
        <v>239</v>
      </c>
      <c r="C21" s="363"/>
      <c r="D21" s="364"/>
      <c r="E21" s="51"/>
      <c r="F21" s="51"/>
      <c r="G21" s="57">
        <v>893</v>
      </c>
      <c r="H21" s="40" t="s">
        <v>12</v>
      </c>
      <c r="J21" s="150"/>
    </row>
    <row r="22" spans="1:16" s="41" customFormat="1" ht="13.15" x14ac:dyDescent="0.25">
      <c r="A22" s="43"/>
      <c r="B22" s="360" t="s">
        <v>43</v>
      </c>
      <c r="C22" s="360"/>
      <c r="D22" s="360"/>
      <c r="E22" s="48">
        <f>SUM(E20:E21)</f>
        <v>0</v>
      </c>
      <c r="F22" s="48">
        <f>SUM(F20:F21)</f>
        <v>0</v>
      </c>
      <c r="G22" s="58">
        <f>SUM(G20:G21)</f>
        <v>893</v>
      </c>
      <c r="H22" s="40" t="s">
        <v>12</v>
      </c>
      <c r="J22" s="63"/>
    </row>
    <row r="23" spans="1:16" s="41" customFormat="1" ht="13.15" x14ac:dyDescent="0.25">
      <c r="A23" s="42"/>
      <c r="B23" s="356" t="s">
        <v>8</v>
      </c>
      <c r="C23" s="356"/>
      <c r="D23" s="357"/>
      <c r="E23" s="51"/>
      <c r="F23" s="51"/>
      <c r="G23" s="57"/>
      <c r="H23" s="40" t="s">
        <v>12</v>
      </c>
      <c r="J23" s="150"/>
    </row>
    <row r="24" spans="1:16" s="41" customFormat="1" ht="54.75" customHeight="1" x14ac:dyDescent="0.25">
      <c r="A24" s="42">
        <v>1</v>
      </c>
      <c r="B24" s="358" t="s">
        <v>143</v>
      </c>
      <c r="C24" s="363"/>
      <c r="D24" s="364"/>
      <c r="E24" s="51"/>
      <c r="F24" s="51"/>
      <c r="G24" s="57">
        <v>173</v>
      </c>
      <c r="H24" s="40" t="s">
        <v>12</v>
      </c>
      <c r="J24" s="150"/>
    </row>
    <row r="25" spans="1:16" s="41" customFormat="1" ht="113.45" customHeight="1" x14ac:dyDescent="0.2">
      <c r="A25" s="42">
        <v>2</v>
      </c>
      <c r="B25" s="358" t="s">
        <v>235</v>
      </c>
      <c r="C25" s="363"/>
      <c r="D25" s="364"/>
      <c r="E25" s="51"/>
      <c r="F25" s="51"/>
      <c r="G25" s="57">
        <v>513</v>
      </c>
      <c r="H25" s="40" t="s">
        <v>12</v>
      </c>
      <c r="J25" s="150"/>
    </row>
    <row r="26" spans="1:16" s="41" customFormat="1" ht="12.75" x14ac:dyDescent="0.2">
      <c r="A26" s="43"/>
      <c r="B26" s="360" t="s">
        <v>44</v>
      </c>
      <c r="C26" s="360"/>
      <c r="D26" s="360"/>
      <c r="E26" s="48">
        <f>SUM(E24:E25)</f>
        <v>0</v>
      </c>
      <c r="F26" s="48">
        <f>SUM(F24:F25)</f>
        <v>0</v>
      </c>
      <c r="G26" s="58">
        <f>SUM(G24:G25)</f>
        <v>686</v>
      </c>
      <c r="H26" s="40" t="s">
        <v>12</v>
      </c>
      <c r="J26" s="63"/>
    </row>
    <row r="27" spans="1:16" s="41" customFormat="1" ht="12.75" x14ac:dyDescent="0.2">
      <c r="A27" s="42"/>
      <c r="B27" s="356" t="s">
        <v>120</v>
      </c>
      <c r="C27" s="356"/>
      <c r="D27" s="357"/>
      <c r="E27" s="51"/>
      <c r="F27" s="51"/>
      <c r="G27" s="57"/>
      <c r="H27" s="40" t="s">
        <v>12</v>
      </c>
      <c r="J27" s="150"/>
    </row>
    <row r="28" spans="1:16" s="41" customFormat="1" ht="64.150000000000006" customHeight="1" x14ac:dyDescent="0.2">
      <c r="A28" s="42">
        <v>1</v>
      </c>
      <c r="B28" s="358" t="s">
        <v>241</v>
      </c>
      <c r="C28" s="358"/>
      <c r="D28" s="359"/>
      <c r="E28" s="47">
        <v>0</v>
      </c>
      <c r="F28" s="47">
        <v>0</v>
      </c>
      <c r="G28" s="57">
        <v>-33832</v>
      </c>
      <c r="H28" s="40" t="s">
        <v>12</v>
      </c>
      <c r="J28" s="150"/>
    </row>
    <row r="29" spans="1:16" s="41" customFormat="1" ht="12.75" x14ac:dyDescent="0.2">
      <c r="A29" s="43"/>
      <c r="B29" s="360" t="s">
        <v>45</v>
      </c>
      <c r="C29" s="360"/>
      <c r="D29" s="360"/>
      <c r="E29" s="48">
        <f>SUM(E28:E28)</f>
        <v>0</v>
      </c>
      <c r="F29" s="48">
        <f>SUM(F28:F28)</f>
        <v>0</v>
      </c>
      <c r="G29" s="58">
        <f>SUM(G28:G28)</f>
        <v>-33832</v>
      </c>
      <c r="H29" s="40" t="s">
        <v>12</v>
      </c>
      <c r="J29" s="63"/>
    </row>
    <row r="30" spans="1:16" s="131" customFormat="1" ht="15.75" thickBot="1" x14ac:dyDescent="0.3">
      <c r="A30" s="54"/>
      <c r="B30" s="361" t="s">
        <v>107</v>
      </c>
      <c r="C30" s="361"/>
      <c r="D30" s="362"/>
      <c r="E30" s="55">
        <f>E29+E26+E22+E19+E15</f>
        <v>0</v>
      </c>
      <c r="F30" s="55">
        <f>F29+F26+F22+F19+F15</f>
        <v>0</v>
      </c>
      <c r="G30" s="61">
        <f>G29+G26+G22+G19+G15</f>
        <v>0</v>
      </c>
      <c r="H30" s="40" t="s">
        <v>12</v>
      </c>
      <c r="J30" s="63"/>
      <c r="K30"/>
      <c r="L30"/>
      <c r="M30"/>
      <c r="N30"/>
      <c r="O30"/>
      <c r="P30"/>
    </row>
    <row r="31" spans="1:16" s="131" customFormat="1" x14ac:dyDescent="0.25">
      <c r="H31" s="40" t="s">
        <v>13</v>
      </c>
      <c r="J31" s="150"/>
      <c r="K31"/>
      <c r="L31"/>
      <c r="M31"/>
      <c r="N31"/>
      <c r="O31"/>
      <c r="P31"/>
    </row>
    <row r="32" spans="1:16" s="131" customFormat="1" x14ac:dyDescent="0.25">
      <c r="H32" s="44"/>
      <c r="J32" s="150"/>
      <c r="K32"/>
      <c r="L32"/>
      <c r="M32"/>
      <c r="N32"/>
      <c r="O32"/>
      <c r="P32"/>
    </row>
  </sheetData>
  <mergeCells count="27">
    <mergeCell ref="A1:G1"/>
    <mergeCell ref="A2:G2"/>
    <mergeCell ref="A3:G3"/>
    <mergeCell ref="A4:G4"/>
    <mergeCell ref="A5:G5"/>
    <mergeCell ref="B13:D13"/>
    <mergeCell ref="B14:D14"/>
    <mergeCell ref="B15:D15"/>
    <mergeCell ref="B16:D16"/>
    <mergeCell ref="B7:D7"/>
    <mergeCell ref="B8:D9"/>
    <mergeCell ref="B10:D11"/>
    <mergeCell ref="B12:D12"/>
    <mergeCell ref="B22:D22"/>
    <mergeCell ref="B23:D23"/>
    <mergeCell ref="B24:D24"/>
    <mergeCell ref="B17:D17"/>
    <mergeCell ref="B18:D18"/>
    <mergeCell ref="B19:D19"/>
    <mergeCell ref="B20:D20"/>
    <mergeCell ref="B21:D21"/>
    <mergeCell ref="B27:D27"/>
    <mergeCell ref="B28:D28"/>
    <mergeCell ref="B29:D29"/>
    <mergeCell ref="B30:D30"/>
    <mergeCell ref="B25:D25"/>
    <mergeCell ref="B26:D26"/>
  </mergeCells>
  <printOptions horizontalCentered="1"/>
  <pageMargins left="0.7" right="0.7" top="0.65" bottom="0.46" header="0.3" footer="0.21"/>
  <pageSetup scale="90" fitToHeight="0" orientation="landscape" r:id="rId1"/>
  <headerFooter>
    <oddHeader>&amp;L&amp;"Arial,Bold"&amp;12E. Justification for Technical and Base Adjustments</oddHeader>
    <oddFooter>&amp;C&amp;"Arial,Regular"Exhibit E - Justification for Technical and Base Adjustments</oddFooter>
  </headerFooter>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A. Organization Chart</vt:lpstr>
      <vt:lpstr>B. Summ of Req._S&amp;E</vt:lpstr>
      <vt:lpstr>B. Summ of Req. by DU_S&amp;E</vt:lpstr>
      <vt:lpstr>B. Summ of Req._Const</vt:lpstr>
      <vt:lpstr>B. Summ of Req. by DU_Const</vt:lpstr>
      <vt:lpstr>C. Program Changes by DU</vt:lpstr>
      <vt:lpstr>D. Strategic Goals &amp; Object_S&amp;E</vt:lpstr>
      <vt:lpstr>D. Strategic Goals_Const</vt:lpstr>
      <vt:lpstr>E. ATB Justification</vt:lpstr>
      <vt:lpstr>F. 2013 Crosswalk</vt:lpstr>
      <vt:lpstr>G. 2014 Crosswalk</vt:lpstr>
      <vt:lpstr>H. Reimbursable Resources</vt:lpstr>
      <vt:lpstr>I. Permanent Positions </vt:lpstr>
      <vt:lpstr>J. Financial Analysis</vt:lpstr>
      <vt:lpstr>K. Summary by OC_S&amp;E</vt:lpstr>
      <vt:lpstr>K. Summary by OC_Con</vt:lpstr>
      <vt:lpstr>'A. Organization Chart'!Print_Area</vt:lpstr>
      <vt:lpstr>'B. Summ of Req. by DU_Const'!Print_Area</vt:lpstr>
      <vt:lpstr>'B. Summ of Req. by DU_S&amp;E'!Print_Area</vt:lpstr>
      <vt:lpstr>'B. Summ of Req._Const'!Print_Area</vt:lpstr>
      <vt:lpstr>'B. Summ of Req._S&amp;E'!Print_Area</vt:lpstr>
      <vt:lpstr>'C. Program Changes by DU'!Print_Area</vt:lpstr>
      <vt:lpstr>'D. Strategic Goals &amp; Object_S&amp;E'!Print_Area</vt:lpstr>
      <vt:lpstr>'D. Strategic Goals_Const'!Print_Area</vt:lpstr>
      <vt:lpstr>'E. ATB Justification'!Print_Area</vt:lpstr>
      <vt:lpstr>'F. 2013 Crosswalk'!Print_Area</vt:lpstr>
      <vt:lpstr>'G. 2014 Crosswalk'!Print_Area</vt:lpstr>
      <vt:lpstr>'H. Reimbursable Resources'!Print_Area</vt:lpstr>
      <vt:lpstr>'I. Permanent Positions '!Print_Area</vt:lpstr>
      <vt:lpstr>'J. Financial Analysis'!Print_Area</vt:lpstr>
      <vt:lpstr>'K. Summary by OC_Con'!Print_Area</vt:lpstr>
      <vt:lpstr>'K. Summary by OC_S&amp;E'!Print_Area</vt:lpstr>
      <vt:lpstr>'D. Strategic Goals &amp; Object_S&amp;E'!Print_Titles</vt:lpstr>
      <vt:lpstr>'E. ATB Justification'!Print_Titles</vt:lpstr>
      <vt:lpstr>'J. Financial Analysis'!Print_Titles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2014-03-04T21:43:48Z</cp:lastPrinted>
  <dcterms:created xsi:type="dcterms:W3CDTF">2012-12-06T16:08:32Z</dcterms:created>
  <dcterms:modified xsi:type="dcterms:W3CDTF">2014-03-07T16:09:28Z</dcterms:modified>
</cp:coreProperties>
</file>