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330" windowHeight="8565"/>
  </bookViews>
  <sheets>
    <sheet name="A" sheetId="1" r:id="rId1"/>
  </sheets>
  <definedNames>
    <definedName name="_EXP13">A!$AI$34:$AJ$41</definedName>
    <definedName name="_EXP2">A!$AI$34:$AJ$34</definedName>
    <definedName name="_MT13">A!$P$34:$P$41</definedName>
    <definedName name="_MTH2">A!$P$34:$P$34</definedName>
    <definedName name="DISB">A!$K$33:$O$33</definedName>
    <definedName name="DISB2">A!$K$34:$O$34</definedName>
    <definedName name="EXP">A!$AI$33:$AJ$33</definedName>
    <definedName name="MTH">A!$P$33:$P$33</definedName>
    <definedName name="_xlnm.Print_Titles" localSheetId="0">A!$3:$11</definedName>
  </definedNames>
  <calcPr calcId="145621"/>
</workbook>
</file>

<file path=xl/calcChain.xml><?xml version="1.0" encoding="utf-8"?>
<calcChain xmlns="http://schemas.openxmlformats.org/spreadsheetml/2006/main">
  <c r="W46" i="1" l="1"/>
  <c r="Q46" i="1"/>
  <c r="T53" i="1" l="1"/>
  <c r="AE50" i="1" l="1"/>
  <c r="W50" i="1"/>
  <c r="T50" i="1"/>
  <c r="Q50" i="1"/>
  <c r="AE52" i="1" l="1"/>
  <c r="T52" i="1"/>
  <c r="R52" i="1"/>
  <c r="Q51" i="1"/>
  <c r="Q52" i="1"/>
  <c r="T51" i="1"/>
  <c r="AE49" i="1"/>
  <c r="T49" i="1"/>
  <c r="Q49" i="1"/>
  <c r="AE25" i="1" l="1"/>
  <c r="T25" i="1"/>
  <c r="AE24" i="1"/>
  <c r="T24" i="1"/>
  <c r="R24" i="1"/>
  <c r="AE23" i="1"/>
  <c r="T23" i="1"/>
  <c r="AE44" i="1" l="1"/>
  <c r="T44" i="1"/>
  <c r="Q44" i="1"/>
  <c r="AE48" i="1" l="1"/>
  <c r="W48" i="1"/>
  <c r="T48" i="1"/>
  <c r="Q48" i="1"/>
  <c r="AE47" i="1"/>
  <c r="W47" i="1"/>
  <c r="T47" i="1"/>
  <c r="Q47" i="1"/>
  <c r="Q43" i="1" l="1"/>
  <c r="Q39" i="1"/>
  <c r="AE46" i="1" l="1"/>
  <c r="T46" i="1"/>
  <c r="AE45" i="1"/>
  <c r="W45" i="1"/>
  <c r="T45" i="1"/>
  <c r="Q45" i="1"/>
  <c r="AE43" i="1" l="1"/>
  <c r="W43" i="1"/>
  <c r="T43" i="1"/>
  <c r="AE42" i="1"/>
  <c r="T42" i="1"/>
  <c r="W22" i="1" l="1"/>
  <c r="T22" i="1"/>
  <c r="AE41" i="1" l="1"/>
  <c r="T41" i="1"/>
  <c r="Q41" i="1"/>
  <c r="AE40" i="1"/>
  <c r="T40" i="1"/>
  <c r="Q40" i="1"/>
  <c r="AE39" i="1" l="1"/>
  <c r="W37" i="1"/>
  <c r="T39" i="1"/>
  <c r="AE37" i="1" l="1"/>
  <c r="AE38" i="1"/>
  <c r="T38" i="1"/>
  <c r="Q38" i="1"/>
  <c r="T37" i="1"/>
  <c r="AE36" i="1" l="1"/>
  <c r="T36" i="1"/>
  <c r="R36" i="1"/>
  <c r="Q36" i="1"/>
  <c r="AE35" i="1"/>
  <c r="W35" i="1"/>
  <c r="T35" i="1"/>
  <c r="Q35" i="1"/>
  <c r="AE34" i="1" l="1"/>
  <c r="T34" i="1"/>
  <c r="Q34" i="1"/>
  <c r="AE33" i="1"/>
  <c r="T33" i="1"/>
  <c r="Q33" i="1"/>
  <c r="AE32" i="1" l="1"/>
  <c r="T32" i="1"/>
  <c r="R32" i="1"/>
  <c r="AE31" i="1" l="1"/>
  <c r="T31" i="1"/>
  <c r="T20" i="1" l="1"/>
  <c r="W18" i="1"/>
  <c r="T18" i="1"/>
  <c r="AE13" i="1"/>
  <c r="T13" i="1"/>
  <c r="R13" i="1"/>
  <c r="Q13" i="1"/>
  <c r="AU30" i="1" l="1"/>
  <c r="AT30" i="1"/>
  <c r="AO30" i="1"/>
  <c r="AM30" i="1"/>
  <c r="AJ30" i="1"/>
  <c r="AE30" i="1"/>
  <c r="AB30" i="1"/>
  <c r="AA30" i="1"/>
  <c r="Z30" i="1"/>
  <c r="Y30" i="1"/>
  <c r="X30" i="1"/>
  <c r="T30" i="1"/>
  <c r="S30" i="1"/>
  <c r="R30" i="1"/>
  <c r="Q30" i="1"/>
  <c r="O30" i="1"/>
  <c r="N30" i="1"/>
  <c r="M30" i="1"/>
  <c r="L30" i="1"/>
  <c r="K30" i="1"/>
  <c r="J30" i="1" l="1"/>
  <c r="I30" i="1"/>
  <c r="H30" i="1"/>
  <c r="AE29" i="1" l="1"/>
  <c r="T29" i="1"/>
  <c r="AE28" i="1"/>
  <c r="W28" i="1"/>
  <c r="T28" i="1"/>
  <c r="Q28" i="1"/>
  <c r="AE27" i="1"/>
  <c r="T27" i="1"/>
  <c r="Q27" i="1"/>
  <c r="W26" i="1"/>
  <c r="T26" i="1"/>
  <c r="Q26" i="1"/>
  <c r="AE21" i="1"/>
  <c r="W21" i="1"/>
  <c r="T21" i="1"/>
  <c r="AE19" i="1"/>
  <c r="W19" i="1"/>
  <c r="T19" i="1"/>
  <c r="AE17" i="1"/>
  <c r="W17" i="1"/>
  <c r="T17" i="1"/>
  <c r="Q17" i="1"/>
  <c r="AU16" i="1" l="1"/>
  <c r="AE16" i="1"/>
  <c r="T16" i="1"/>
  <c r="R16" i="1"/>
  <c r="Q12" i="1" l="1"/>
  <c r="Q14" i="1"/>
  <c r="Q15" i="1"/>
  <c r="AE15" i="1" l="1"/>
  <c r="W15" i="1"/>
  <c r="T15" i="1"/>
  <c r="Q9" i="1"/>
  <c r="AE14" i="1"/>
  <c r="T14" i="1"/>
  <c r="Q10" i="1" l="1"/>
  <c r="W12" i="1"/>
  <c r="T12" i="1"/>
  <c r="S10" i="1" l="1"/>
  <c r="R10" i="1"/>
  <c r="S9" i="1"/>
  <c r="R9" i="1"/>
  <c r="AZ39" i="1" l="1"/>
  <c r="AK39" i="1"/>
  <c r="AZ51" i="1" l="1"/>
  <c r="AZ27" i="1" l="1"/>
  <c r="AZ28" i="1"/>
  <c r="AZ29" i="1"/>
  <c r="AZ30" i="1"/>
  <c r="AZ31" i="1"/>
  <c r="AZ32" i="1"/>
  <c r="AZ33" i="1"/>
  <c r="AZ34" i="1"/>
  <c r="AZ35" i="1"/>
  <c r="AZ36" i="1"/>
  <c r="AZ37" i="1"/>
  <c r="AZ38" i="1"/>
  <c r="AZ40" i="1"/>
  <c r="AZ41" i="1"/>
  <c r="AZ42" i="1"/>
  <c r="AZ43" i="1"/>
  <c r="AZ44" i="1"/>
  <c r="AK36" i="1" l="1"/>
  <c r="AZ52" i="1" l="1"/>
  <c r="AK52" i="1"/>
  <c r="AK14" i="1" l="1"/>
  <c r="AE10" i="1"/>
  <c r="AK19" i="1"/>
  <c r="AZ53" i="1"/>
  <c r="AZ14" i="1"/>
  <c r="AZ15" i="1"/>
  <c r="W10" i="1"/>
  <c r="AK40" i="1"/>
  <c r="AZ50" i="1"/>
  <c r="AZ49" i="1"/>
  <c r="AZ48" i="1"/>
  <c r="AZ47" i="1"/>
  <c r="AZ46" i="1"/>
  <c r="AZ45" i="1"/>
  <c r="AZ26" i="1"/>
  <c r="AZ25" i="1"/>
  <c r="AZ24" i="1"/>
  <c r="AZ23" i="1"/>
  <c r="AZ22" i="1"/>
  <c r="AZ21" i="1"/>
  <c r="AZ20" i="1"/>
  <c r="AZ19" i="1"/>
  <c r="AZ18" i="1"/>
  <c r="AZ17" i="1"/>
  <c r="AZ16" i="1"/>
  <c r="AZ13" i="1"/>
  <c r="AZ12" i="1"/>
  <c r="AS9" i="1"/>
  <c r="AK42" i="1"/>
  <c r="AK27" i="1"/>
  <c r="AK18" i="1"/>
  <c r="AK44" i="1"/>
  <c r="AK53" i="1"/>
  <c r="AK51" i="1"/>
  <c r="AK50" i="1"/>
  <c r="AK49" i="1"/>
  <c r="AK48" i="1"/>
  <c r="AK47" i="1"/>
  <c r="AK46" i="1"/>
  <c r="AK45" i="1"/>
  <c r="AK43" i="1"/>
  <c r="AK41" i="1"/>
  <c r="AK38" i="1"/>
  <c r="AK37" i="1"/>
  <c r="AK35" i="1"/>
  <c r="AK34" i="1"/>
  <c r="AK33" i="1"/>
  <c r="AK32" i="1"/>
  <c r="AK31" i="1"/>
  <c r="AK30" i="1"/>
  <c r="AK29" i="1"/>
  <c r="AK28" i="1"/>
  <c r="AK26" i="1"/>
  <c r="AK25" i="1"/>
  <c r="AK24" i="1"/>
  <c r="AK23" i="1"/>
  <c r="AK22" i="1"/>
  <c r="AK21" i="1"/>
  <c r="AK20" i="1"/>
  <c r="AK17" i="1"/>
  <c r="AK16" i="1"/>
  <c r="AK15" i="1"/>
  <c r="AK13" i="1"/>
  <c r="H9" i="1"/>
  <c r="I9" i="1"/>
  <c r="J9" i="1"/>
  <c r="K9" i="1"/>
  <c r="L9" i="1"/>
  <c r="M9" i="1"/>
  <c r="N9" i="1"/>
  <c r="O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L9" i="1"/>
  <c r="AM9" i="1"/>
  <c r="AN9" i="1"/>
  <c r="AO9" i="1"/>
  <c r="AP9" i="1"/>
  <c r="AQ9" i="1"/>
  <c r="AR9" i="1"/>
  <c r="AT9" i="1"/>
  <c r="AU9" i="1"/>
  <c r="AV9" i="1"/>
  <c r="AW9" i="1"/>
  <c r="AX9" i="1"/>
  <c r="AY9" i="1"/>
  <c r="BA9" i="1"/>
  <c r="BB9" i="1"/>
  <c r="BC9" i="1"/>
  <c r="BD9" i="1"/>
  <c r="BE9" i="1"/>
  <c r="BF9" i="1"/>
  <c r="H10" i="1"/>
  <c r="I10" i="1"/>
  <c r="J10" i="1"/>
  <c r="K10" i="1"/>
  <c r="L10" i="1"/>
  <c r="M10" i="1"/>
  <c r="N10" i="1"/>
  <c r="O10" i="1"/>
  <c r="P10" i="1"/>
  <c r="T10" i="1"/>
  <c r="U10" i="1"/>
  <c r="V10" i="1"/>
  <c r="X10" i="1"/>
  <c r="Y10" i="1"/>
  <c r="Z10" i="1"/>
  <c r="AA10" i="1"/>
  <c r="AB10" i="1"/>
  <c r="AC10" i="1"/>
  <c r="AD10" i="1"/>
  <c r="AF10" i="1"/>
  <c r="AG10" i="1"/>
  <c r="AH10" i="1"/>
  <c r="AI10" i="1"/>
  <c r="AJ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BA10" i="1"/>
  <c r="BB10" i="1"/>
  <c r="BC10" i="1"/>
  <c r="BD10" i="1"/>
  <c r="BE10" i="1"/>
  <c r="BF10" i="1"/>
  <c r="AZ10" i="1" l="1"/>
  <c r="AZ9" i="1"/>
  <c r="AK10" i="1"/>
</calcChain>
</file>

<file path=xl/sharedStrings.xml><?xml version="1.0" encoding="utf-8"?>
<sst xmlns="http://schemas.openxmlformats.org/spreadsheetml/2006/main" count="377" uniqueCount="269">
  <si>
    <t xml:space="preserve"> </t>
  </si>
  <si>
    <t xml:space="preserve">              PAYOUT TO NONPRIORITY UNSECUREDS</t>
  </si>
  <si>
    <t xml:space="preserve">            EMPLOYEE EXPENSES</t>
  </si>
  <si>
    <t># MONTHS</t>
  </si>
  <si>
    <t>#CASES</t>
  </si>
  <si>
    <t>$ FEES</t>
  </si>
  <si>
    <t>% EXP.</t>
  </si>
  <si>
    <t>&gt; 60 MOS.</t>
  </si>
  <si>
    <t>0%</t>
  </si>
  <si>
    <t>1-39%</t>
  </si>
  <si>
    <t>40%-69%</t>
  </si>
  <si>
    <t>70% or more</t>
  </si>
  <si>
    <t>ACCTG</t>
  </si>
  <si>
    <t>ACCUM.</t>
  </si>
  <si>
    <t>ACTIVE</t>
  </si>
  <si>
    <t>ACTUAL</t>
  </si>
  <si>
    <t>ADJUST.</t>
  </si>
  <si>
    <t>ADJUSTMENTS</t>
  </si>
  <si>
    <t>ALBANY</t>
  </si>
  <si>
    <t>APPT.</t>
  </si>
  <si>
    <t>AR</t>
  </si>
  <si>
    <t>ARTHUR</t>
  </si>
  <si>
    <t>ATTORNEYS</t>
  </si>
  <si>
    <t>AUGUSTA</t>
  </si>
  <si>
    <t>AUSTIN</t>
  </si>
  <si>
    <t>AVG % FEE</t>
  </si>
  <si>
    <t>BALANCE</t>
  </si>
  <si>
    <t>BEFORE</t>
  </si>
  <si>
    <t>BENEFITS</t>
  </si>
  <si>
    <t>BENTON</t>
  </si>
  <si>
    <t>BOOKKEEPING</t>
  </si>
  <si>
    <t>BOZEMAN</t>
  </si>
  <si>
    <t>C. KENNETH</t>
  </si>
  <si>
    <t>CA</t>
  </si>
  <si>
    <t>CAROL</t>
  </si>
  <si>
    <t>CASES</t>
  </si>
  <si>
    <t xml:space="preserve">CASES </t>
  </si>
  <si>
    <t>CENTRAL</t>
  </si>
  <si>
    <t>CHATTANOOGA</t>
  </si>
  <si>
    <t>CITY</t>
  </si>
  <si>
    <t>CLOSED</t>
  </si>
  <si>
    <t>COMPLETE</t>
  </si>
  <si>
    <t>COMP'N</t>
  </si>
  <si>
    <t>COMPUTER</t>
  </si>
  <si>
    <t>CON-</t>
  </si>
  <si>
    <t>CONSTR.</t>
  </si>
  <si>
    <t>CONTRIB.</t>
  </si>
  <si>
    <t>CONVERT.</t>
  </si>
  <si>
    <t>CRED'R</t>
  </si>
  <si>
    <t>CURRENT YR</t>
  </si>
  <si>
    <t>DANIEL</t>
  </si>
  <si>
    <t>DEBTOR</t>
  </si>
  <si>
    <t>DEFICIT</t>
  </si>
  <si>
    <t>DENNIS</t>
  </si>
  <si>
    <t>DISBURS</t>
  </si>
  <si>
    <t>DISBURSE.</t>
  </si>
  <si>
    <t>DISCHARGE</t>
  </si>
  <si>
    <t>DISMISS.</t>
  </si>
  <si>
    <t>DISTRICT</t>
  </si>
  <si>
    <t>EASTERN</t>
  </si>
  <si>
    <t>EASTERN/WESTERN</t>
  </si>
  <si>
    <t>EAU CLAIRE</t>
  </si>
  <si>
    <t>EDWARD</t>
  </si>
  <si>
    <t>EMPLOYER'S</t>
  </si>
  <si>
    <t>ENDING</t>
  </si>
  <si>
    <t>EQUIP/</t>
  </si>
  <si>
    <t>ERIC</t>
  </si>
  <si>
    <t>EXCESS</t>
  </si>
  <si>
    <t xml:space="preserve">EXP. FUND </t>
  </si>
  <si>
    <t>EXPENSES</t>
  </si>
  <si>
    <t>FILED</t>
  </si>
  <si>
    <t xml:space="preserve">FIRST NAME </t>
  </si>
  <si>
    <t>FL</t>
  </si>
  <si>
    <t>FL AND GA</t>
  </si>
  <si>
    <t>FORREST</t>
  </si>
  <si>
    <t>FRANK</t>
  </si>
  <si>
    <t>FRESNO</t>
  </si>
  <si>
    <t>FURN</t>
  </si>
  <si>
    <t>G. RAY</t>
  </si>
  <si>
    <t>GA</t>
  </si>
  <si>
    <t>GREAT FALLS</t>
  </si>
  <si>
    <t>GROSS</t>
  </si>
  <si>
    <t>HARDSHIP</t>
  </si>
  <si>
    <t>HAROLD</t>
  </si>
  <si>
    <t>HELD</t>
  </si>
  <si>
    <t>HENRY</t>
  </si>
  <si>
    <t>HOT SPRINGS NATL PRK</t>
  </si>
  <si>
    <t>IA</t>
  </si>
  <si>
    <t>ID</t>
  </si>
  <si>
    <t>IL</t>
  </si>
  <si>
    <t>IN</t>
  </si>
  <si>
    <t>INTEREST</t>
  </si>
  <si>
    <t>JACKSON</t>
  </si>
  <si>
    <t>JAMES</t>
  </si>
  <si>
    <t>JAN</t>
  </si>
  <si>
    <t>JANA</t>
  </si>
  <si>
    <t>JOSEPH</t>
  </si>
  <si>
    <t>KS</t>
  </si>
  <si>
    <t>LA</t>
  </si>
  <si>
    <t>LAST NAME</t>
  </si>
  <si>
    <t>LONNIE</t>
  </si>
  <si>
    <t>LORI</t>
  </si>
  <si>
    <t>LUBBOCK</t>
  </si>
  <si>
    <t>M. NELSON</t>
  </si>
  <si>
    <t>MADISON</t>
  </si>
  <si>
    <t>MARION</t>
  </si>
  <si>
    <t>MARK</t>
  </si>
  <si>
    <t>MERLE</t>
  </si>
  <si>
    <t>MERRILLVILLE</t>
  </si>
  <si>
    <t>MI</t>
  </si>
  <si>
    <t>MICHAEL</t>
  </si>
  <si>
    <t>MIDDLE</t>
  </si>
  <si>
    <t>MIS-</t>
  </si>
  <si>
    <t>MOODY</t>
  </si>
  <si>
    <t>MS</t>
  </si>
  <si>
    <t>MT</t>
  </si>
  <si>
    <t>N.A.</t>
  </si>
  <si>
    <t>NASHVILLE</t>
  </si>
  <si>
    <t>NATIONAL AVERAGES</t>
  </si>
  <si>
    <t>NATIONAL TOTALS</t>
  </si>
  <si>
    <t>NE</t>
  </si>
  <si>
    <t>NEW</t>
  </si>
  <si>
    <t>NO</t>
  </si>
  <si>
    <t>NORTH&amp;EAST</t>
  </si>
  <si>
    <t>NORTH&amp;MIDDLE</t>
  </si>
  <si>
    <t>NORTHERN</t>
  </si>
  <si>
    <t>NORTHERN/SOUTHERN</t>
  </si>
  <si>
    <t>NY</t>
  </si>
  <si>
    <t>OFFICE</t>
  </si>
  <si>
    <t>OH</t>
  </si>
  <si>
    <t>OK</t>
  </si>
  <si>
    <t>OMAHA</t>
  </si>
  <si>
    <t>OPER.</t>
  </si>
  <si>
    <t>OTHER</t>
  </si>
  <si>
    <t>OVERLAND PARK</t>
  </si>
  <si>
    <t>PAUL</t>
  </si>
  <si>
    <t>PAYABLE</t>
  </si>
  <si>
    <t>PAYMENTS</t>
  </si>
  <si>
    <t>PEORIA</t>
  </si>
  <si>
    <t>PLAN</t>
  </si>
  <si>
    <t>PLANO</t>
  </si>
  <si>
    <t>POSTAGE/</t>
  </si>
  <si>
    <t>PR</t>
  </si>
  <si>
    <t>PR AND VI</t>
  </si>
  <si>
    <t>PRIORITY</t>
  </si>
  <si>
    <t>PURCHASE</t>
  </si>
  <si>
    <t>RANDALL</t>
  </si>
  <si>
    <t>REC.</t>
  </si>
  <si>
    <t>RECEIPTS</t>
  </si>
  <si>
    <t>REFUNDS</t>
  </si>
  <si>
    <t xml:space="preserve">REG </t>
  </si>
  <si>
    <t>RELATE</t>
  </si>
  <si>
    <t>RELATED</t>
  </si>
  <si>
    <t>RENEE</t>
  </si>
  <si>
    <t>RENT AND</t>
  </si>
  <si>
    <t>RENTAL</t>
  </si>
  <si>
    <t>RICHARD</t>
  </si>
  <si>
    <t>ROBERT</t>
  </si>
  <si>
    <t>SACRAMENTO</t>
  </si>
  <si>
    <t>SAGINAW</t>
  </si>
  <si>
    <t>SALARIES</t>
  </si>
  <si>
    <t>SAN ANTONIO</t>
  </si>
  <si>
    <t>SAN JUAN</t>
  </si>
  <si>
    <t>SANDPOINT</t>
  </si>
  <si>
    <t>SECURED</t>
  </si>
  <si>
    <t>SERVICES</t>
  </si>
  <si>
    <t>SEYMOUR</t>
  </si>
  <si>
    <t>SOUTHERN</t>
  </si>
  <si>
    <t xml:space="preserve">SOUTHERN </t>
  </si>
  <si>
    <t>SOUTHERN/NORTHERN</t>
  </si>
  <si>
    <t>SOUTHERN/WESTERN</t>
  </si>
  <si>
    <t>STATE</t>
  </si>
  <si>
    <t>SULTING</t>
  </si>
  <si>
    <t>SUPPLIES</t>
  </si>
  <si>
    <t>SYRACUSE</t>
  </si>
  <si>
    <t>TELEPH/</t>
  </si>
  <si>
    <t>THOMAS</t>
  </si>
  <si>
    <t>TN</t>
  </si>
  <si>
    <t>TO ANTHR.</t>
  </si>
  <si>
    <t>TO USTP</t>
  </si>
  <si>
    <t>TOTAL</t>
  </si>
  <si>
    <t>TRAINING</t>
  </si>
  <si>
    <t>TRANSFERRED</t>
  </si>
  <si>
    <t>TRUST FUND</t>
  </si>
  <si>
    <t>TRUSTEE</t>
  </si>
  <si>
    <t>TULSA</t>
  </si>
  <si>
    <t>TX</t>
  </si>
  <si>
    <t>UNSEC. CLAIMS</t>
  </si>
  <si>
    <t>UNSEC'D</t>
  </si>
  <si>
    <t>UTILS</t>
  </si>
  <si>
    <t>VT</t>
  </si>
  <si>
    <t>WALTER</t>
  </si>
  <si>
    <t>WATERLOO</t>
  </si>
  <si>
    <t>WEST./MIDDLE/EAST.</t>
  </si>
  <si>
    <t>WESTERN</t>
  </si>
  <si>
    <t>WI</t>
  </si>
  <si>
    <t>WICHITA</t>
  </si>
  <si>
    <t>WILLIAM</t>
  </si>
  <si>
    <t>WORTHINGTON</t>
  </si>
  <si>
    <t>CA AND NEVADA</t>
  </si>
  <si>
    <t>HAILEY</t>
  </si>
  <si>
    <t>EASTERN/NORTHERN</t>
  </si>
  <si>
    <t>ATLANTA</t>
  </si>
  <si>
    <t>PORTAGE</t>
  </si>
  <si>
    <t>NORMAN</t>
  </si>
  <si>
    <t>NORWICH</t>
  </si>
  <si>
    <t>DAVID</t>
  </si>
  <si>
    <t>FOSTER CITY</t>
  </si>
  <si>
    <t>J. FORD</t>
  </si>
  <si>
    <t>NANCY</t>
  </si>
  <si>
    <t>JOSE</t>
  </si>
  <si>
    <t>JON</t>
  </si>
  <si>
    <t>BRADENTON</t>
  </si>
  <si>
    <t>VIRGINIA</t>
  </si>
  <si>
    <t>SEATTLE</t>
  </si>
  <si>
    <t>WA</t>
  </si>
  <si>
    <t>OR/WA</t>
  </si>
  <si>
    <t>ST. JOSEPH</t>
  </si>
  <si>
    <t>MILWAUKEE</t>
  </si>
  <si>
    <t>CHAPTER  12  STANDING TRUSTEE FY13 ANNUAL REPORTS</t>
  </si>
  <si>
    <t>LEONARD</t>
  </si>
  <si>
    <t>TOTAL DISBURSEMENTS</t>
  </si>
  <si>
    <t>NON-FEE DISBURSEMENTS</t>
  </si>
  <si>
    <t>DISBURSEMENTS under $450,000</t>
  </si>
  <si>
    <t>DISBURSEMENTS over $450,000</t>
  </si>
  <si>
    <t>END 13</t>
  </si>
  <si>
    <t>START 13</t>
  </si>
  <si>
    <t>Sensenich</t>
  </si>
  <si>
    <t>Swimelar</t>
  </si>
  <si>
    <t>Barkley, Jr.</t>
  </si>
  <si>
    <t>Waters</t>
  </si>
  <si>
    <t>Countryman</t>
  </si>
  <si>
    <t>O'Cheskey</t>
  </si>
  <si>
    <t>Hendren</t>
  </si>
  <si>
    <t>McGinnes</t>
  </si>
  <si>
    <t>Viegelahn</t>
  </si>
  <si>
    <t>Hildebrand</t>
  </si>
  <si>
    <t>Still</t>
  </si>
  <si>
    <t>Chrystler</t>
  </si>
  <si>
    <t>McDonald</t>
  </si>
  <si>
    <t>Pees</t>
  </si>
  <si>
    <t>Black</t>
  </si>
  <si>
    <t>Chael</t>
  </si>
  <si>
    <t>Clark</t>
  </si>
  <si>
    <t>Kearney</t>
  </si>
  <si>
    <t>Chatterton/Harring</t>
  </si>
  <si>
    <t>Freund</t>
  </si>
  <si>
    <t>Grossman</t>
  </si>
  <si>
    <t>Dunbar</t>
  </si>
  <si>
    <t>Overcash</t>
  </si>
  <si>
    <t>Williams</t>
  </si>
  <si>
    <t>Burchard</t>
  </si>
  <si>
    <t>Enmark</t>
  </si>
  <si>
    <t>Johnson</t>
  </si>
  <si>
    <t>Welsh</t>
  </si>
  <si>
    <t>Burdette</t>
  </si>
  <si>
    <t>Elsaesser</t>
  </si>
  <si>
    <t>Hoeger</t>
  </si>
  <si>
    <t>Hymas</t>
  </si>
  <si>
    <t>Volk</t>
  </si>
  <si>
    <t>Eck</t>
  </si>
  <si>
    <t>Nazar</t>
  </si>
  <si>
    <t>Rajala</t>
  </si>
  <si>
    <t>Williams-DeKalb</t>
  </si>
  <si>
    <t>Carrion</t>
  </si>
  <si>
    <t>Kelley</t>
  </si>
  <si>
    <t>Waage</t>
  </si>
  <si>
    <t>Wallace</t>
  </si>
  <si>
    <t>Whaley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</si>
</sst>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$-409]\ #,##0"/>
    <numFmt numFmtId="165" formatCode="#,##0.0"/>
    <numFmt numFmtId="166" formatCode="0.0"/>
    <numFmt numFmtId="167" formatCode="0.0%"/>
  </numFmts>
  <fonts count="9" x14ac:knownFonts="1">
    <font>
      <sz val="12"/>
      <name val="Arial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8"/>
      </patternFill>
    </fill>
    <fill>
      <patternFill patternType="solid">
        <fgColor indexed="12"/>
        <bgColor indexed="8"/>
      </patternFill>
    </fill>
    <fill>
      <patternFill patternType="solid">
        <fgColor indexed="9"/>
        <bgColor indexed="10"/>
      </patternFill>
    </fill>
    <fill>
      <patternFill patternType="solid">
        <fgColor indexed="8"/>
        <bgColor indexed="10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0"/>
      </patternFill>
    </fill>
  </fills>
  <borders count="16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/>
      <bottom/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3" fontId="0" fillId="2" borderId="0" xfId="0" applyNumberFormat="1" applyFill="1"/>
    <xf numFmtId="0" fontId="4" fillId="2" borderId="1" xfId="0" applyFont="1" applyFill="1" applyBorder="1"/>
    <xf numFmtId="3" fontId="2" fillId="2" borderId="0" xfId="0" applyNumberFormat="1" applyFont="1" applyFill="1"/>
    <xf numFmtId="3" fontId="4" fillId="2" borderId="1" xfId="0" applyNumberFormat="1" applyFont="1" applyFill="1" applyBorder="1"/>
    <xf numFmtId="0" fontId="2" fillId="2" borderId="1" xfId="0" applyFont="1" applyFill="1" applyBorder="1"/>
    <xf numFmtId="166" fontId="4" fillId="2" borderId="1" xfId="0" applyNumberFormat="1" applyFont="1" applyFill="1" applyBorder="1"/>
    <xf numFmtId="10" fontId="4" fillId="2" borderId="1" xfId="0" applyNumberFormat="1" applyFont="1" applyFill="1" applyBorder="1"/>
    <xf numFmtId="167" fontId="4" fillId="2" borderId="1" xfId="0" applyNumberFormat="1" applyFont="1" applyFill="1" applyBorder="1"/>
    <xf numFmtId="0" fontId="2" fillId="2" borderId="3" xfId="0" applyFont="1" applyFill="1" applyBorder="1"/>
    <xf numFmtId="166" fontId="2" fillId="2" borderId="0" xfId="0" applyNumberFormat="1" applyFont="1" applyFill="1"/>
    <xf numFmtId="10" fontId="2" fillId="2" borderId="0" xfId="0" applyNumberFormat="1" applyFont="1" applyFill="1"/>
    <xf numFmtId="0" fontId="4" fillId="2" borderId="6" xfId="0" applyFont="1" applyFill="1" applyBorder="1"/>
    <xf numFmtId="0" fontId="4" fillId="2" borderId="7" xfId="0" applyFont="1" applyFill="1" applyBorder="1"/>
    <xf numFmtId="0" fontId="4" fillId="4" borderId="9" xfId="0" applyFont="1" applyFill="1" applyBorder="1"/>
    <xf numFmtId="3" fontId="4" fillId="2" borderId="0" xfId="0" applyNumberFormat="1" applyFont="1" applyFill="1"/>
    <xf numFmtId="0" fontId="1" fillId="2" borderId="0" xfId="0" applyFont="1" applyFill="1"/>
    <xf numFmtId="0" fontId="4" fillId="2" borderId="3" xfId="0" applyFont="1" applyFill="1" applyBorder="1"/>
    <xf numFmtId="10" fontId="4" fillId="2" borderId="0" xfId="0" applyNumberFormat="1" applyFont="1" applyFill="1"/>
    <xf numFmtId="0" fontId="4" fillId="2" borderId="10" xfId="0" applyFont="1" applyFill="1" applyBorder="1"/>
    <xf numFmtId="3" fontId="0" fillId="2" borderId="0" xfId="0" applyNumberFormat="1" applyFill="1" applyAlignment="1">
      <alignment horizontal="centerContinuous"/>
    </xf>
    <xf numFmtId="3" fontId="2" fillId="2" borderId="0" xfId="0" applyNumberFormat="1" applyFont="1" applyFill="1" applyAlignment="1"/>
    <xf numFmtId="3" fontId="4" fillId="2" borderId="0" xfId="0" applyNumberFormat="1" applyFont="1" applyFill="1" applyBorder="1"/>
    <xf numFmtId="0" fontId="5" fillId="2" borderId="0" xfId="0" applyFont="1" applyFill="1" applyAlignment="1"/>
    <xf numFmtId="3" fontId="2" fillId="2" borderId="0" xfId="0" applyNumberFormat="1" applyFont="1" applyFill="1" applyAlignment="1">
      <alignment horizontal="center"/>
    </xf>
    <xf numFmtId="22" fontId="2" fillId="2" borderId="0" xfId="0" applyNumberFormat="1" applyFont="1" applyFill="1" applyAlignment="1">
      <alignment horizontal="center"/>
    </xf>
    <xf numFmtId="10" fontId="4" fillId="2" borderId="0" xfId="0" applyNumberFormat="1" applyFont="1" applyFill="1" applyBorder="1"/>
    <xf numFmtId="166" fontId="4" fillId="2" borderId="0" xfId="0" applyNumberFormat="1" applyFont="1" applyFill="1" applyBorder="1"/>
    <xf numFmtId="166" fontId="4" fillId="2" borderId="0" xfId="0" applyNumberFormat="1" applyFont="1" applyFill="1"/>
    <xf numFmtId="3" fontId="2" fillId="6" borderId="0" xfId="0" applyNumberFormat="1" applyFont="1" applyFill="1"/>
    <xf numFmtId="3" fontId="0" fillId="6" borderId="0" xfId="0" applyNumberFormat="1" applyFill="1"/>
    <xf numFmtId="3" fontId="6" fillId="6" borderId="0" xfId="0" applyNumberFormat="1" applyFont="1" applyFill="1"/>
    <xf numFmtId="1" fontId="7" fillId="2" borderId="1" xfId="0" applyNumberFormat="1" applyFont="1" applyFill="1" applyBorder="1"/>
    <xf numFmtId="164" fontId="7" fillId="2" borderId="1" xfId="0" applyNumberFormat="1" applyFont="1" applyFill="1" applyBorder="1"/>
    <xf numFmtId="3" fontId="7" fillId="2" borderId="1" xfId="0" applyNumberFormat="1" applyFont="1" applyFill="1" applyBorder="1"/>
    <xf numFmtId="166" fontId="7" fillId="2" borderId="1" xfId="0" applyNumberFormat="1" applyFont="1" applyFill="1" applyBorder="1"/>
    <xf numFmtId="3" fontId="7" fillId="5" borderId="1" xfId="0" applyNumberFormat="1" applyFont="1" applyFill="1" applyBorder="1"/>
    <xf numFmtId="10" fontId="7" fillId="5" borderId="1" xfId="0" applyNumberFormat="1" applyFont="1" applyFill="1" applyBorder="1"/>
    <xf numFmtId="167" fontId="7" fillId="2" borderId="1" xfId="0" applyNumberFormat="1" applyFont="1" applyFill="1" applyBorder="1"/>
    <xf numFmtId="37" fontId="7" fillId="2" borderId="1" xfId="0" applyNumberFormat="1" applyFont="1" applyFill="1" applyBorder="1"/>
    <xf numFmtId="10" fontId="7" fillId="2" borderId="1" xfId="0" applyNumberFormat="1" applyFont="1" applyFill="1" applyBorder="1"/>
    <xf numFmtId="1" fontId="7" fillId="6" borderId="1" xfId="0" applyNumberFormat="1" applyFont="1" applyFill="1" applyBorder="1"/>
    <xf numFmtId="164" fontId="7" fillId="6" borderId="1" xfId="0" applyNumberFormat="1" applyFont="1" applyFill="1" applyBorder="1"/>
    <xf numFmtId="3" fontId="7" fillId="6" borderId="1" xfId="0" applyNumberFormat="1" applyFont="1" applyFill="1" applyBorder="1"/>
    <xf numFmtId="166" fontId="7" fillId="6" borderId="1" xfId="0" applyNumberFormat="1" applyFont="1" applyFill="1" applyBorder="1"/>
    <xf numFmtId="10" fontId="7" fillId="6" borderId="1" xfId="0" applyNumberFormat="1" applyFont="1" applyFill="1" applyBorder="1"/>
    <xf numFmtId="167" fontId="7" fillId="6" borderId="1" xfId="0" applyNumberFormat="1" applyFont="1" applyFill="1" applyBorder="1"/>
    <xf numFmtId="37" fontId="7" fillId="6" borderId="1" xfId="0" applyNumberFormat="1" applyFont="1" applyFill="1" applyBorder="1"/>
    <xf numFmtId="3" fontId="7" fillId="2" borderId="7" xfId="0" applyNumberFormat="1" applyFont="1" applyFill="1" applyBorder="1"/>
    <xf numFmtId="166" fontId="7" fillId="2" borderId="7" xfId="0" applyNumberFormat="1" applyFont="1" applyFill="1" applyBorder="1"/>
    <xf numFmtId="3" fontId="7" fillId="0" borderId="1" xfId="0" applyNumberFormat="1" applyFont="1" applyBorder="1"/>
    <xf numFmtId="10" fontId="7" fillId="0" borderId="1" xfId="0" applyNumberFormat="1" applyFont="1" applyBorder="1"/>
    <xf numFmtId="0" fontId="7" fillId="0" borderId="15" xfId="0" applyFont="1" applyBorder="1"/>
    <xf numFmtId="3" fontId="7" fillId="7" borderId="1" xfId="0" applyNumberFormat="1" applyFont="1" applyFill="1" applyBorder="1"/>
    <xf numFmtId="10" fontId="7" fillId="7" borderId="1" xfId="0" applyNumberFormat="1" applyFont="1" applyFill="1" applyBorder="1"/>
    <xf numFmtId="3" fontId="7" fillId="8" borderId="1" xfId="0" applyNumberFormat="1" applyFont="1" applyFill="1" applyBorder="1"/>
    <xf numFmtId="10" fontId="7" fillId="8" borderId="1" xfId="0" applyNumberFormat="1" applyFont="1" applyFill="1" applyBorder="1"/>
    <xf numFmtId="0" fontId="1" fillId="2" borderId="6" xfId="0" applyFont="1" applyFill="1" applyBorder="1"/>
    <xf numFmtId="0" fontId="1" fillId="2" borderId="2" xfId="0" applyFont="1" applyFill="1" applyBorder="1"/>
    <xf numFmtId="0" fontId="3" fillId="2" borderId="2" xfId="0" applyFont="1" applyFill="1" applyBorder="1"/>
    <xf numFmtId="0" fontId="1" fillId="2" borderId="5" xfId="0" applyFont="1" applyFill="1" applyBorder="1"/>
    <xf numFmtId="0" fontId="1" fillId="2" borderId="10" xfId="0" applyFont="1" applyFill="1" applyBorder="1"/>
    <xf numFmtId="0" fontId="1" fillId="2" borderId="7" xfId="0" applyFont="1" applyFill="1" applyBorder="1"/>
    <xf numFmtId="0" fontId="1" fillId="2" borderId="3" xfId="0" applyFont="1" applyFill="1" applyBorder="1"/>
    <xf numFmtId="0" fontId="3" fillId="2" borderId="3" xfId="0" applyFont="1" applyFill="1" applyBorder="1"/>
    <xf numFmtId="0" fontId="1" fillId="2" borderId="8" xfId="0" applyFont="1" applyFill="1" applyBorder="1"/>
    <xf numFmtId="0" fontId="1" fillId="2" borderId="4" xfId="0" applyFont="1" applyFill="1" applyBorder="1"/>
    <xf numFmtId="0" fontId="3" fillId="2" borderId="4" xfId="0" applyFont="1" applyFill="1" applyBorder="1"/>
    <xf numFmtId="3" fontId="1" fillId="2" borderId="11" xfId="0" applyNumberFormat="1" applyFont="1" applyFill="1" applyBorder="1"/>
    <xf numFmtId="3" fontId="1" fillId="2" borderId="12" xfId="0" applyNumberFormat="1" applyFont="1" applyFill="1" applyBorder="1"/>
    <xf numFmtId="3" fontId="1" fillId="2" borderId="2" xfId="0" applyNumberFormat="1" applyFont="1" applyFill="1" applyBorder="1"/>
    <xf numFmtId="3" fontId="8" fillId="2" borderId="13" xfId="0" applyNumberFormat="1" applyFont="1" applyFill="1" applyBorder="1" applyAlignment="1">
      <alignment horizontal="center"/>
    </xf>
    <xf numFmtId="3" fontId="8" fillId="2" borderId="14" xfId="0" applyNumberFormat="1" applyFont="1" applyFill="1" applyBorder="1" applyAlignment="1">
      <alignment horizontal="center"/>
    </xf>
    <xf numFmtId="3" fontId="8" fillId="2" borderId="4" xfId="0" applyNumberFormat="1" applyFont="1" applyFill="1" applyBorder="1" applyAlignment="1">
      <alignment horizontal="center"/>
    </xf>
    <xf numFmtId="3" fontId="8" fillId="2" borderId="0" xfId="0" applyNumberFormat="1" applyFont="1" applyFill="1" applyAlignment="1">
      <alignment horizontal="center"/>
    </xf>
    <xf numFmtId="3" fontId="1" fillId="2" borderId="0" xfId="0" applyNumberFormat="1" applyFont="1" applyFill="1"/>
    <xf numFmtId="3" fontId="1" fillId="2" borderId="0" xfId="0" applyNumberFormat="1" applyFont="1" applyFill="1" applyAlignment="1">
      <alignment horizontal="centerContinuous"/>
    </xf>
    <xf numFmtId="22" fontId="1" fillId="2" borderId="0" xfId="0" applyNumberFormat="1" applyFont="1" applyFill="1"/>
    <xf numFmtId="3" fontId="8" fillId="2" borderId="0" xfId="0" applyNumberFormat="1" applyFont="1" applyFill="1"/>
    <xf numFmtId="3" fontId="1" fillId="2" borderId="0" xfId="0" applyNumberFormat="1" applyFont="1" applyFill="1" applyBorder="1"/>
    <xf numFmtId="3" fontId="1" fillId="2" borderId="0" xfId="0" applyNumberFormat="1" applyFont="1" applyFill="1" applyAlignment="1">
      <alignment horizontal="center"/>
    </xf>
    <xf numFmtId="0" fontId="1" fillId="4" borderId="5" xfId="0" applyFont="1" applyFill="1" applyBorder="1"/>
    <xf numFmtId="0" fontId="3" fillId="3" borderId="5" xfId="0" applyFont="1" applyFill="1" applyBorder="1"/>
    <xf numFmtId="3" fontId="1" fillId="4" borderId="1" xfId="0" applyNumberFormat="1" applyFont="1" applyFill="1" applyBorder="1"/>
    <xf numFmtId="0" fontId="1" fillId="4" borderId="1" xfId="0" applyFont="1" applyFill="1" applyBorder="1"/>
    <xf numFmtId="165" fontId="1" fillId="4" borderId="1" xfId="0" applyNumberFormat="1" applyFont="1" applyFill="1" applyBorder="1"/>
    <xf numFmtId="10" fontId="1" fillId="4" borderId="1" xfId="0" applyNumberFormat="1" applyFont="1" applyFill="1" applyBorder="1"/>
    <xf numFmtId="167" fontId="1" fillId="4" borderId="1" xfId="0" applyNumberFormat="1" applyFont="1" applyFill="1" applyBorder="1"/>
    <xf numFmtId="0" fontId="7" fillId="6" borderId="1" xfId="0" applyFont="1" applyFill="1" applyBorder="1"/>
    <xf numFmtId="37" fontId="1" fillId="4" borderId="1" xfId="0" applyNumberFormat="1" applyFont="1" applyFill="1" applyBorder="1"/>
    <xf numFmtId="14" fontId="2" fillId="2" borderId="0" xfId="0" applyNumberFormat="1" applyFont="1" applyFill="1" applyAlignment="1">
      <alignment horizontal="left"/>
    </xf>
    <xf numFmtId="3" fontId="8" fillId="2" borderId="0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left" wrapText="1"/>
    </xf>
    <xf numFmtId="0" fontId="1" fillId="2" borderId="7" xfId="0" applyFont="1" applyFill="1" applyBorder="1" applyAlignment="1">
      <alignment horizontal="left" wrapText="1"/>
    </xf>
    <xf numFmtId="0" fontId="1" fillId="2" borderId="8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left" wrapText="1"/>
    </xf>
    <xf numFmtId="0" fontId="1" fillId="6" borderId="7" xfId="0" applyFont="1" applyFill="1" applyBorder="1" applyAlignment="1">
      <alignment horizontal="left" wrapText="1"/>
    </xf>
    <xf numFmtId="0" fontId="1" fillId="6" borderId="8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C0C0C0"/>
      <rgbColor rgb="00000000"/>
      <rgbColor rgb="00FFFFFF"/>
      <rgbColor rgb="00E6E6E6"/>
      <rgbColor rgb="0000FF00"/>
      <rgbColor rgb="000000FF"/>
      <rgbColor rgb="0000FFFF"/>
      <rgbColor rgb="00FF00FF"/>
      <rgbColor rgb="00FFFF00"/>
      <rgbColor rgb="00800080"/>
      <rgbColor rgb="00008000"/>
      <rgbColor rgb="00808000"/>
      <rgbColor rgb="00000080"/>
      <rgbColor rgb="00800000"/>
      <rgbColor rgb="00008080"/>
      <rgbColor rgb="00FFFFFF"/>
      <rgbColor rgb="00000050"/>
      <rgbColor rgb="00FFE0C0"/>
      <rgbColor rgb="00B0B0FF"/>
      <rgbColor rgb="00C890FF"/>
      <rgbColor rgb="00A040FF"/>
      <rgbColor rgb="006000C0"/>
      <rgbColor rgb="00005050"/>
      <rgbColor rgb="000080FF"/>
      <rgbColor rgb="00A0D0FF"/>
      <rgbColor rgb="00B0FFFF"/>
      <rgbColor rgb="0070FFFF"/>
      <rgbColor rgb="00005000"/>
      <rgbColor rgb="00B0FFB0"/>
      <rgbColor rgb="00FFFF90"/>
      <rgbColor rgb="00FFCC00"/>
      <rgbColor rgb="00500000"/>
      <rgbColor rgb="00FFB0B0"/>
      <rgbColor rgb="00FFB870"/>
      <rgbColor rgb="00FF8000"/>
      <rgbColor rgb="00FF6000"/>
      <rgbColor rgb="00500050"/>
      <rgbColor rgb="00FFB0FF"/>
      <rgbColor rgb="00FFA0D0"/>
      <rgbColor rgb="00FF80C0"/>
      <rgbColor rgb="00FF0080"/>
      <rgbColor rgb="00909090"/>
      <rgbColor rgb="00E0B090"/>
      <rgbColor rgb="00B07050"/>
      <rgbColor rgb="00FFFFFF"/>
      <rgbColor rgb="00FFFFFF"/>
      <rgbColor rgb="00FFFFFF"/>
      <rgbColor rgb="00804040"/>
      <rgbColor rgb="00200000"/>
      <rgbColor rgb="00400000"/>
      <rgbColor rgb="00600000"/>
      <rgbColor rgb="00800000"/>
      <rgbColor rgb="009F0000"/>
      <rgbColor rgb="00BF0000"/>
      <rgbColor rgb="00DF0000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Y89"/>
  <sheetViews>
    <sheetView showGridLines="0" tabSelected="1" zoomScaleNormal="100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D12" sqref="D12"/>
    </sheetView>
  </sheetViews>
  <sheetFormatPr defaultColWidth="8" defaultRowHeight="15" x14ac:dyDescent="0.2"/>
  <cols>
    <col min="1" max="1" width="6.5546875" style="2" customWidth="1"/>
    <col min="2" max="2" width="20.33203125" style="2" customWidth="1"/>
    <col min="3" max="3" width="12.33203125" style="2" hidden="1" customWidth="1"/>
    <col min="4" max="4" width="17.33203125" style="2" customWidth="1"/>
    <col min="5" max="5" width="7.109375" style="2" customWidth="1"/>
    <col min="6" max="6" width="21.21875" style="2" customWidth="1"/>
    <col min="7" max="7" width="16.44140625" style="2" customWidth="1"/>
    <col min="8" max="9" width="11" style="2" customWidth="1"/>
    <col min="10" max="10" width="10" style="2" customWidth="1"/>
    <col min="11" max="11" width="10.88671875" style="2" customWidth="1"/>
    <col min="12" max="12" width="9.21875" style="2" customWidth="1"/>
    <col min="13" max="13" width="9.88671875" style="2" customWidth="1"/>
    <col min="14" max="14" width="9" style="2" customWidth="1"/>
    <col min="15" max="15" width="13.77734375" style="2" customWidth="1"/>
    <col min="16" max="16" width="10.33203125" style="2" customWidth="1"/>
    <col min="17" max="17" width="14.109375" style="2" customWidth="1"/>
    <col min="18" max="18" width="14.21875" style="2" customWidth="1"/>
    <col min="19" max="19" width="13.6640625" style="2" customWidth="1"/>
    <col min="20" max="20" width="11.33203125" style="2" customWidth="1"/>
    <col min="21" max="21" width="11.109375" style="2" customWidth="1"/>
    <col min="22" max="22" width="8.33203125" style="2" customWidth="1"/>
    <col min="23" max="23" width="7.6640625" style="2" customWidth="1"/>
    <col min="24" max="24" width="10.44140625" style="2" customWidth="1"/>
    <col min="25" max="25" width="10.21875" style="2" customWidth="1"/>
    <col min="26" max="26" width="10" style="2" customWidth="1"/>
    <col min="27" max="27" width="10.33203125" style="2" customWidth="1"/>
    <col min="28" max="28" width="11.109375" style="2" customWidth="1"/>
    <col min="29" max="29" width="11.44140625" style="2" customWidth="1"/>
    <col min="30" max="31" width="10.44140625" style="2" customWidth="1"/>
    <col min="32" max="32" width="7.77734375" style="2" customWidth="1"/>
    <col min="33" max="33" width="8.44140625" style="2" customWidth="1"/>
    <col min="34" max="34" width="8.6640625" style="2" customWidth="1"/>
    <col min="35" max="35" width="9.6640625" style="2" customWidth="1"/>
    <col min="36" max="36" width="9.109375" style="2" customWidth="1"/>
    <col min="37" max="37" width="8.77734375" style="2" customWidth="1"/>
    <col min="38" max="38" width="7.6640625" style="2" customWidth="1"/>
    <col min="39" max="39" width="9.44140625" style="2" customWidth="1"/>
    <col min="40" max="40" width="8.88671875" style="2" customWidth="1"/>
    <col min="41" max="41" width="11.33203125" style="2" customWidth="1"/>
    <col min="42" max="42" width="9.77734375" style="2" hidden="1" customWidth="1"/>
    <col min="43" max="43" width="9.77734375" style="2" customWidth="1"/>
    <col min="44" max="44" width="8.44140625" style="2" customWidth="1"/>
    <col min="45" max="45" width="9" style="2" customWidth="1"/>
    <col min="46" max="46" width="7.6640625" style="2" customWidth="1"/>
    <col min="47" max="47" width="9.5546875" style="2" customWidth="1"/>
    <col min="48" max="48" width="10.5546875" style="2" customWidth="1"/>
    <col min="49" max="49" width="9" style="2" customWidth="1"/>
    <col min="50" max="51" width="8.88671875" style="2" customWidth="1"/>
    <col min="52" max="52" width="9.6640625" style="2" customWidth="1"/>
    <col min="53" max="53" width="7.6640625" style="2" customWidth="1"/>
    <col min="54" max="54" width="9.44140625" style="2" customWidth="1"/>
    <col min="55" max="57" width="7.6640625" style="2" customWidth="1"/>
    <col min="58" max="58" width="11.88671875" style="2" customWidth="1"/>
    <col min="59" max="233" width="7.6640625" style="2" customWidth="1"/>
  </cols>
  <sheetData>
    <row r="1" spans="1:233" x14ac:dyDescent="0.2"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</row>
    <row r="2" spans="1:233" ht="15.75" x14ac:dyDescent="0.25">
      <c r="A2" s="22" t="s">
        <v>219</v>
      </c>
      <c r="B2" s="19"/>
      <c r="C2" s="20"/>
      <c r="D2" s="22"/>
      <c r="E2" s="19"/>
      <c r="F2" s="19"/>
      <c r="G2" s="19"/>
      <c r="H2" s="75"/>
      <c r="I2" s="75"/>
      <c r="J2" s="74"/>
      <c r="K2" s="74"/>
      <c r="L2" s="74"/>
      <c r="M2" s="74"/>
      <c r="N2" s="74"/>
      <c r="O2" s="74"/>
      <c r="P2" s="74"/>
      <c r="Q2" s="74"/>
      <c r="R2" s="74"/>
      <c r="S2" s="76"/>
      <c r="T2" s="76"/>
      <c r="U2" s="15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15"/>
      <c r="AH2" s="74"/>
      <c r="AI2" s="74"/>
      <c r="AJ2" s="74"/>
      <c r="AK2" s="74"/>
      <c r="AL2" s="78"/>
      <c r="AM2" s="78"/>
      <c r="AN2" s="78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</row>
    <row r="3" spans="1:233" x14ac:dyDescent="0.2"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7"/>
      <c r="T3" s="77"/>
      <c r="U3" s="74"/>
      <c r="V3" s="76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8"/>
      <c r="AM3" s="78"/>
      <c r="AN3" s="78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67" t="s">
        <v>1</v>
      </c>
      <c r="BC3" s="68"/>
      <c r="BD3" s="68"/>
      <c r="BE3" s="68"/>
      <c r="BF3" s="69"/>
    </row>
    <row r="4" spans="1:233" x14ac:dyDescent="0.2">
      <c r="A4" s="89">
        <v>41724</v>
      </c>
      <c r="B4" s="23"/>
      <c r="C4" s="23"/>
      <c r="D4" s="24"/>
      <c r="E4" s="23"/>
      <c r="F4" s="23"/>
      <c r="G4" s="2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1"/>
      <c r="AM4" s="90"/>
      <c r="AN4" s="90"/>
      <c r="AO4" s="73"/>
      <c r="AP4" s="79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0"/>
      <c r="BC4" s="71"/>
      <c r="BD4" s="71"/>
      <c r="BE4" s="71"/>
      <c r="BF4" s="72"/>
      <c r="BG4" s="23"/>
    </row>
    <row r="5" spans="1:233" ht="15.6" customHeight="1" x14ac:dyDescent="0.2">
      <c r="A5" s="56"/>
      <c r="B5" s="57"/>
      <c r="C5" s="58"/>
      <c r="D5" s="57"/>
      <c r="E5" s="57"/>
      <c r="F5" s="57"/>
      <c r="G5" s="57"/>
      <c r="H5" s="57" t="s">
        <v>81</v>
      </c>
      <c r="I5" s="57" t="s">
        <v>180</v>
      </c>
      <c r="J5" s="57"/>
      <c r="K5" s="57" t="s">
        <v>164</v>
      </c>
      <c r="L5" s="57" t="s">
        <v>144</v>
      </c>
      <c r="M5" s="57" t="s">
        <v>188</v>
      </c>
      <c r="N5" s="57"/>
      <c r="O5" s="91" t="s">
        <v>221</v>
      </c>
      <c r="P5" s="57" t="s">
        <v>3</v>
      </c>
      <c r="Q5" s="94" t="s">
        <v>222</v>
      </c>
      <c r="R5" s="94" t="s">
        <v>223</v>
      </c>
      <c r="S5" s="94" t="s">
        <v>224</v>
      </c>
      <c r="T5" s="57" t="s">
        <v>25</v>
      </c>
      <c r="U5" s="57"/>
      <c r="V5" s="57"/>
      <c r="W5" s="57"/>
      <c r="X5" s="59" t="s">
        <v>2</v>
      </c>
      <c r="Y5" s="59"/>
      <c r="Z5" s="60"/>
      <c r="AA5" s="57" t="s">
        <v>128</v>
      </c>
      <c r="AB5" s="57" t="s">
        <v>30</v>
      </c>
      <c r="AC5" s="57"/>
      <c r="AD5" s="57" t="s">
        <v>44</v>
      </c>
      <c r="AE5" s="57" t="s">
        <v>175</v>
      </c>
      <c r="AF5" s="57"/>
      <c r="AG5" s="57" t="s">
        <v>65</v>
      </c>
      <c r="AH5" s="57" t="s">
        <v>65</v>
      </c>
      <c r="AI5" s="57"/>
      <c r="AJ5" s="57"/>
      <c r="AK5" s="57"/>
      <c r="AL5" s="57"/>
      <c r="AM5" s="56"/>
      <c r="AN5" s="57"/>
      <c r="AO5" s="57" t="s">
        <v>64</v>
      </c>
      <c r="AP5" s="57" t="s">
        <v>67</v>
      </c>
      <c r="AQ5" s="57"/>
      <c r="AR5" s="57" t="s">
        <v>13</v>
      </c>
      <c r="AS5" s="57" t="s">
        <v>36</v>
      </c>
      <c r="AT5" s="57" t="s">
        <v>121</v>
      </c>
      <c r="AU5" s="57"/>
      <c r="AV5" s="57" t="s">
        <v>35</v>
      </c>
      <c r="AW5" s="57"/>
      <c r="AX5" s="57" t="s">
        <v>40</v>
      </c>
      <c r="AY5" s="57" t="s">
        <v>40</v>
      </c>
      <c r="AZ5" s="57"/>
      <c r="BA5" s="56"/>
      <c r="BB5" s="57"/>
      <c r="BC5" s="57"/>
      <c r="BD5" s="57"/>
      <c r="BE5" s="57"/>
      <c r="BF5" s="57"/>
    </row>
    <row r="6" spans="1:233" x14ac:dyDescent="0.2">
      <c r="A6" s="61"/>
      <c r="B6" s="62" t="s">
        <v>184</v>
      </c>
      <c r="C6" s="63" t="s">
        <v>184</v>
      </c>
      <c r="D6" s="62"/>
      <c r="E6" s="62"/>
      <c r="F6" s="62" t="s">
        <v>58</v>
      </c>
      <c r="G6" s="62" t="s">
        <v>171</v>
      </c>
      <c r="H6" s="62" t="s">
        <v>51</v>
      </c>
      <c r="I6" s="62" t="s">
        <v>183</v>
      </c>
      <c r="J6" s="62"/>
      <c r="K6" s="62" t="s">
        <v>48</v>
      </c>
      <c r="L6" s="62" t="s">
        <v>48</v>
      </c>
      <c r="M6" s="62" t="s">
        <v>48</v>
      </c>
      <c r="N6" s="62" t="s">
        <v>51</v>
      </c>
      <c r="O6" s="92"/>
      <c r="P6" s="62" t="s">
        <v>148</v>
      </c>
      <c r="Q6" s="95"/>
      <c r="R6" s="95"/>
      <c r="S6" s="95"/>
      <c r="T6" s="62" t="s">
        <v>27</v>
      </c>
      <c r="U6" s="62" t="s">
        <v>5</v>
      </c>
      <c r="V6" s="62" t="s">
        <v>45</v>
      </c>
      <c r="W6" s="62"/>
      <c r="X6" s="62"/>
      <c r="Y6" s="62" t="s">
        <v>63</v>
      </c>
      <c r="Z6" s="62"/>
      <c r="AA6" s="62" t="s">
        <v>154</v>
      </c>
      <c r="AB6" s="62" t="s">
        <v>12</v>
      </c>
      <c r="AC6" s="62" t="s">
        <v>43</v>
      </c>
      <c r="AD6" s="62" t="s">
        <v>172</v>
      </c>
      <c r="AE6" s="62" t="s">
        <v>141</v>
      </c>
      <c r="AF6" s="62"/>
      <c r="AG6" s="62" t="s">
        <v>77</v>
      </c>
      <c r="AH6" s="62" t="s">
        <v>77</v>
      </c>
      <c r="AI6" s="62" t="s">
        <v>180</v>
      </c>
      <c r="AJ6" s="62" t="s">
        <v>180</v>
      </c>
      <c r="AK6" s="62" t="s">
        <v>151</v>
      </c>
      <c r="AL6" s="62" t="s">
        <v>112</v>
      </c>
      <c r="AM6" s="62" t="s">
        <v>15</v>
      </c>
      <c r="AN6" s="62" t="s">
        <v>67</v>
      </c>
      <c r="AO6" s="62" t="s">
        <v>68</v>
      </c>
      <c r="AP6" s="62" t="s">
        <v>136</v>
      </c>
      <c r="AQ6" s="62" t="s">
        <v>49</v>
      </c>
      <c r="AR6" s="62" t="s">
        <v>132</v>
      </c>
      <c r="AS6" s="62" t="s">
        <v>14</v>
      </c>
      <c r="AT6" s="62" t="s">
        <v>35</v>
      </c>
      <c r="AU6" s="62" t="s">
        <v>133</v>
      </c>
      <c r="AV6" s="62" t="s">
        <v>47</v>
      </c>
      <c r="AW6" s="62" t="s">
        <v>35</v>
      </c>
      <c r="AX6" s="62" t="s">
        <v>41</v>
      </c>
      <c r="AY6" s="62" t="s">
        <v>82</v>
      </c>
      <c r="AZ6" s="62" t="s">
        <v>4</v>
      </c>
      <c r="BA6" s="61" t="s">
        <v>35</v>
      </c>
      <c r="BB6" s="62"/>
      <c r="BC6" s="62"/>
      <c r="BD6" s="62"/>
      <c r="BE6" s="62"/>
      <c r="BF6" s="62" t="s">
        <v>122</v>
      </c>
    </row>
    <row r="7" spans="1:233" ht="15" customHeight="1" x14ac:dyDescent="0.2">
      <c r="A7" s="64" t="s">
        <v>150</v>
      </c>
      <c r="B7" s="65" t="s">
        <v>99</v>
      </c>
      <c r="C7" s="66" t="s">
        <v>71</v>
      </c>
      <c r="D7" s="65" t="s">
        <v>39</v>
      </c>
      <c r="E7" s="65" t="s">
        <v>171</v>
      </c>
      <c r="F7" s="65" t="s">
        <v>19</v>
      </c>
      <c r="G7" s="65" t="s">
        <v>19</v>
      </c>
      <c r="H7" s="65" t="s">
        <v>137</v>
      </c>
      <c r="I7" s="65" t="s">
        <v>148</v>
      </c>
      <c r="J7" s="65" t="s">
        <v>149</v>
      </c>
      <c r="K7" s="65" t="s">
        <v>54</v>
      </c>
      <c r="L7" s="65" t="s">
        <v>54</v>
      </c>
      <c r="M7" s="65" t="s">
        <v>54</v>
      </c>
      <c r="N7" s="65" t="s">
        <v>22</v>
      </c>
      <c r="O7" s="93"/>
      <c r="P7" s="65" t="s">
        <v>84</v>
      </c>
      <c r="Q7" s="96"/>
      <c r="R7" s="96"/>
      <c r="S7" s="96"/>
      <c r="T7" s="65" t="s">
        <v>17</v>
      </c>
      <c r="U7" s="65" t="s">
        <v>182</v>
      </c>
      <c r="V7" s="65" t="s">
        <v>147</v>
      </c>
      <c r="W7" s="65" t="s">
        <v>91</v>
      </c>
      <c r="X7" s="65" t="s">
        <v>160</v>
      </c>
      <c r="Y7" s="65" t="s">
        <v>46</v>
      </c>
      <c r="Z7" s="65" t="s">
        <v>28</v>
      </c>
      <c r="AA7" s="65" t="s">
        <v>189</v>
      </c>
      <c r="AB7" s="65" t="s">
        <v>165</v>
      </c>
      <c r="AC7" s="65" t="s">
        <v>165</v>
      </c>
      <c r="AD7" s="65" t="s">
        <v>165</v>
      </c>
      <c r="AE7" s="65" t="s">
        <v>173</v>
      </c>
      <c r="AF7" s="65" t="s">
        <v>181</v>
      </c>
      <c r="AG7" s="65" t="s">
        <v>155</v>
      </c>
      <c r="AH7" s="65" t="s">
        <v>145</v>
      </c>
      <c r="AI7" s="65" t="s">
        <v>152</v>
      </c>
      <c r="AJ7" s="65" t="s">
        <v>69</v>
      </c>
      <c r="AK7" s="65" t="s">
        <v>6</v>
      </c>
      <c r="AL7" s="65" t="s">
        <v>55</v>
      </c>
      <c r="AM7" s="65" t="s">
        <v>42</v>
      </c>
      <c r="AN7" s="65" t="s">
        <v>42</v>
      </c>
      <c r="AO7" s="65" t="s">
        <v>26</v>
      </c>
      <c r="AP7" s="65" t="s">
        <v>179</v>
      </c>
      <c r="AQ7" s="65" t="s">
        <v>52</v>
      </c>
      <c r="AR7" s="65" t="s">
        <v>52</v>
      </c>
      <c r="AS7" s="65" t="s">
        <v>226</v>
      </c>
      <c r="AT7" s="65" t="s">
        <v>70</v>
      </c>
      <c r="AU7" s="65" t="s">
        <v>16</v>
      </c>
      <c r="AV7" s="65" t="s">
        <v>178</v>
      </c>
      <c r="AW7" s="65" t="s">
        <v>57</v>
      </c>
      <c r="AX7" s="65" t="s">
        <v>139</v>
      </c>
      <c r="AY7" s="65" t="s">
        <v>56</v>
      </c>
      <c r="AZ7" s="65" t="s">
        <v>225</v>
      </c>
      <c r="BA7" s="61" t="s">
        <v>7</v>
      </c>
      <c r="BB7" s="62" t="s">
        <v>11</v>
      </c>
      <c r="BC7" s="62" t="s">
        <v>10</v>
      </c>
      <c r="BD7" s="62" t="s">
        <v>9</v>
      </c>
      <c r="BE7" s="62" t="s">
        <v>8</v>
      </c>
      <c r="BF7" s="62" t="s">
        <v>187</v>
      </c>
    </row>
    <row r="8" spans="1:233" x14ac:dyDescent="0.2">
      <c r="A8" s="12"/>
      <c r="B8" s="16"/>
      <c r="C8" s="8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1"/>
      <c r="BB8" s="18"/>
      <c r="BC8" s="18"/>
      <c r="BD8" s="18"/>
      <c r="BE8" s="18"/>
      <c r="BF8" s="18"/>
    </row>
    <row r="9" spans="1:233" x14ac:dyDescent="0.2">
      <c r="A9" s="13"/>
      <c r="B9" s="80" t="s">
        <v>119</v>
      </c>
      <c r="C9" s="81"/>
      <c r="D9" s="80"/>
      <c r="E9" s="80"/>
      <c r="F9" s="80"/>
      <c r="G9" s="80"/>
      <c r="H9" s="82">
        <f t="shared" ref="H9:O9" si="0">SUM(H12:H53)</f>
        <v>44321440</v>
      </c>
      <c r="I9" s="82">
        <f t="shared" si="0"/>
        <v>44686725</v>
      </c>
      <c r="J9" s="82">
        <f t="shared" si="0"/>
        <v>2476247</v>
      </c>
      <c r="K9" s="82">
        <f t="shared" si="0"/>
        <v>31013480</v>
      </c>
      <c r="L9" s="82">
        <f t="shared" si="0"/>
        <v>1353685</v>
      </c>
      <c r="M9" s="82">
        <f t="shared" si="0"/>
        <v>4704133</v>
      </c>
      <c r="N9" s="82">
        <f t="shared" si="0"/>
        <v>1711087</v>
      </c>
      <c r="O9" s="82">
        <f t="shared" si="0"/>
        <v>43963182</v>
      </c>
      <c r="P9" s="83" t="s">
        <v>116</v>
      </c>
      <c r="Q9" s="82">
        <f t="shared" ref="Q9" si="1">SUM(Q12:Q53)</f>
        <v>3075569</v>
      </c>
      <c r="R9" s="82">
        <f t="shared" ref="R9:S9" si="2">SUM(R12:R53)</f>
        <v>33932671</v>
      </c>
      <c r="S9" s="82">
        <f t="shared" si="2"/>
        <v>6103284</v>
      </c>
      <c r="T9" s="83" t="s">
        <v>116</v>
      </c>
      <c r="U9" s="82">
        <f t="shared" ref="U9:AJ9" si="3">SUM(U12:U53)</f>
        <v>2892603</v>
      </c>
      <c r="V9" s="82">
        <f t="shared" si="3"/>
        <v>6998120</v>
      </c>
      <c r="W9" s="82">
        <f t="shared" si="3"/>
        <v>7874.05</v>
      </c>
      <c r="X9" s="82">
        <f t="shared" si="3"/>
        <v>447780</v>
      </c>
      <c r="Y9" s="82">
        <f t="shared" si="3"/>
        <v>33383</v>
      </c>
      <c r="Z9" s="82">
        <f t="shared" si="3"/>
        <v>19295</v>
      </c>
      <c r="AA9" s="82">
        <f t="shared" si="3"/>
        <v>85731</v>
      </c>
      <c r="AB9" s="82">
        <f t="shared" si="3"/>
        <v>96415</v>
      </c>
      <c r="AC9" s="82">
        <f t="shared" si="3"/>
        <v>27164</v>
      </c>
      <c r="AD9" s="82">
        <f t="shared" si="3"/>
        <v>112985</v>
      </c>
      <c r="AE9" s="82">
        <f t="shared" si="3"/>
        <v>77074</v>
      </c>
      <c r="AF9" s="82">
        <f t="shared" si="3"/>
        <v>33340</v>
      </c>
      <c r="AG9" s="82">
        <f t="shared" si="3"/>
        <v>6676</v>
      </c>
      <c r="AH9" s="82">
        <f t="shared" si="3"/>
        <v>4827</v>
      </c>
      <c r="AI9" s="82">
        <f t="shared" si="3"/>
        <v>278566</v>
      </c>
      <c r="AJ9" s="82">
        <f t="shared" si="3"/>
        <v>1108786</v>
      </c>
      <c r="AK9" s="83" t="s">
        <v>116</v>
      </c>
      <c r="AL9" s="82">
        <f t="shared" ref="AL9:BF9" si="4">SUM(AL12:AL53)</f>
        <v>0</v>
      </c>
      <c r="AM9" s="82">
        <f t="shared" si="4"/>
        <v>2205691</v>
      </c>
      <c r="AN9" s="82">
        <f t="shared" si="4"/>
        <v>29442</v>
      </c>
      <c r="AO9" s="82">
        <f t="shared" si="4"/>
        <v>539868</v>
      </c>
      <c r="AP9" s="82">
        <f t="shared" si="4"/>
        <v>0</v>
      </c>
      <c r="AQ9" s="88">
        <f t="shared" si="4"/>
        <v>-21918</v>
      </c>
      <c r="AR9" s="88">
        <f t="shared" si="4"/>
        <v>-2414</v>
      </c>
      <c r="AS9" s="88">
        <f t="shared" si="4"/>
        <v>1103</v>
      </c>
      <c r="AT9" s="88">
        <f t="shared" si="4"/>
        <v>270</v>
      </c>
      <c r="AU9" s="88">
        <f t="shared" si="4"/>
        <v>-5</v>
      </c>
      <c r="AV9" s="88">
        <f t="shared" si="4"/>
        <v>-48</v>
      </c>
      <c r="AW9" s="88">
        <f t="shared" si="4"/>
        <v>-165</v>
      </c>
      <c r="AX9" s="88">
        <f t="shared" si="4"/>
        <v>-99</v>
      </c>
      <c r="AY9" s="88">
        <f t="shared" si="4"/>
        <v>-1</v>
      </c>
      <c r="AZ9" s="88">
        <f t="shared" si="4"/>
        <v>1055</v>
      </c>
      <c r="BA9" s="88">
        <f t="shared" si="4"/>
        <v>16</v>
      </c>
      <c r="BB9" s="88">
        <f t="shared" si="4"/>
        <v>18</v>
      </c>
      <c r="BC9" s="88">
        <f t="shared" si="4"/>
        <v>3</v>
      </c>
      <c r="BD9" s="88">
        <f t="shared" si="4"/>
        <v>44</v>
      </c>
      <c r="BE9" s="88">
        <f t="shared" si="4"/>
        <v>32</v>
      </c>
      <c r="BF9" s="88">
        <f t="shared" si="4"/>
        <v>4</v>
      </c>
    </row>
    <row r="10" spans="1:233" x14ac:dyDescent="0.2">
      <c r="A10" s="13"/>
      <c r="B10" s="80" t="s">
        <v>118</v>
      </c>
      <c r="C10" s="81"/>
      <c r="D10" s="80"/>
      <c r="E10" s="80"/>
      <c r="F10" s="80"/>
      <c r="G10" s="80"/>
      <c r="H10" s="82">
        <f t="shared" ref="H10:AJ10" si="5">AVERAGE(H12:H53)</f>
        <v>1055272.3809523811</v>
      </c>
      <c r="I10" s="82">
        <f t="shared" si="5"/>
        <v>1063969.642857143</v>
      </c>
      <c r="J10" s="82">
        <f t="shared" si="5"/>
        <v>58958.261904761908</v>
      </c>
      <c r="K10" s="82">
        <f t="shared" si="5"/>
        <v>738416.19047619053</v>
      </c>
      <c r="L10" s="82">
        <f t="shared" si="5"/>
        <v>32230.595238095237</v>
      </c>
      <c r="M10" s="82">
        <f t="shared" si="5"/>
        <v>112003.16666666667</v>
      </c>
      <c r="N10" s="82">
        <f t="shared" si="5"/>
        <v>40740.166666666664</v>
      </c>
      <c r="O10" s="82">
        <f t="shared" si="5"/>
        <v>1046742.4285714285</v>
      </c>
      <c r="P10" s="84">
        <f t="shared" si="5"/>
        <v>1.514785714285714</v>
      </c>
      <c r="Q10" s="82">
        <f t="shared" si="5"/>
        <v>73227.833333333328</v>
      </c>
      <c r="R10" s="82">
        <f t="shared" ref="R10:S10" si="6">AVERAGE(R12:R53)</f>
        <v>807920.73809523811</v>
      </c>
      <c r="S10" s="82">
        <f t="shared" si="6"/>
        <v>145316.28571428571</v>
      </c>
      <c r="T10" s="85">
        <f t="shared" si="5"/>
        <v>7.8194802714957684E-2</v>
      </c>
      <c r="U10" s="82">
        <f t="shared" si="5"/>
        <v>68871.5</v>
      </c>
      <c r="V10" s="82">
        <f t="shared" si="5"/>
        <v>166621.90476190476</v>
      </c>
      <c r="W10" s="82">
        <f t="shared" si="5"/>
        <v>187.47738095238097</v>
      </c>
      <c r="X10" s="82">
        <f t="shared" si="5"/>
        <v>10661.428571428571</v>
      </c>
      <c r="Y10" s="82">
        <f t="shared" si="5"/>
        <v>794.83333333333337</v>
      </c>
      <c r="Z10" s="82">
        <f t="shared" si="5"/>
        <v>459.40476190476193</v>
      </c>
      <c r="AA10" s="82">
        <f t="shared" si="5"/>
        <v>2041.2142857142858</v>
      </c>
      <c r="AB10" s="82">
        <f t="shared" si="5"/>
        <v>2295.5952380952381</v>
      </c>
      <c r="AC10" s="82">
        <f t="shared" si="5"/>
        <v>646.76190476190482</v>
      </c>
      <c r="AD10" s="82">
        <f t="shared" si="5"/>
        <v>2690.1190476190477</v>
      </c>
      <c r="AE10" s="82">
        <f t="shared" si="5"/>
        <v>1835.0952380952381</v>
      </c>
      <c r="AF10" s="82">
        <f t="shared" si="5"/>
        <v>793.80952380952385</v>
      </c>
      <c r="AG10" s="82">
        <f t="shared" si="5"/>
        <v>158.95238095238096</v>
      </c>
      <c r="AH10" s="82">
        <f t="shared" si="5"/>
        <v>114.92857142857143</v>
      </c>
      <c r="AI10" s="82">
        <f t="shared" si="5"/>
        <v>6632.5238095238092</v>
      </c>
      <c r="AJ10" s="82">
        <f t="shared" si="5"/>
        <v>26399.666666666668</v>
      </c>
      <c r="AK10" s="86">
        <f>AI9/AJ9</f>
        <v>0.25123513464275343</v>
      </c>
      <c r="AL10" s="82">
        <f t="shared" ref="AL10:BF10" si="7">AVERAGE(AL12:AL53)</f>
        <v>0</v>
      </c>
      <c r="AM10" s="82">
        <f t="shared" si="7"/>
        <v>52516.452380952382</v>
      </c>
      <c r="AN10" s="82">
        <f t="shared" si="7"/>
        <v>701</v>
      </c>
      <c r="AO10" s="82">
        <f t="shared" si="7"/>
        <v>12854</v>
      </c>
      <c r="AP10" s="82" t="e">
        <f t="shared" si="7"/>
        <v>#DIV/0!</v>
      </c>
      <c r="AQ10" s="88">
        <f t="shared" si="7"/>
        <v>-521.85714285714289</v>
      </c>
      <c r="AR10" s="88">
        <f t="shared" si="7"/>
        <v>-57.476190476190474</v>
      </c>
      <c r="AS10" s="88">
        <f t="shared" si="7"/>
        <v>26.261904761904763</v>
      </c>
      <c r="AT10" s="88">
        <f t="shared" si="7"/>
        <v>6.4285714285714288</v>
      </c>
      <c r="AU10" s="88">
        <f t="shared" si="7"/>
        <v>-0.11904761904761904</v>
      </c>
      <c r="AV10" s="88">
        <f t="shared" si="7"/>
        <v>-1.1428571428571428</v>
      </c>
      <c r="AW10" s="88">
        <f t="shared" si="7"/>
        <v>-3.9285714285714284</v>
      </c>
      <c r="AX10" s="88">
        <f t="shared" si="7"/>
        <v>-2.3571428571428572</v>
      </c>
      <c r="AY10" s="88">
        <f t="shared" si="7"/>
        <v>-2.3809523809523808E-2</v>
      </c>
      <c r="AZ10" s="88">
        <f t="shared" si="7"/>
        <v>25.11904761904762</v>
      </c>
      <c r="BA10" s="88">
        <f t="shared" si="7"/>
        <v>0.38095238095238093</v>
      </c>
      <c r="BB10" s="88">
        <f t="shared" si="7"/>
        <v>0.42857142857142855</v>
      </c>
      <c r="BC10" s="88">
        <f t="shared" si="7"/>
        <v>7.1428571428571425E-2</v>
      </c>
      <c r="BD10" s="88">
        <f t="shared" si="7"/>
        <v>1.0476190476190477</v>
      </c>
      <c r="BE10" s="88">
        <f t="shared" si="7"/>
        <v>0.76190476190476186</v>
      </c>
      <c r="BF10" s="88">
        <f t="shared" si="7"/>
        <v>9.5238095238095233E-2</v>
      </c>
    </row>
    <row r="11" spans="1:233" x14ac:dyDescent="0.2">
      <c r="A11" s="1" t="s">
        <v>0</v>
      </c>
      <c r="B11" s="1" t="s">
        <v>0</v>
      </c>
      <c r="C11" s="4" t="s">
        <v>0</v>
      </c>
      <c r="D11" s="1" t="s">
        <v>0</v>
      </c>
      <c r="E11" s="1" t="s">
        <v>0</v>
      </c>
      <c r="F11" s="1"/>
      <c r="G11" s="1"/>
      <c r="H11" s="3"/>
      <c r="I11" s="3"/>
      <c r="J11" s="3"/>
      <c r="K11" s="3"/>
      <c r="L11" s="3"/>
      <c r="M11" s="3"/>
      <c r="N11" s="3"/>
      <c r="O11" s="3"/>
      <c r="P11" s="5"/>
      <c r="Q11" s="5"/>
      <c r="R11" s="5"/>
      <c r="S11" s="6"/>
      <c r="T11" s="6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7"/>
      <c r="AJ11" s="3"/>
      <c r="AK11" s="7" t="s">
        <v>0</v>
      </c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</row>
    <row r="12" spans="1:233" ht="15.75" x14ac:dyDescent="0.25">
      <c r="A12" s="31">
        <v>2</v>
      </c>
      <c r="B12" s="32" t="s">
        <v>227</v>
      </c>
      <c r="C12" s="32" t="s">
        <v>94</v>
      </c>
      <c r="D12" s="32" t="s">
        <v>205</v>
      </c>
      <c r="E12" s="33" t="s">
        <v>190</v>
      </c>
      <c r="F12" s="33"/>
      <c r="G12" s="33" t="s">
        <v>190</v>
      </c>
      <c r="H12" s="33">
        <v>82518</v>
      </c>
      <c r="I12" s="33">
        <v>82535</v>
      </c>
      <c r="J12" s="33">
        <v>5205</v>
      </c>
      <c r="K12" s="33">
        <v>62335</v>
      </c>
      <c r="L12" s="33">
        <v>0</v>
      </c>
      <c r="M12" s="33">
        <v>5357</v>
      </c>
      <c r="N12" s="33">
        <v>11116</v>
      </c>
      <c r="O12" s="33">
        <v>84305</v>
      </c>
      <c r="P12" s="34">
        <v>0.5</v>
      </c>
      <c r="Q12" s="33">
        <f>84305-54970</f>
        <v>29335</v>
      </c>
      <c r="R12" s="33">
        <v>54970</v>
      </c>
      <c r="S12" s="35">
        <v>0</v>
      </c>
      <c r="T12" s="36">
        <f>5497/54970</f>
        <v>0.1</v>
      </c>
      <c r="U12" s="33">
        <v>5497</v>
      </c>
      <c r="V12" s="33">
        <v>0</v>
      </c>
      <c r="W12" s="33">
        <f>8+9+2</f>
        <v>19</v>
      </c>
      <c r="X12" s="33">
        <v>0</v>
      </c>
      <c r="Y12" s="33">
        <v>0</v>
      </c>
      <c r="Z12" s="33">
        <v>0</v>
      </c>
      <c r="AA12" s="33">
        <v>0</v>
      </c>
      <c r="AB12" s="33">
        <v>2275</v>
      </c>
      <c r="AC12" s="33">
        <v>1400</v>
      </c>
      <c r="AD12" s="33">
        <v>0</v>
      </c>
      <c r="AE12" s="33">
        <v>36</v>
      </c>
      <c r="AF12" s="33">
        <v>0</v>
      </c>
      <c r="AG12" s="33">
        <v>0</v>
      </c>
      <c r="AH12" s="33">
        <v>0</v>
      </c>
      <c r="AI12" s="33">
        <v>0</v>
      </c>
      <c r="AJ12" s="33">
        <v>3711</v>
      </c>
      <c r="AK12" s="37">
        <v>0</v>
      </c>
      <c r="AL12" s="33">
        <v>0</v>
      </c>
      <c r="AM12" s="33">
        <v>2500</v>
      </c>
      <c r="AN12" s="33">
        <v>0</v>
      </c>
      <c r="AO12" s="33">
        <v>430</v>
      </c>
      <c r="AP12" s="33"/>
      <c r="AQ12" s="33">
        <v>0</v>
      </c>
      <c r="AR12" s="33">
        <v>0</v>
      </c>
      <c r="AS12" s="33">
        <v>13</v>
      </c>
      <c r="AT12" s="33">
        <v>3</v>
      </c>
      <c r="AU12" s="38">
        <v>0</v>
      </c>
      <c r="AV12" s="38">
        <v>-1</v>
      </c>
      <c r="AW12" s="38">
        <v>-1</v>
      </c>
      <c r="AX12" s="38">
        <v>-1</v>
      </c>
      <c r="AY12" s="38">
        <v>0</v>
      </c>
      <c r="AZ12" s="33">
        <f t="shared" ref="AZ12:AZ53" si="8">SUM(AS12:AY12)</f>
        <v>13</v>
      </c>
      <c r="BA12" s="33">
        <v>0</v>
      </c>
      <c r="BB12" s="33">
        <v>0</v>
      </c>
      <c r="BC12" s="33">
        <v>0</v>
      </c>
      <c r="BD12" s="33">
        <v>1</v>
      </c>
      <c r="BE12" s="33">
        <v>0</v>
      </c>
      <c r="BF12" s="33">
        <v>0</v>
      </c>
    </row>
    <row r="13" spans="1:233" ht="15.75" x14ac:dyDescent="0.25">
      <c r="A13" s="31">
        <v>2</v>
      </c>
      <c r="B13" s="32" t="s">
        <v>228</v>
      </c>
      <c r="C13" s="32" t="s">
        <v>106</v>
      </c>
      <c r="D13" s="32" t="s">
        <v>174</v>
      </c>
      <c r="E13" s="33" t="s">
        <v>127</v>
      </c>
      <c r="F13" s="33" t="s">
        <v>125</v>
      </c>
      <c r="G13" s="33" t="s">
        <v>127</v>
      </c>
      <c r="H13" s="33">
        <v>1766635</v>
      </c>
      <c r="I13" s="33">
        <v>1766635</v>
      </c>
      <c r="J13" s="33">
        <v>33290</v>
      </c>
      <c r="K13" s="33">
        <v>1449581</v>
      </c>
      <c r="L13" s="33">
        <v>32880</v>
      </c>
      <c r="M13" s="33">
        <v>101166</v>
      </c>
      <c r="N13" s="33">
        <v>76959</v>
      </c>
      <c r="O13" s="33">
        <v>1835746</v>
      </c>
      <c r="P13" s="34">
        <v>0.83</v>
      </c>
      <c r="Q13" s="33">
        <f>1835746-1834355</f>
        <v>1391</v>
      </c>
      <c r="R13" s="33">
        <f>1585825+199656+48874</f>
        <v>1834355</v>
      </c>
      <c r="S13" s="33">
        <v>0</v>
      </c>
      <c r="T13" s="39">
        <f>137306/1634699</f>
        <v>8.3994668131564282E-2</v>
      </c>
      <c r="U13" s="33">
        <v>137190</v>
      </c>
      <c r="V13" s="33">
        <v>0</v>
      </c>
      <c r="W13" s="33">
        <v>27</v>
      </c>
      <c r="X13" s="33">
        <v>2424</v>
      </c>
      <c r="Y13" s="33">
        <v>0</v>
      </c>
      <c r="Z13" s="33">
        <v>0</v>
      </c>
      <c r="AA13" s="33">
        <v>444</v>
      </c>
      <c r="AB13" s="33">
        <v>9900</v>
      </c>
      <c r="AC13" s="33">
        <v>1935</v>
      </c>
      <c r="AD13" s="33">
        <v>11516</v>
      </c>
      <c r="AE13" s="33">
        <f>24+60+59</f>
        <v>143</v>
      </c>
      <c r="AF13" s="33">
        <v>2750</v>
      </c>
      <c r="AG13" s="33">
        <v>0</v>
      </c>
      <c r="AH13" s="33">
        <v>0</v>
      </c>
      <c r="AI13" s="33">
        <v>3000</v>
      </c>
      <c r="AJ13" s="33">
        <v>30031</v>
      </c>
      <c r="AK13" s="37">
        <f t="shared" ref="AK13:AK53" si="9">IF(AJ13=0,0,AI13/AJ13)</f>
        <v>9.9896773334221312E-2</v>
      </c>
      <c r="AL13" s="33">
        <v>0</v>
      </c>
      <c r="AM13" s="33">
        <v>86663</v>
      </c>
      <c r="AN13" s="33">
        <v>0</v>
      </c>
      <c r="AO13" s="33">
        <v>36999</v>
      </c>
      <c r="AP13" s="33"/>
      <c r="AQ13" s="33">
        <v>0</v>
      </c>
      <c r="AR13" s="33">
        <v>0</v>
      </c>
      <c r="AS13" s="33">
        <v>40</v>
      </c>
      <c r="AT13" s="33">
        <v>14</v>
      </c>
      <c r="AU13" s="38">
        <v>-3</v>
      </c>
      <c r="AV13" s="38">
        <v>-2</v>
      </c>
      <c r="AW13" s="38">
        <v>-10</v>
      </c>
      <c r="AX13" s="38">
        <v>-5</v>
      </c>
      <c r="AY13" s="38">
        <v>0</v>
      </c>
      <c r="AZ13" s="33">
        <f t="shared" si="8"/>
        <v>34</v>
      </c>
      <c r="BA13" s="33">
        <v>0</v>
      </c>
      <c r="BB13" s="33">
        <v>0</v>
      </c>
      <c r="BC13" s="33">
        <v>0</v>
      </c>
      <c r="BD13" s="33">
        <v>2</v>
      </c>
      <c r="BE13" s="33">
        <v>3</v>
      </c>
      <c r="BF13" s="33">
        <v>0</v>
      </c>
    </row>
    <row r="14" spans="1:233" ht="15.75" x14ac:dyDescent="0.25">
      <c r="A14" s="31">
        <v>5</v>
      </c>
      <c r="B14" s="32" t="s">
        <v>229</v>
      </c>
      <c r="C14" s="32" t="s">
        <v>83</v>
      </c>
      <c r="D14" s="32" t="s">
        <v>92</v>
      </c>
      <c r="E14" s="33" t="s">
        <v>114</v>
      </c>
      <c r="F14" s="33" t="s">
        <v>169</v>
      </c>
      <c r="G14" s="33" t="s">
        <v>114</v>
      </c>
      <c r="H14" s="33">
        <v>1122053</v>
      </c>
      <c r="I14" s="33">
        <v>1122053</v>
      </c>
      <c r="J14" s="33">
        <v>196257</v>
      </c>
      <c r="K14" s="33">
        <v>710919</v>
      </c>
      <c r="L14" s="33">
        <v>7181</v>
      </c>
      <c r="M14" s="33">
        <v>311660</v>
      </c>
      <c r="N14" s="33">
        <v>1000</v>
      </c>
      <c r="O14" s="33">
        <v>1142634</v>
      </c>
      <c r="P14" s="34">
        <v>4</v>
      </c>
      <c r="Q14" s="33">
        <f>1142634-995356</f>
        <v>147278</v>
      </c>
      <c r="R14" s="33">
        <v>995356</v>
      </c>
      <c r="S14" s="33">
        <v>0</v>
      </c>
      <c r="T14" s="39">
        <f>99536/995356</f>
        <v>0.10000040186626695</v>
      </c>
      <c r="U14" s="33">
        <v>99536</v>
      </c>
      <c r="V14" s="33">
        <v>0</v>
      </c>
      <c r="W14" s="33">
        <v>0</v>
      </c>
      <c r="X14" s="33">
        <v>13119</v>
      </c>
      <c r="Y14" s="33">
        <v>1110</v>
      </c>
      <c r="Z14" s="33">
        <v>0</v>
      </c>
      <c r="AA14" s="33">
        <v>0</v>
      </c>
      <c r="AB14" s="33">
        <v>13600</v>
      </c>
      <c r="AC14" s="33">
        <v>1118</v>
      </c>
      <c r="AD14" s="33">
        <v>9600</v>
      </c>
      <c r="AE14" s="33">
        <f>275+300+577</f>
        <v>1152</v>
      </c>
      <c r="AF14" s="33">
        <v>0</v>
      </c>
      <c r="AG14" s="33">
        <v>0</v>
      </c>
      <c r="AH14" s="33">
        <v>0</v>
      </c>
      <c r="AI14" s="33">
        <v>0</v>
      </c>
      <c r="AJ14" s="33">
        <v>45062</v>
      </c>
      <c r="AK14" s="37">
        <f t="shared" si="9"/>
        <v>0</v>
      </c>
      <c r="AL14" s="33">
        <v>0</v>
      </c>
      <c r="AM14" s="33">
        <v>57131</v>
      </c>
      <c r="AN14" s="33">
        <v>0</v>
      </c>
      <c r="AO14" s="33">
        <v>17284</v>
      </c>
      <c r="AP14" s="33"/>
      <c r="AQ14" s="33">
        <v>0</v>
      </c>
      <c r="AR14" s="33">
        <v>0</v>
      </c>
      <c r="AS14" s="33">
        <v>28</v>
      </c>
      <c r="AT14" s="33">
        <v>7</v>
      </c>
      <c r="AU14" s="38">
        <v>-2</v>
      </c>
      <c r="AV14" s="38">
        <v>-3</v>
      </c>
      <c r="AW14" s="38">
        <v>-1</v>
      </c>
      <c r="AX14" s="38">
        <v>-4</v>
      </c>
      <c r="AY14" s="38">
        <v>0</v>
      </c>
      <c r="AZ14" s="33">
        <f t="shared" si="8"/>
        <v>25</v>
      </c>
      <c r="BA14" s="33">
        <v>1</v>
      </c>
      <c r="BB14" s="33">
        <v>0</v>
      </c>
      <c r="BC14" s="33">
        <v>1</v>
      </c>
      <c r="BD14" s="33">
        <v>1</v>
      </c>
      <c r="BE14" s="33">
        <v>1</v>
      </c>
      <c r="BF14" s="33">
        <v>1</v>
      </c>
    </row>
    <row r="15" spans="1:233" s="29" customFormat="1" ht="15.75" x14ac:dyDescent="0.25">
      <c r="A15" s="40">
        <v>5</v>
      </c>
      <c r="B15" s="41" t="s">
        <v>230</v>
      </c>
      <c r="C15" s="41" t="s">
        <v>146</v>
      </c>
      <c r="D15" s="41" t="s">
        <v>217</v>
      </c>
      <c r="E15" s="42" t="s">
        <v>98</v>
      </c>
      <c r="F15" s="42" t="s">
        <v>193</v>
      </c>
      <c r="G15" s="42" t="s">
        <v>98</v>
      </c>
      <c r="H15" s="42">
        <v>3924881</v>
      </c>
      <c r="I15" s="42">
        <v>3933595</v>
      </c>
      <c r="J15" s="42">
        <v>17676</v>
      </c>
      <c r="K15" s="42">
        <v>1683769</v>
      </c>
      <c r="L15" s="42">
        <v>30245</v>
      </c>
      <c r="M15" s="42">
        <v>126113</v>
      </c>
      <c r="N15" s="42">
        <v>85242</v>
      </c>
      <c r="O15" s="42">
        <v>3644778</v>
      </c>
      <c r="P15" s="43">
        <v>5</v>
      </c>
      <c r="Q15" s="42">
        <f>3644778-1682348</f>
        <v>1962430</v>
      </c>
      <c r="R15" s="42">
        <v>1423844</v>
      </c>
      <c r="S15" s="54">
        <v>258504</v>
      </c>
      <c r="T15" s="55">
        <f>150140/1682348</f>
        <v>8.9244318060234862E-2</v>
      </c>
      <c r="U15" s="42">
        <v>151530</v>
      </c>
      <c r="V15" s="42">
        <v>40096</v>
      </c>
      <c r="W15" s="42">
        <f>3963+1108+232</f>
        <v>5303</v>
      </c>
      <c r="X15" s="42">
        <v>0</v>
      </c>
      <c r="Y15" s="42">
        <v>0</v>
      </c>
      <c r="Z15" s="42">
        <v>0</v>
      </c>
      <c r="AA15" s="42">
        <v>8549</v>
      </c>
      <c r="AB15" s="42">
        <v>0</v>
      </c>
      <c r="AC15" s="42">
        <v>0</v>
      </c>
      <c r="AD15" s="42">
        <v>44260</v>
      </c>
      <c r="AE15" s="42">
        <f>1921+555+539</f>
        <v>3015</v>
      </c>
      <c r="AF15" s="42">
        <v>0</v>
      </c>
      <c r="AG15" s="42">
        <v>0</v>
      </c>
      <c r="AH15" s="42">
        <v>1308</v>
      </c>
      <c r="AI15" s="42">
        <v>0</v>
      </c>
      <c r="AJ15" s="42">
        <v>68110</v>
      </c>
      <c r="AK15" s="45">
        <f t="shared" si="9"/>
        <v>0</v>
      </c>
      <c r="AL15" s="42">
        <v>0</v>
      </c>
      <c r="AM15" s="42">
        <v>141123</v>
      </c>
      <c r="AN15" s="42">
        <v>0</v>
      </c>
      <c r="AO15" s="42">
        <v>30942</v>
      </c>
      <c r="AP15" s="42"/>
      <c r="AQ15" s="42">
        <v>0</v>
      </c>
      <c r="AR15" s="42">
        <v>0</v>
      </c>
      <c r="AS15" s="42">
        <v>35</v>
      </c>
      <c r="AT15" s="42">
        <v>5</v>
      </c>
      <c r="AU15" s="46">
        <v>0</v>
      </c>
      <c r="AV15" s="46">
        <v>0</v>
      </c>
      <c r="AW15" s="46">
        <v>-5</v>
      </c>
      <c r="AX15" s="46">
        <v>-7</v>
      </c>
      <c r="AY15" s="46">
        <v>0</v>
      </c>
      <c r="AZ15" s="42">
        <f>SUM(AS15:AY15)</f>
        <v>28</v>
      </c>
      <c r="BA15" s="42">
        <v>1</v>
      </c>
      <c r="BB15" s="42">
        <v>0</v>
      </c>
      <c r="BC15" s="42">
        <v>1</v>
      </c>
      <c r="BD15" s="42">
        <v>6</v>
      </c>
      <c r="BE15" s="42">
        <v>0</v>
      </c>
      <c r="BF15" s="42">
        <v>0</v>
      </c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/>
      <c r="DG15" s="28"/>
      <c r="DH15" s="28"/>
      <c r="DI15" s="28"/>
      <c r="DJ15" s="28"/>
      <c r="DK15" s="28"/>
      <c r="DL15" s="28"/>
      <c r="DM15" s="28"/>
      <c r="DN15" s="28"/>
      <c r="DO15" s="28"/>
      <c r="DP15" s="28"/>
      <c r="DQ15" s="28"/>
      <c r="DR15" s="28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</row>
    <row r="16" spans="1:233" ht="15.75" x14ac:dyDescent="0.25">
      <c r="A16" s="31">
        <v>6</v>
      </c>
      <c r="B16" s="32" t="s">
        <v>231</v>
      </c>
      <c r="C16" s="32" t="s">
        <v>95</v>
      </c>
      <c r="D16" s="32" t="s">
        <v>140</v>
      </c>
      <c r="E16" s="33" t="s">
        <v>186</v>
      </c>
      <c r="F16" s="33" t="s">
        <v>123</v>
      </c>
      <c r="G16" s="33" t="s">
        <v>186</v>
      </c>
      <c r="H16" s="33">
        <v>1573235</v>
      </c>
      <c r="I16" s="33">
        <v>1573235</v>
      </c>
      <c r="J16" s="33">
        <v>20017</v>
      </c>
      <c r="K16" s="33">
        <v>1404031</v>
      </c>
      <c r="L16" s="33">
        <v>17447</v>
      </c>
      <c r="M16" s="33">
        <v>40908</v>
      </c>
      <c r="N16" s="33">
        <v>0</v>
      </c>
      <c r="O16" s="33">
        <v>1544277</v>
      </c>
      <c r="P16" s="34">
        <v>6.03</v>
      </c>
      <c r="Q16" s="33">
        <v>0</v>
      </c>
      <c r="R16" s="33">
        <f>689260+101748</f>
        <v>791008</v>
      </c>
      <c r="S16" s="33">
        <v>753269</v>
      </c>
      <c r="T16" s="39">
        <f>81891/1544277</f>
        <v>5.302869886684837E-2</v>
      </c>
      <c r="U16" s="33">
        <v>81891</v>
      </c>
      <c r="V16" s="33">
        <v>0</v>
      </c>
      <c r="W16" s="33">
        <v>0</v>
      </c>
      <c r="X16" s="33">
        <v>0</v>
      </c>
      <c r="Y16" s="33">
        <v>0</v>
      </c>
      <c r="Z16" s="33">
        <v>0</v>
      </c>
      <c r="AA16" s="33">
        <v>0</v>
      </c>
      <c r="AB16" s="33">
        <v>11651</v>
      </c>
      <c r="AC16" s="33">
        <v>0</v>
      </c>
      <c r="AD16" s="33">
        <v>0</v>
      </c>
      <c r="AE16" s="33">
        <f>224+29</f>
        <v>253</v>
      </c>
      <c r="AF16" s="33">
        <v>1377</v>
      </c>
      <c r="AG16" s="33">
        <v>0</v>
      </c>
      <c r="AH16" s="33">
        <v>0</v>
      </c>
      <c r="AI16" s="33">
        <v>0</v>
      </c>
      <c r="AJ16" s="33">
        <v>19848</v>
      </c>
      <c r="AK16" s="37">
        <f t="shared" si="9"/>
        <v>0</v>
      </c>
      <c r="AL16" s="33">
        <v>0</v>
      </c>
      <c r="AM16" s="33">
        <v>77660</v>
      </c>
      <c r="AN16" s="33">
        <v>0</v>
      </c>
      <c r="AO16" s="33">
        <v>10023</v>
      </c>
      <c r="AP16" s="33"/>
      <c r="AQ16" s="33">
        <v>0</v>
      </c>
      <c r="AR16" s="33">
        <v>0</v>
      </c>
      <c r="AS16" s="33">
        <v>13</v>
      </c>
      <c r="AT16" s="33">
        <v>2</v>
      </c>
      <c r="AU16" s="38">
        <f>2-2</f>
        <v>0</v>
      </c>
      <c r="AV16" s="38">
        <v>0</v>
      </c>
      <c r="AW16" s="38">
        <v>-2</v>
      </c>
      <c r="AX16" s="38">
        <v>-3</v>
      </c>
      <c r="AY16" s="38">
        <v>0</v>
      </c>
      <c r="AZ16" s="33">
        <f t="shared" si="8"/>
        <v>10</v>
      </c>
      <c r="BA16" s="33">
        <v>0</v>
      </c>
      <c r="BB16" s="33">
        <v>0</v>
      </c>
      <c r="BC16" s="33">
        <v>0</v>
      </c>
      <c r="BD16" s="33">
        <v>2</v>
      </c>
      <c r="BE16" s="33">
        <v>1</v>
      </c>
      <c r="BF16" s="33">
        <v>0</v>
      </c>
    </row>
    <row r="17" spans="1:233" ht="15.75" x14ac:dyDescent="0.25">
      <c r="A17" s="31">
        <v>6</v>
      </c>
      <c r="B17" s="32" t="s">
        <v>232</v>
      </c>
      <c r="C17" s="32" t="s">
        <v>191</v>
      </c>
      <c r="D17" s="32" t="s">
        <v>102</v>
      </c>
      <c r="E17" s="33" t="s">
        <v>186</v>
      </c>
      <c r="F17" s="33" t="s">
        <v>125</v>
      </c>
      <c r="G17" s="33" t="s">
        <v>186</v>
      </c>
      <c r="H17" s="33">
        <v>772207</v>
      </c>
      <c r="I17" s="33">
        <v>776237</v>
      </c>
      <c r="J17" s="33">
        <v>70455</v>
      </c>
      <c r="K17" s="33">
        <v>545344</v>
      </c>
      <c r="L17" s="33">
        <v>103989</v>
      </c>
      <c r="M17" s="33">
        <v>143559</v>
      </c>
      <c r="N17" s="33">
        <v>36976</v>
      </c>
      <c r="O17" s="33">
        <v>920031</v>
      </c>
      <c r="P17" s="34">
        <v>1.96</v>
      </c>
      <c r="Q17" s="33">
        <f>920031-916162</f>
        <v>3869</v>
      </c>
      <c r="R17" s="33">
        <v>840126</v>
      </c>
      <c r="S17" s="33">
        <v>76036</v>
      </c>
      <c r="T17" s="39">
        <f>86294/916162</f>
        <v>9.4190765388653966E-2</v>
      </c>
      <c r="U17" s="33">
        <v>86294</v>
      </c>
      <c r="V17" s="33">
        <v>38685</v>
      </c>
      <c r="W17" s="33">
        <f>152+39+40</f>
        <v>231</v>
      </c>
      <c r="X17" s="33">
        <v>0</v>
      </c>
      <c r="Y17" s="33">
        <v>0</v>
      </c>
      <c r="Z17" s="33">
        <v>0</v>
      </c>
      <c r="AA17" s="33">
        <v>3149</v>
      </c>
      <c r="AB17" s="33">
        <v>8000</v>
      </c>
      <c r="AC17" s="33">
        <v>225</v>
      </c>
      <c r="AD17" s="33">
        <v>6889</v>
      </c>
      <c r="AE17" s="33">
        <f>300+634+988</f>
        <v>1922</v>
      </c>
      <c r="AF17" s="33">
        <v>0</v>
      </c>
      <c r="AG17" s="33">
        <v>370</v>
      </c>
      <c r="AH17" s="33">
        <v>0</v>
      </c>
      <c r="AI17" s="33">
        <v>0</v>
      </c>
      <c r="AJ17" s="33">
        <v>22034</v>
      </c>
      <c r="AK17" s="37">
        <f t="shared" si="9"/>
        <v>0</v>
      </c>
      <c r="AL17" s="33">
        <v>0</v>
      </c>
      <c r="AM17" s="33">
        <v>51357</v>
      </c>
      <c r="AN17" s="33">
        <v>3990</v>
      </c>
      <c r="AO17" s="33">
        <v>21697</v>
      </c>
      <c r="AP17" s="33"/>
      <c r="AQ17" s="33">
        <v>0</v>
      </c>
      <c r="AR17" s="33">
        <v>0</v>
      </c>
      <c r="AS17" s="33">
        <v>25</v>
      </c>
      <c r="AT17" s="33">
        <v>3</v>
      </c>
      <c r="AU17" s="38">
        <v>0</v>
      </c>
      <c r="AV17" s="38">
        <v>-2</v>
      </c>
      <c r="AW17" s="38">
        <v>-2</v>
      </c>
      <c r="AX17" s="38">
        <v>-2</v>
      </c>
      <c r="AY17" s="38">
        <v>0</v>
      </c>
      <c r="AZ17" s="33">
        <f t="shared" si="8"/>
        <v>22</v>
      </c>
      <c r="BA17" s="33">
        <v>0</v>
      </c>
      <c r="BB17" s="33">
        <v>0</v>
      </c>
      <c r="BC17" s="33">
        <v>0</v>
      </c>
      <c r="BD17" s="33">
        <v>0</v>
      </c>
      <c r="BE17" s="33">
        <v>0</v>
      </c>
      <c r="BF17" s="33">
        <v>2</v>
      </c>
    </row>
    <row r="18" spans="1:233" s="29" customFormat="1" ht="15.75" x14ac:dyDescent="0.25">
      <c r="A18" s="40">
        <v>7</v>
      </c>
      <c r="B18" s="41" t="s">
        <v>233</v>
      </c>
      <c r="C18" s="41" t="s">
        <v>78</v>
      </c>
      <c r="D18" s="41" t="s">
        <v>24</v>
      </c>
      <c r="E18" s="42" t="s">
        <v>186</v>
      </c>
      <c r="F18" s="42" t="s">
        <v>194</v>
      </c>
      <c r="G18" s="42" t="s">
        <v>186</v>
      </c>
      <c r="H18" s="42">
        <v>181136</v>
      </c>
      <c r="I18" s="42">
        <v>181149</v>
      </c>
      <c r="J18" s="42">
        <v>0</v>
      </c>
      <c r="K18" s="42">
        <v>128519</v>
      </c>
      <c r="L18" s="42">
        <v>13794</v>
      </c>
      <c r="M18" s="42">
        <v>7370</v>
      </c>
      <c r="N18" s="42">
        <v>13910</v>
      </c>
      <c r="O18" s="42">
        <v>179773</v>
      </c>
      <c r="P18" s="43">
        <v>0.06</v>
      </c>
      <c r="Q18" s="42">
        <v>0</v>
      </c>
      <c r="R18" s="42">
        <v>179733</v>
      </c>
      <c r="S18" s="42">
        <v>0</v>
      </c>
      <c r="T18" s="44">
        <f>16176/179733</f>
        <v>9.0000166914256149E-2</v>
      </c>
      <c r="U18" s="42">
        <v>16180</v>
      </c>
      <c r="V18" s="42">
        <v>0</v>
      </c>
      <c r="W18" s="42">
        <f>13+16</f>
        <v>29</v>
      </c>
      <c r="X18" s="42">
        <v>0</v>
      </c>
      <c r="Y18" s="42">
        <v>0</v>
      </c>
      <c r="Z18" s="42">
        <v>0</v>
      </c>
      <c r="AA18" s="42">
        <v>0</v>
      </c>
      <c r="AB18" s="42">
        <v>0</v>
      </c>
      <c r="AC18" s="42">
        <v>0</v>
      </c>
      <c r="AD18" s="42">
        <v>0</v>
      </c>
      <c r="AE18" s="42">
        <v>0</v>
      </c>
      <c r="AF18" s="42">
        <v>908</v>
      </c>
      <c r="AG18" s="42">
        <v>0</v>
      </c>
      <c r="AH18" s="42">
        <v>0</v>
      </c>
      <c r="AI18" s="42">
        <v>0</v>
      </c>
      <c r="AJ18" s="42">
        <v>5509</v>
      </c>
      <c r="AK18" s="45">
        <f t="shared" si="9"/>
        <v>0</v>
      </c>
      <c r="AL18" s="42">
        <v>0</v>
      </c>
      <c r="AM18" s="42">
        <v>9057</v>
      </c>
      <c r="AN18" s="42">
        <v>0</v>
      </c>
      <c r="AO18" s="42">
        <v>10516</v>
      </c>
      <c r="AP18" s="42"/>
      <c r="AQ18" s="42">
        <v>0</v>
      </c>
      <c r="AR18" s="42">
        <v>0</v>
      </c>
      <c r="AS18" s="42">
        <v>5</v>
      </c>
      <c r="AT18" s="42">
        <v>3</v>
      </c>
      <c r="AU18" s="46">
        <v>0</v>
      </c>
      <c r="AV18" s="46">
        <v>-2</v>
      </c>
      <c r="AW18" s="46">
        <v>-2</v>
      </c>
      <c r="AX18" s="46">
        <v>0</v>
      </c>
      <c r="AY18" s="46">
        <v>0</v>
      </c>
      <c r="AZ18" s="42">
        <f t="shared" si="8"/>
        <v>4</v>
      </c>
      <c r="BA18" s="42">
        <v>0</v>
      </c>
      <c r="BB18" s="42">
        <v>0</v>
      </c>
      <c r="BC18" s="42">
        <v>0</v>
      </c>
      <c r="BD18" s="42">
        <v>0</v>
      </c>
      <c r="BE18" s="42">
        <v>0</v>
      </c>
      <c r="BF18" s="42">
        <v>0</v>
      </c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  <c r="CL18" s="28"/>
      <c r="CM18" s="28"/>
      <c r="CN18" s="28"/>
      <c r="CO18" s="28"/>
      <c r="CP18" s="28"/>
      <c r="CQ18" s="28"/>
      <c r="CR18" s="28"/>
      <c r="CS18" s="28"/>
      <c r="CT18" s="28"/>
      <c r="CU18" s="28"/>
      <c r="CV18" s="28"/>
      <c r="CW18" s="28"/>
      <c r="CX18" s="28"/>
      <c r="CY18" s="28"/>
      <c r="CZ18" s="28"/>
      <c r="DA18" s="28"/>
      <c r="DB18" s="28"/>
      <c r="DC18" s="28"/>
      <c r="DD18" s="28"/>
      <c r="DE18" s="28"/>
      <c r="DF18" s="28"/>
      <c r="DG18" s="28"/>
      <c r="DH18" s="28"/>
      <c r="DI18" s="28"/>
      <c r="DJ18" s="28"/>
      <c r="DK18" s="28"/>
      <c r="DL18" s="28"/>
      <c r="DM18" s="28"/>
      <c r="DN18" s="28"/>
      <c r="DO18" s="28"/>
      <c r="DP18" s="28"/>
      <c r="DQ18" s="28"/>
      <c r="DR18" s="28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</row>
    <row r="19" spans="1:233" s="29" customFormat="1" ht="15.75" x14ac:dyDescent="0.25">
      <c r="A19" s="40">
        <v>7</v>
      </c>
      <c r="B19" s="41" t="s">
        <v>234</v>
      </c>
      <c r="C19" s="41" t="s">
        <v>107</v>
      </c>
      <c r="D19" s="41" t="s">
        <v>113</v>
      </c>
      <c r="E19" s="42" t="s">
        <v>186</v>
      </c>
      <c r="F19" s="42" t="s">
        <v>170</v>
      </c>
      <c r="G19" s="42" t="s">
        <v>186</v>
      </c>
      <c r="H19" s="42">
        <v>1956903</v>
      </c>
      <c r="I19" s="42">
        <v>1957125</v>
      </c>
      <c r="J19" s="42">
        <v>134986</v>
      </c>
      <c r="K19" s="42">
        <v>1470973</v>
      </c>
      <c r="L19" s="42">
        <v>26982</v>
      </c>
      <c r="M19" s="42">
        <v>107281</v>
      </c>
      <c r="N19" s="42">
        <v>0</v>
      </c>
      <c r="O19" s="42">
        <v>1755152</v>
      </c>
      <c r="P19" s="43">
        <v>1.02</v>
      </c>
      <c r="Q19" s="42">
        <v>0</v>
      </c>
      <c r="R19" s="42">
        <v>858267</v>
      </c>
      <c r="S19" s="42">
        <v>0</v>
      </c>
      <c r="T19" s="44">
        <f>85827/858267</f>
        <v>0.10000034954157622</v>
      </c>
      <c r="U19" s="42">
        <v>131212</v>
      </c>
      <c r="V19" s="42">
        <v>0</v>
      </c>
      <c r="W19" s="42">
        <f>222+11+19</f>
        <v>252</v>
      </c>
      <c r="X19" s="42">
        <v>30120</v>
      </c>
      <c r="Y19" s="42">
        <v>3008</v>
      </c>
      <c r="Z19" s="42">
        <v>0</v>
      </c>
      <c r="AA19" s="42">
        <v>0</v>
      </c>
      <c r="AB19" s="42">
        <v>8682</v>
      </c>
      <c r="AC19" s="42">
        <v>170</v>
      </c>
      <c r="AD19" s="42">
        <v>270</v>
      </c>
      <c r="AE19" s="42">
        <f>1830+901+690</f>
        <v>3421</v>
      </c>
      <c r="AF19" s="42">
        <v>0</v>
      </c>
      <c r="AG19" s="42">
        <v>0</v>
      </c>
      <c r="AH19" s="42">
        <v>0</v>
      </c>
      <c r="AI19" s="42">
        <v>4974</v>
      </c>
      <c r="AJ19" s="42">
        <v>52787</v>
      </c>
      <c r="AK19" s="45">
        <f t="shared" si="9"/>
        <v>9.4227745467634072E-2</v>
      </c>
      <c r="AL19" s="42">
        <v>0</v>
      </c>
      <c r="AM19" s="42">
        <v>85860</v>
      </c>
      <c r="AN19" s="42">
        <v>744</v>
      </c>
      <c r="AO19" s="42">
        <v>52</v>
      </c>
      <c r="AP19" s="42"/>
      <c r="AQ19" s="42">
        <v>0</v>
      </c>
      <c r="AR19" s="42">
        <v>0</v>
      </c>
      <c r="AS19" s="42">
        <v>25</v>
      </c>
      <c r="AT19" s="42">
        <v>0</v>
      </c>
      <c r="AU19" s="46">
        <v>0</v>
      </c>
      <c r="AV19" s="46">
        <v>0</v>
      </c>
      <c r="AW19" s="46">
        <v>0</v>
      </c>
      <c r="AX19" s="46">
        <v>-1</v>
      </c>
      <c r="AY19" s="46">
        <v>0</v>
      </c>
      <c r="AZ19" s="42">
        <f t="shared" si="8"/>
        <v>24</v>
      </c>
      <c r="BA19" s="42">
        <v>6</v>
      </c>
      <c r="BB19" s="42">
        <v>0</v>
      </c>
      <c r="BC19" s="42">
        <v>0</v>
      </c>
      <c r="BD19" s="42">
        <v>0</v>
      </c>
      <c r="BE19" s="42">
        <v>1</v>
      </c>
      <c r="BF19" s="42">
        <v>0</v>
      </c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28"/>
      <c r="CM19" s="28"/>
      <c r="CN19" s="28"/>
      <c r="CO19" s="28"/>
      <c r="CP19" s="28"/>
      <c r="CQ19" s="28"/>
      <c r="CR19" s="28"/>
      <c r="CS19" s="28"/>
      <c r="CT19" s="28"/>
      <c r="CU19" s="28"/>
      <c r="CV19" s="28"/>
      <c r="CW19" s="28"/>
      <c r="CX19" s="28"/>
      <c r="CY19" s="28"/>
      <c r="CZ19" s="28"/>
      <c r="DA19" s="28"/>
      <c r="DB19" s="28"/>
      <c r="DC19" s="28"/>
      <c r="DD19" s="28"/>
      <c r="DE19" s="28"/>
      <c r="DF19" s="28"/>
      <c r="DG19" s="28"/>
      <c r="DH19" s="28"/>
      <c r="DI19" s="28"/>
      <c r="DJ19" s="28"/>
      <c r="DK19" s="28"/>
      <c r="DL19" s="28"/>
      <c r="DM19" s="28"/>
      <c r="DN19" s="28"/>
      <c r="DO19" s="28"/>
      <c r="DP19" s="28"/>
      <c r="DQ19" s="28"/>
      <c r="DR19" s="28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28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</row>
    <row r="20" spans="1:233" ht="15.75" x14ac:dyDescent="0.25">
      <c r="A20" s="31">
        <v>7</v>
      </c>
      <c r="B20" s="32" t="s">
        <v>235</v>
      </c>
      <c r="C20" s="32" t="s">
        <v>105</v>
      </c>
      <c r="D20" s="32" t="s">
        <v>161</v>
      </c>
      <c r="E20" s="33" t="s">
        <v>186</v>
      </c>
      <c r="F20" s="33" t="s">
        <v>194</v>
      </c>
      <c r="G20" s="33" t="s">
        <v>186</v>
      </c>
      <c r="H20" s="33">
        <v>164559</v>
      </c>
      <c r="I20" s="33">
        <v>164559</v>
      </c>
      <c r="J20" s="33">
        <v>18905</v>
      </c>
      <c r="K20" s="33">
        <v>101476</v>
      </c>
      <c r="L20" s="33">
        <v>0</v>
      </c>
      <c r="M20" s="33">
        <v>0</v>
      </c>
      <c r="N20" s="33">
        <v>5319</v>
      </c>
      <c r="O20" s="33">
        <v>129918</v>
      </c>
      <c r="P20" s="34">
        <v>1</v>
      </c>
      <c r="Q20" s="33">
        <v>0</v>
      </c>
      <c r="R20" s="33">
        <v>129918</v>
      </c>
      <c r="S20" s="33">
        <v>0</v>
      </c>
      <c r="T20" s="39">
        <f>12992/129918</f>
        <v>0.10000153943256515</v>
      </c>
      <c r="U20" s="33">
        <v>12992</v>
      </c>
      <c r="V20" s="33">
        <v>0</v>
      </c>
      <c r="W20" s="33">
        <v>0</v>
      </c>
      <c r="X20" s="33">
        <v>0</v>
      </c>
      <c r="Y20" s="33">
        <v>0</v>
      </c>
      <c r="Z20" s="33">
        <v>0</v>
      </c>
      <c r="AA20" s="33">
        <v>0</v>
      </c>
      <c r="AB20" s="33">
        <v>0</v>
      </c>
      <c r="AC20" s="33">
        <v>0</v>
      </c>
      <c r="AD20" s="33">
        <v>0</v>
      </c>
      <c r="AE20" s="33">
        <v>0</v>
      </c>
      <c r="AF20" s="33">
        <v>0</v>
      </c>
      <c r="AG20" s="33">
        <v>0</v>
      </c>
      <c r="AH20" s="33">
        <v>0</v>
      </c>
      <c r="AI20" s="33">
        <v>0</v>
      </c>
      <c r="AJ20" s="33">
        <v>625</v>
      </c>
      <c r="AK20" s="37">
        <f t="shared" si="9"/>
        <v>0</v>
      </c>
      <c r="AL20" s="33">
        <v>0</v>
      </c>
      <c r="AM20" s="33">
        <v>6261</v>
      </c>
      <c r="AN20" s="33">
        <v>0</v>
      </c>
      <c r="AO20" s="33">
        <v>8210</v>
      </c>
      <c r="AP20" s="33"/>
      <c r="AQ20" s="33">
        <v>0</v>
      </c>
      <c r="AR20" s="33">
        <v>0</v>
      </c>
      <c r="AS20" s="33">
        <v>3</v>
      </c>
      <c r="AT20" s="33">
        <v>0</v>
      </c>
      <c r="AU20" s="38">
        <v>0</v>
      </c>
      <c r="AV20" s="38">
        <v>0</v>
      </c>
      <c r="AW20" s="38">
        <v>-1</v>
      </c>
      <c r="AX20" s="38">
        <v>0</v>
      </c>
      <c r="AY20" s="38">
        <v>0</v>
      </c>
      <c r="AZ20" s="33">
        <f t="shared" si="8"/>
        <v>2</v>
      </c>
      <c r="BA20" s="33">
        <v>0</v>
      </c>
      <c r="BB20" s="33">
        <v>0</v>
      </c>
      <c r="BC20" s="33">
        <v>0</v>
      </c>
      <c r="BD20" s="33">
        <v>0</v>
      </c>
      <c r="BE20" s="33">
        <v>0</v>
      </c>
      <c r="BF20" s="33">
        <v>0</v>
      </c>
    </row>
    <row r="21" spans="1:233" ht="15.75" x14ac:dyDescent="0.25">
      <c r="A21" s="31">
        <v>8</v>
      </c>
      <c r="B21" s="32" t="s">
        <v>236</v>
      </c>
      <c r="C21" s="32" t="s">
        <v>85</v>
      </c>
      <c r="D21" s="32" t="s">
        <v>117</v>
      </c>
      <c r="E21" s="33" t="s">
        <v>177</v>
      </c>
      <c r="F21" s="33" t="s">
        <v>111</v>
      </c>
      <c r="G21" s="33" t="s">
        <v>177</v>
      </c>
      <c r="H21" s="33">
        <v>266896</v>
      </c>
      <c r="I21" s="33">
        <v>266913</v>
      </c>
      <c r="J21" s="33">
        <v>0</v>
      </c>
      <c r="K21" s="33">
        <v>225738</v>
      </c>
      <c r="L21" s="33">
        <v>9724</v>
      </c>
      <c r="M21" s="33">
        <v>3575</v>
      </c>
      <c r="N21" s="33">
        <v>3248</v>
      </c>
      <c r="O21" s="33">
        <v>262896</v>
      </c>
      <c r="P21" s="34">
        <v>0.01</v>
      </c>
      <c r="Q21" s="33">
        <v>0</v>
      </c>
      <c r="R21" s="33">
        <v>261929</v>
      </c>
      <c r="S21" s="35">
        <v>0</v>
      </c>
      <c r="T21" s="36">
        <f>19645/261929</f>
        <v>7.5001240794261043E-2</v>
      </c>
      <c r="U21" s="33">
        <v>20611</v>
      </c>
      <c r="V21" s="33">
        <v>0</v>
      </c>
      <c r="W21" s="33">
        <f>17+23</f>
        <v>40</v>
      </c>
      <c r="X21" s="33">
        <v>2500</v>
      </c>
      <c r="Y21" s="33">
        <v>231</v>
      </c>
      <c r="Z21" s="33">
        <v>0</v>
      </c>
      <c r="AA21" s="33">
        <v>0</v>
      </c>
      <c r="AB21" s="33">
        <v>0</v>
      </c>
      <c r="AC21" s="33">
        <v>0</v>
      </c>
      <c r="AD21" s="33">
        <v>0</v>
      </c>
      <c r="AE21" s="33">
        <f>189+567</f>
        <v>756</v>
      </c>
      <c r="AF21" s="33">
        <v>0</v>
      </c>
      <c r="AG21" s="33">
        <v>0</v>
      </c>
      <c r="AH21" s="33">
        <v>0</v>
      </c>
      <c r="AI21" s="33">
        <v>0</v>
      </c>
      <c r="AJ21" s="33">
        <v>3589</v>
      </c>
      <c r="AK21" s="37">
        <f t="shared" si="9"/>
        <v>0</v>
      </c>
      <c r="AL21" s="33">
        <v>0</v>
      </c>
      <c r="AM21" s="33">
        <v>13345</v>
      </c>
      <c r="AN21" s="33">
        <v>0</v>
      </c>
      <c r="AO21" s="33">
        <v>17710</v>
      </c>
      <c r="AP21" s="33"/>
      <c r="AQ21" s="33">
        <v>0</v>
      </c>
      <c r="AR21" s="33">
        <v>0</v>
      </c>
      <c r="AS21" s="33">
        <v>7</v>
      </c>
      <c r="AT21" s="33">
        <v>3</v>
      </c>
      <c r="AU21" s="38">
        <v>0</v>
      </c>
      <c r="AV21" s="38">
        <v>0</v>
      </c>
      <c r="AW21" s="38">
        <v>0</v>
      </c>
      <c r="AX21" s="38">
        <v>0</v>
      </c>
      <c r="AY21" s="38">
        <v>0</v>
      </c>
      <c r="AZ21" s="33">
        <f t="shared" si="8"/>
        <v>10</v>
      </c>
      <c r="BA21" s="33">
        <v>0</v>
      </c>
      <c r="BB21" s="33">
        <v>0</v>
      </c>
      <c r="BC21" s="33">
        <v>0</v>
      </c>
      <c r="BD21" s="33">
        <v>0</v>
      </c>
      <c r="BE21" s="33">
        <v>0</v>
      </c>
      <c r="BF21" s="33">
        <v>0</v>
      </c>
    </row>
    <row r="22" spans="1:233" s="29" customFormat="1" ht="15.75" x14ac:dyDescent="0.25">
      <c r="A22" s="40">
        <v>8</v>
      </c>
      <c r="B22" s="41" t="s">
        <v>237</v>
      </c>
      <c r="C22" s="41" t="s">
        <v>32</v>
      </c>
      <c r="D22" s="41" t="s">
        <v>38</v>
      </c>
      <c r="E22" s="42" t="s">
        <v>177</v>
      </c>
      <c r="F22" s="42" t="s">
        <v>59</v>
      </c>
      <c r="G22" s="42" t="s">
        <v>177</v>
      </c>
      <c r="H22" s="42">
        <v>2368644</v>
      </c>
      <c r="I22" s="42">
        <v>2368679</v>
      </c>
      <c r="J22" s="42">
        <v>8615</v>
      </c>
      <c r="K22" s="42">
        <v>2054730</v>
      </c>
      <c r="L22" s="42">
        <v>36884</v>
      </c>
      <c r="M22" s="42">
        <v>94338</v>
      </c>
      <c r="N22" s="42">
        <v>49739</v>
      </c>
      <c r="O22" s="42">
        <v>2342715</v>
      </c>
      <c r="P22" s="43">
        <v>1</v>
      </c>
      <c r="Q22" s="42">
        <v>0</v>
      </c>
      <c r="R22" s="42">
        <v>1397097</v>
      </c>
      <c r="S22" s="42">
        <v>945617</v>
      </c>
      <c r="T22" s="44">
        <f>112194/2342715</f>
        <v>4.789058848387448E-2</v>
      </c>
      <c r="U22" s="42">
        <v>106777</v>
      </c>
      <c r="V22" s="42">
        <v>0</v>
      </c>
      <c r="W22" s="42">
        <f>35+3</f>
        <v>38</v>
      </c>
      <c r="X22" s="42">
        <v>0</v>
      </c>
      <c r="Y22" s="42">
        <v>0</v>
      </c>
      <c r="Z22" s="42">
        <v>0</v>
      </c>
      <c r="AA22" s="42">
        <v>0</v>
      </c>
      <c r="AB22" s="42">
        <v>0</v>
      </c>
      <c r="AC22" s="42">
        <v>0</v>
      </c>
      <c r="AD22" s="42">
        <v>7500</v>
      </c>
      <c r="AE22" s="42">
        <v>50</v>
      </c>
      <c r="AF22" s="42">
        <v>1788</v>
      </c>
      <c r="AG22" s="42">
        <v>0</v>
      </c>
      <c r="AH22" s="42">
        <v>0</v>
      </c>
      <c r="AI22" s="42">
        <v>5000</v>
      </c>
      <c r="AJ22" s="42">
        <v>16960</v>
      </c>
      <c r="AK22" s="45">
        <f t="shared" si="9"/>
        <v>0.294811320754717</v>
      </c>
      <c r="AL22" s="42">
        <v>0</v>
      </c>
      <c r="AM22" s="42">
        <v>91618</v>
      </c>
      <c r="AN22" s="42">
        <v>0</v>
      </c>
      <c r="AO22" s="42">
        <v>10000</v>
      </c>
      <c r="AP22" s="42"/>
      <c r="AQ22" s="42">
        <v>0</v>
      </c>
      <c r="AR22" s="42">
        <v>0</v>
      </c>
      <c r="AS22" s="42">
        <v>32</v>
      </c>
      <c r="AT22" s="42">
        <v>10</v>
      </c>
      <c r="AU22" s="46">
        <v>0</v>
      </c>
      <c r="AV22" s="46">
        <v>-1</v>
      </c>
      <c r="AW22" s="46">
        <v>-6</v>
      </c>
      <c r="AX22" s="46">
        <v>-1</v>
      </c>
      <c r="AY22" s="46">
        <v>0</v>
      </c>
      <c r="AZ22" s="42">
        <f t="shared" si="8"/>
        <v>34</v>
      </c>
      <c r="BA22" s="42">
        <v>0</v>
      </c>
      <c r="BB22" s="42">
        <v>1</v>
      </c>
      <c r="BC22" s="42">
        <v>0</v>
      </c>
      <c r="BD22" s="42">
        <v>0</v>
      </c>
      <c r="BE22" s="42">
        <v>0</v>
      </c>
      <c r="BF22" s="42">
        <v>1</v>
      </c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I22" s="28"/>
      <c r="CJ22" s="28"/>
      <c r="CK22" s="28"/>
      <c r="CL22" s="28"/>
      <c r="CM22" s="28"/>
      <c r="CN22" s="28"/>
      <c r="CO22" s="28"/>
      <c r="CP22" s="28"/>
      <c r="CQ22" s="28"/>
      <c r="CR22" s="28"/>
      <c r="CS22" s="28"/>
      <c r="CT22" s="28"/>
      <c r="CU22" s="28"/>
      <c r="CV22" s="28"/>
      <c r="CW22" s="28"/>
      <c r="CX22" s="28"/>
      <c r="CY22" s="28"/>
      <c r="CZ22" s="28"/>
      <c r="DA22" s="28"/>
      <c r="DB22" s="28"/>
      <c r="DC22" s="28"/>
      <c r="DD22" s="28"/>
      <c r="DE22" s="28"/>
      <c r="DF22" s="28"/>
      <c r="DG22" s="28"/>
      <c r="DH22" s="28"/>
      <c r="DI22" s="28"/>
      <c r="DJ22" s="28"/>
      <c r="DK22" s="28"/>
      <c r="DL22" s="28"/>
      <c r="DM22" s="28"/>
      <c r="DN22" s="28"/>
      <c r="DO22" s="28"/>
      <c r="DP22" s="28"/>
      <c r="DQ22" s="28"/>
      <c r="DR22" s="28"/>
      <c r="DS22" s="28"/>
      <c r="DT22" s="28"/>
      <c r="DU22" s="28"/>
      <c r="DV22" s="28"/>
      <c r="DW22" s="28"/>
      <c r="DX22" s="28"/>
      <c r="DY22" s="28"/>
      <c r="DZ22" s="28"/>
      <c r="EA22" s="28"/>
      <c r="EB22" s="28"/>
      <c r="EC22" s="28"/>
      <c r="ED22" s="28"/>
      <c r="EE22" s="28"/>
      <c r="EF22" s="28"/>
      <c r="EG22" s="28"/>
      <c r="EH22" s="28"/>
      <c r="EI22" s="28"/>
      <c r="EJ22" s="28"/>
      <c r="EK22" s="28"/>
      <c r="EL22" s="28"/>
      <c r="EM22" s="28"/>
      <c r="EN22" s="28"/>
      <c r="EO22" s="28"/>
      <c r="EP22" s="28"/>
      <c r="EQ22" s="28"/>
      <c r="ER22" s="28"/>
      <c r="ES22" s="28"/>
      <c r="ET22" s="28"/>
      <c r="EU22" s="28"/>
      <c r="EV22" s="28"/>
      <c r="EW22" s="28"/>
      <c r="EX22" s="28"/>
      <c r="EY22" s="28"/>
      <c r="EZ22" s="28"/>
      <c r="FA22" s="28"/>
      <c r="FB22" s="28"/>
      <c r="FC22" s="28"/>
      <c r="FD22" s="28"/>
      <c r="FE22" s="28"/>
      <c r="FF22" s="28"/>
      <c r="FG22" s="28"/>
      <c r="FH22" s="28"/>
      <c r="FI22" s="28"/>
      <c r="FJ22" s="28"/>
      <c r="FK22" s="28"/>
      <c r="FL22" s="28"/>
      <c r="FM22" s="28"/>
      <c r="FN22" s="28"/>
      <c r="FO22" s="28"/>
      <c r="FP22" s="28"/>
      <c r="FQ22" s="28"/>
      <c r="FR22" s="28"/>
      <c r="FS22" s="28"/>
      <c r="FT22" s="28"/>
      <c r="FU22" s="28"/>
      <c r="FV22" s="28"/>
      <c r="FW22" s="28"/>
      <c r="FX22" s="28"/>
      <c r="FY22" s="28"/>
      <c r="FZ22" s="28"/>
      <c r="GA22" s="28"/>
      <c r="GB22" s="28"/>
      <c r="GC22" s="28"/>
      <c r="GD22" s="28"/>
      <c r="GE22" s="28"/>
      <c r="GF22" s="28"/>
      <c r="GG22" s="28"/>
      <c r="GH22" s="28"/>
      <c r="GI22" s="28"/>
      <c r="GJ22" s="28"/>
      <c r="GK22" s="28"/>
      <c r="GL22" s="28"/>
      <c r="GM22" s="28"/>
      <c r="GN22" s="28"/>
      <c r="GO22" s="28"/>
      <c r="GP22" s="28"/>
      <c r="GQ22" s="28"/>
      <c r="GR22" s="28"/>
      <c r="GS22" s="28"/>
      <c r="GT22" s="28"/>
      <c r="GU22" s="28"/>
      <c r="GV22" s="28"/>
      <c r="GW22" s="28"/>
      <c r="GX22" s="28"/>
      <c r="GY22" s="28"/>
      <c r="GZ22" s="28"/>
      <c r="HA22" s="28"/>
      <c r="HB22" s="28"/>
      <c r="HC22" s="28"/>
      <c r="HD22" s="28"/>
      <c r="HE22" s="28"/>
      <c r="HF22" s="28"/>
      <c r="HG22" s="28"/>
      <c r="HH22" s="28"/>
      <c r="HI22" s="28"/>
      <c r="HJ22" s="28"/>
      <c r="HK22" s="28"/>
      <c r="HL22" s="28"/>
      <c r="HM22" s="28"/>
      <c r="HN22" s="28"/>
      <c r="HO22" s="28"/>
      <c r="HP22" s="28"/>
      <c r="HQ22" s="28"/>
      <c r="HR22" s="28"/>
      <c r="HS22" s="28"/>
      <c r="HT22" s="28"/>
      <c r="HU22" s="28"/>
      <c r="HV22" s="28"/>
      <c r="HW22" s="28"/>
      <c r="HX22" s="28"/>
      <c r="HY22" s="28"/>
    </row>
    <row r="23" spans="1:233" ht="15.75" x14ac:dyDescent="0.25">
      <c r="A23" s="31">
        <v>9</v>
      </c>
      <c r="B23" s="32" t="s">
        <v>238</v>
      </c>
      <c r="C23" s="32" t="s">
        <v>96</v>
      </c>
      <c r="D23" s="32" t="s">
        <v>203</v>
      </c>
      <c r="E23" s="33" t="s">
        <v>109</v>
      </c>
      <c r="F23" s="33" t="s">
        <v>194</v>
      </c>
      <c r="G23" s="33" t="s">
        <v>109</v>
      </c>
      <c r="H23" s="33">
        <v>1864517</v>
      </c>
      <c r="I23" s="33">
        <v>1864517</v>
      </c>
      <c r="J23" s="33">
        <v>545579</v>
      </c>
      <c r="K23" s="33">
        <v>946396</v>
      </c>
      <c r="L23" s="33">
        <v>6848</v>
      </c>
      <c r="M23" s="33">
        <v>160187</v>
      </c>
      <c r="N23" s="33">
        <v>71938</v>
      </c>
      <c r="O23" s="33">
        <v>1275066</v>
      </c>
      <c r="P23" s="34">
        <v>0.88</v>
      </c>
      <c r="Q23" s="33">
        <v>0</v>
      </c>
      <c r="R23" s="33">
        <v>1245276</v>
      </c>
      <c r="S23" s="35">
        <v>29790</v>
      </c>
      <c r="T23" s="36">
        <f>72497/1275066</f>
        <v>5.6857448947740745E-2</v>
      </c>
      <c r="U23" s="33">
        <v>72493</v>
      </c>
      <c r="V23" s="33">
        <v>0</v>
      </c>
      <c r="W23" s="33">
        <v>0</v>
      </c>
      <c r="X23" s="33">
        <v>0</v>
      </c>
      <c r="Y23" s="33">
        <v>0</v>
      </c>
      <c r="Z23" s="33">
        <v>0</v>
      </c>
      <c r="AA23" s="33">
        <v>4200</v>
      </c>
      <c r="AB23" s="33">
        <v>1219</v>
      </c>
      <c r="AC23" s="33">
        <v>581</v>
      </c>
      <c r="AD23" s="33">
        <v>0</v>
      </c>
      <c r="AE23" s="33">
        <f>941+527+1055</f>
        <v>2523</v>
      </c>
      <c r="AF23" s="33">
        <v>2670</v>
      </c>
      <c r="AG23" s="33">
        <v>0</v>
      </c>
      <c r="AH23" s="33">
        <v>194</v>
      </c>
      <c r="AI23" s="33">
        <v>3416</v>
      </c>
      <c r="AJ23" s="33">
        <v>16078</v>
      </c>
      <c r="AK23" s="37">
        <f t="shared" si="9"/>
        <v>0.21246423684537877</v>
      </c>
      <c r="AL23" s="33">
        <v>0</v>
      </c>
      <c r="AM23" s="33">
        <v>56413</v>
      </c>
      <c r="AN23" s="33">
        <v>0</v>
      </c>
      <c r="AO23" s="33">
        <v>3</v>
      </c>
      <c r="AP23" s="33"/>
      <c r="AQ23" s="33">
        <v>0</v>
      </c>
      <c r="AR23" s="33">
        <v>0</v>
      </c>
      <c r="AS23" s="33">
        <v>38</v>
      </c>
      <c r="AT23" s="33">
        <v>1</v>
      </c>
      <c r="AU23" s="38">
        <v>0</v>
      </c>
      <c r="AV23" s="38">
        <v>-3</v>
      </c>
      <c r="AW23" s="38">
        <v>-1</v>
      </c>
      <c r="AX23" s="38">
        <v>-3</v>
      </c>
      <c r="AY23" s="38">
        <v>0</v>
      </c>
      <c r="AZ23" s="33">
        <f t="shared" si="8"/>
        <v>32</v>
      </c>
      <c r="BA23" s="33">
        <v>0</v>
      </c>
      <c r="BB23" s="33">
        <v>1</v>
      </c>
      <c r="BC23" s="33">
        <v>0</v>
      </c>
      <c r="BD23" s="33">
        <v>1</v>
      </c>
      <c r="BE23" s="33">
        <v>1</v>
      </c>
      <c r="BF23" s="33">
        <v>0</v>
      </c>
    </row>
    <row r="24" spans="1:233" ht="15.75" x14ac:dyDescent="0.25">
      <c r="A24" s="31">
        <v>9</v>
      </c>
      <c r="B24" s="32" t="s">
        <v>239</v>
      </c>
      <c r="C24" s="32" t="s">
        <v>176</v>
      </c>
      <c r="D24" s="32" t="s">
        <v>159</v>
      </c>
      <c r="E24" s="33" t="s">
        <v>109</v>
      </c>
      <c r="F24" s="33" t="s">
        <v>59</v>
      </c>
      <c r="G24" s="33" t="s">
        <v>109</v>
      </c>
      <c r="H24" s="33">
        <v>691869</v>
      </c>
      <c r="I24" s="33">
        <v>691869</v>
      </c>
      <c r="J24" s="33">
        <v>29794</v>
      </c>
      <c r="K24" s="33">
        <v>378069</v>
      </c>
      <c r="L24" s="33">
        <v>4308</v>
      </c>
      <c r="M24" s="33">
        <v>95086</v>
      </c>
      <c r="N24" s="33">
        <v>131599</v>
      </c>
      <c r="O24" s="33">
        <v>647687</v>
      </c>
      <c r="P24" s="34">
        <v>1.0900000000000001</v>
      </c>
      <c r="Q24" s="33">
        <v>0</v>
      </c>
      <c r="R24" s="33">
        <f>582023+65664</f>
        <v>647687</v>
      </c>
      <c r="S24" s="35">
        <v>0</v>
      </c>
      <c r="T24" s="36">
        <f>38637/647687</f>
        <v>5.9653814265223787E-2</v>
      </c>
      <c r="U24" s="33">
        <v>38625</v>
      </c>
      <c r="V24" s="33">
        <v>0</v>
      </c>
      <c r="W24" s="33">
        <v>0</v>
      </c>
      <c r="X24" s="33">
        <v>2419</v>
      </c>
      <c r="Y24" s="33">
        <v>172</v>
      </c>
      <c r="Z24" s="33">
        <v>488</v>
      </c>
      <c r="AA24" s="33">
        <v>340</v>
      </c>
      <c r="AB24" s="33">
        <v>0</v>
      </c>
      <c r="AC24" s="33">
        <v>748</v>
      </c>
      <c r="AD24" s="33">
        <v>0</v>
      </c>
      <c r="AE24" s="33">
        <f>49+189+144</f>
        <v>382</v>
      </c>
      <c r="AF24" s="33">
        <v>0</v>
      </c>
      <c r="AG24" s="33">
        <v>77</v>
      </c>
      <c r="AH24" s="33">
        <v>117</v>
      </c>
      <c r="AI24" s="33">
        <v>0</v>
      </c>
      <c r="AJ24" s="33">
        <v>5015</v>
      </c>
      <c r="AK24" s="37">
        <f t="shared" si="9"/>
        <v>0</v>
      </c>
      <c r="AL24" s="33">
        <v>0</v>
      </c>
      <c r="AM24" s="33">
        <v>33104</v>
      </c>
      <c r="AN24" s="33">
        <v>0</v>
      </c>
      <c r="AO24" s="33">
        <v>4654</v>
      </c>
      <c r="AP24" s="33"/>
      <c r="AQ24" s="33">
        <v>0</v>
      </c>
      <c r="AR24" s="33">
        <v>0</v>
      </c>
      <c r="AS24" s="33">
        <v>26</v>
      </c>
      <c r="AT24" s="33">
        <v>8</v>
      </c>
      <c r="AU24" s="38">
        <v>0</v>
      </c>
      <c r="AV24" s="38">
        <v>-1</v>
      </c>
      <c r="AW24" s="38">
        <v>-3</v>
      </c>
      <c r="AX24" s="38">
        <v>-4</v>
      </c>
      <c r="AY24" s="38">
        <v>0</v>
      </c>
      <c r="AZ24" s="33">
        <f t="shared" si="8"/>
        <v>26</v>
      </c>
      <c r="BA24" s="33">
        <v>0</v>
      </c>
      <c r="BB24" s="33">
        <v>1</v>
      </c>
      <c r="BC24" s="33">
        <v>1</v>
      </c>
      <c r="BD24" s="33">
        <v>2</v>
      </c>
      <c r="BE24" s="33">
        <v>0</v>
      </c>
      <c r="BF24" s="33">
        <v>0</v>
      </c>
    </row>
    <row r="25" spans="1:233" ht="15.75" x14ac:dyDescent="0.25">
      <c r="A25" s="31">
        <v>9</v>
      </c>
      <c r="B25" s="32" t="s">
        <v>240</v>
      </c>
      <c r="C25" s="32" t="s">
        <v>75</v>
      </c>
      <c r="D25" s="32" t="s">
        <v>198</v>
      </c>
      <c r="E25" s="33" t="s">
        <v>129</v>
      </c>
      <c r="F25" s="33" t="s">
        <v>168</v>
      </c>
      <c r="G25" s="33" t="s">
        <v>129</v>
      </c>
      <c r="H25" s="33">
        <v>45379</v>
      </c>
      <c r="I25" s="33">
        <v>45382</v>
      </c>
      <c r="J25" s="33">
        <v>0</v>
      </c>
      <c r="K25" s="33">
        <v>29998</v>
      </c>
      <c r="L25" s="33">
        <v>0</v>
      </c>
      <c r="M25" s="33">
        <v>1653</v>
      </c>
      <c r="N25" s="33">
        <v>0</v>
      </c>
      <c r="O25" s="33">
        <v>35059</v>
      </c>
      <c r="P25" s="34">
        <v>6.2</v>
      </c>
      <c r="Q25" s="33">
        <v>0</v>
      </c>
      <c r="R25" s="33">
        <v>35059</v>
      </c>
      <c r="S25" s="35">
        <v>0</v>
      </c>
      <c r="T25" s="36">
        <f>3506/35059</f>
        <v>0.10000285233463591</v>
      </c>
      <c r="U25" s="33">
        <v>3407</v>
      </c>
      <c r="V25" s="33">
        <v>0</v>
      </c>
      <c r="W25" s="33">
        <v>2</v>
      </c>
      <c r="X25" s="33">
        <v>0</v>
      </c>
      <c r="Y25" s="33">
        <v>0</v>
      </c>
      <c r="Z25" s="33">
        <v>0</v>
      </c>
      <c r="AA25" s="33">
        <v>549</v>
      </c>
      <c r="AB25" s="33">
        <v>2400</v>
      </c>
      <c r="AC25" s="33">
        <v>0</v>
      </c>
      <c r="AD25" s="33">
        <v>300</v>
      </c>
      <c r="AE25" s="33">
        <f>50+60</f>
        <v>110</v>
      </c>
      <c r="AF25" s="33">
        <v>0</v>
      </c>
      <c r="AG25" s="33">
        <v>0</v>
      </c>
      <c r="AH25" s="33">
        <v>0</v>
      </c>
      <c r="AI25" s="33">
        <v>0</v>
      </c>
      <c r="AJ25" s="33">
        <v>3408</v>
      </c>
      <c r="AK25" s="37">
        <f t="shared" si="9"/>
        <v>0</v>
      </c>
      <c r="AL25" s="33">
        <v>0</v>
      </c>
      <c r="AM25" s="33">
        <v>2269</v>
      </c>
      <c r="AN25" s="33">
        <v>0</v>
      </c>
      <c r="AO25" s="33">
        <v>1731</v>
      </c>
      <c r="AP25" s="33"/>
      <c r="AQ25" s="33">
        <v>0</v>
      </c>
      <c r="AR25" s="33">
        <v>0</v>
      </c>
      <c r="AS25" s="33">
        <v>4</v>
      </c>
      <c r="AT25" s="33">
        <v>1</v>
      </c>
      <c r="AU25" s="38">
        <v>0</v>
      </c>
      <c r="AV25" s="38">
        <v>0</v>
      </c>
      <c r="AW25" s="38">
        <v>0</v>
      </c>
      <c r="AX25" s="38">
        <v>-1</v>
      </c>
      <c r="AY25" s="38">
        <v>0</v>
      </c>
      <c r="AZ25" s="33">
        <f t="shared" si="8"/>
        <v>4</v>
      </c>
      <c r="BA25" s="33">
        <v>0</v>
      </c>
      <c r="BB25" s="33">
        <v>0</v>
      </c>
      <c r="BC25" s="33">
        <v>0</v>
      </c>
      <c r="BD25" s="33">
        <v>1</v>
      </c>
      <c r="BE25" s="33">
        <v>0</v>
      </c>
      <c r="BF25" s="33">
        <v>0</v>
      </c>
    </row>
    <row r="26" spans="1:233" ht="15.75" x14ac:dyDescent="0.25">
      <c r="A26" s="31">
        <v>10</v>
      </c>
      <c r="B26" s="32" t="s">
        <v>241</v>
      </c>
      <c r="C26" s="32" t="s">
        <v>96</v>
      </c>
      <c r="D26" s="32" t="s">
        <v>166</v>
      </c>
      <c r="E26" s="33" t="s">
        <v>90</v>
      </c>
      <c r="F26" s="33" t="s">
        <v>167</v>
      </c>
      <c r="G26" s="33" t="s">
        <v>90</v>
      </c>
      <c r="H26" s="33">
        <v>571990</v>
      </c>
      <c r="I26" s="33">
        <v>626766</v>
      </c>
      <c r="J26" s="33">
        <v>47415</v>
      </c>
      <c r="K26" s="33">
        <v>226545</v>
      </c>
      <c r="L26" s="33">
        <v>1708</v>
      </c>
      <c r="M26" s="33">
        <v>160668</v>
      </c>
      <c r="N26" s="33">
        <v>95446</v>
      </c>
      <c r="O26" s="33">
        <v>563441</v>
      </c>
      <c r="P26" s="34">
        <v>1</v>
      </c>
      <c r="Q26" s="33">
        <f>563441-506567</f>
        <v>56874</v>
      </c>
      <c r="R26" s="33">
        <v>333018</v>
      </c>
      <c r="S26" s="33">
        <v>173549</v>
      </c>
      <c r="T26" s="39">
        <f>21857/506567</f>
        <v>4.3147303318218519E-2</v>
      </c>
      <c r="U26" s="33">
        <v>21857</v>
      </c>
      <c r="V26" s="33">
        <v>1337483</v>
      </c>
      <c r="W26" s="33">
        <f>64+13</f>
        <v>77</v>
      </c>
      <c r="X26" s="33">
        <v>0</v>
      </c>
      <c r="Y26" s="33">
        <v>0</v>
      </c>
      <c r="Z26" s="33">
        <v>0</v>
      </c>
      <c r="AA26" s="33">
        <v>0</v>
      </c>
      <c r="AB26" s="33">
        <v>0</v>
      </c>
      <c r="AC26" s="33">
        <v>0</v>
      </c>
      <c r="AD26" s="33">
        <v>0</v>
      </c>
      <c r="AE26" s="33">
        <v>199</v>
      </c>
      <c r="AF26" s="33">
        <v>796</v>
      </c>
      <c r="AG26" s="33">
        <v>0</v>
      </c>
      <c r="AH26" s="33">
        <v>0</v>
      </c>
      <c r="AI26" s="33">
        <v>0</v>
      </c>
      <c r="AJ26" s="33">
        <v>6890</v>
      </c>
      <c r="AK26" s="37">
        <f t="shared" si="9"/>
        <v>0</v>
      </c>
      <c r="AL26" s="33">
        <v>0</v>
      </c>
      <c r="AM26" s="33">
        <v>69511</v>
      </c>
      <c r="AN26" s="33">
        <v>0</v>
      </c>
      <c r="AO26" s="33">
        <v>0</v>
      </c>
      <c r="AP26" s="33"/>
      <c r="AQ26" s="33">
        <v>0</v>
      </c>
      <c r="AR26" s="33">
        <v>0</v>
      </c>
      <c r="AS26" s="33">
        <v>13</v>
      </c>
      <c r="AT26" s="33">
        <v>3</v>
      </c>
      <c r="AU26" s="38">
        <v>0</v>
      </c>
      <c r="AV26" s="38">
        <v>0</v>
      </c>
      <c r="AW26" s="38">
        <v>-1</v>
      </c>
      <c r="AX26" s="38">
        <v>-3</v>
      </c>
      <c r="AY26" s="38">
        <v>0</v>
      </c>
      <c r="AZ26" s="33">
        <f t="shared" si="8"/>
        <v>12</v>
      </c>
      <c r="BA26" s="33">
        <v>0</v>
      </c>
      <c r="BB26" s="33">
        <v>1</v>
      </c>
      <c r="BC26" s="33">
        <v>0</v>
      </c>
      <c r="BD26" s="33">
        <v>0</v>
      </c>
      <c r="BE26" s="33">
        <v>2</v>
      </c>
      <c r="BF26" s="33">
        <v>0</v>
      </c>
    </row>
    <row r="27" spans="1:233" ht="15.75" x14ac:dyDescent="0.25">
      <c r="A27" s="31">
        <v>10</v>
      </c>
      <c r="B27" s="32" t="s">
        <v>242</v>
      </c>
      <c r="C27" s="32" t="s">
        <v>135</v>
      </c>
      <c r="D27" s="32" t="s">
        <v>108</v>
      </c>
      <c r="E27" s="33" t="s">
        <v>90</v>
      </c>
      <c r="F27" s="33" t="s">
        <v>125</v>
      </c>
      <c r="G27" s="33" t="s">
        <v>90</v>
      </c>
      <c r="H27" s="33">
        <v>891765</v>
      </c>
      <c r="I27" s="33">
        <v>891765</v>
      </c>
      <c r="J27" s="33">
        <v>0</v>
      </c>
      <c r="K27" s="33">
        <v>463660</v>
      </c>
      <c r="L27" s="33">
        <v>9039</v>
      </c>
      <c r="M27" s="33">
        <v>356479</v>
      </c>
      <c r="N27" s="33">
        <v>47504</v>
      </c>
      <c r="O27" s="33">
        <v>932189</v>
      </c>
      <c r="P27" s="34">
        <v>1.22</v>
      </c>
      <c r="Q27" s="33">
        <f>932189-918478</f>
        <v>13711</v>
      </c>
      <c r="R27" s="33">
        <v>712071</v>
      </c>
      <c r="S27" s="33">
        <v>206407</v>
      </c>
      <c r="T27" s="39">
        <f>41796/918478</f>
        <v>4.5505717066712539E-2</v>
      </c>
      <c r="U27" s="33">
        <v>41795</v>
      </c>
      <c r="V27" s="33">
        <v>274235</v>
      </c>
      <c r="W27" s="33">
        <v>0.05</v>
      </c>
      <c r="X27" s="33">
        <v>789</v>
      </c>
      <c r="Y27" s="33">
        <v>60</v>
      </c>
      <c r="Z27" s="33">
        <v>109</v>
      </c>
      <c r="AA27" s="33">
        <v>256</v>
      </c>
      <c r="AB27" s="33">
        <v>0</v>
      </c>
      <c r="AC27" s="33">
        <v>548</v>
      </c>
      <c r="AD27" s="33">
        <v>726</v>
      </c>
      <c r="AE27" s="33">
        <f>25+50+69</f>
        <v>144</v>
      </c>
      <c r="AF27" s="33">
        <v>1182</v>
      </c>
      <c r="AG27" s="33">
        <v>7</v>
      </c>
      <c r="AH27" s="33">
        <v>35</v>
      </c>
      <c r="AI27" s="33">
        <v>0</v>
      </c>
      <c r="AJ27" s="33">
        <v>9893</v>
      </c>
      <c r="AK27" s="37">
        <f t="shared" si="9"/>
        <v>0</v>
      </c>
      <c r="AL27" s="33">
        <v>0</v>
      </c>
      <c r="AM27" s="33">
        <v>46778</v>
      </c>
      <c r="AN27" s="33">
        <v>0</v>
      </c>
      <c r="AO27" s="33">
        <v>68</v>
      </c>
      <c r="AP27" s="33"/>
      <c r="AQ27" s="33">
        <v>0</v>
      </c>
      <c r="AR27" s="33">
        <v>0</v>
      </c>
      <c r="AS27" s="33">
        <v>14</v>
      </c>
      <c r="AT27" s="33">
        <v>3</v>
      </c>
      <c r="AU27" s="38">
        <v>0</v>
      </c>
      <c r="AV27" s="38">
        <v>-2</v>
      </c>
      <c r="AW27" s="38">
        <v>-2</v>
      </c>
      <c r="AX27" s="38">
        <v>0</v>
      </c>
      <c r="AY27" s="38">
        <v>0</v>
      </c>
      <c r="AZ27" s="33">
        <f t="shared" si="8"/>
        <v>13</v>
      </c>
      <c r="BA27" s="33">
        <v>0</v>
      </c>
      <c r="BB27" s="33">
        <v>0</v>
      </c>
      <c r="BC27" s="33">
        <v>0</v>
      </c>
      <c r="BD27" s="33">
        <v>0</v>
      </c>
      <c r="BE27" s="33">
        <v>0</v>
      </c>
      <c r="BF27" s="33">
        <v>0</v>
      </c>
    </row>
    <row r="28" spans="1:233" ht="15.75" x14ac:dyDescent="0.25">
      <c r="A28" s="31">
        <v>10</v>
      </c>
      <c r="B28" s="32" t="s">
        <v>243</v>
      </c>
      <c r="C28" s="32" t="s">
        <v>110</v>
      </c>
      <c r="D28" s="32" t="s">
        <v>138</v>
      </c>
      <c r="E28" s="33" t="s">
        <v>89</v>
      </c>
      <c r="F28" s="33" t="s">
        <v>37</v>
      </c>
      <c r="G28" s="33" t="s">
        <v>89</v>
      </c>
      <c r="H28" s="33">
        <v>760688</v>
      </c>
      <c r="I28" s="33">
        <v>760935</v>
      </c>
      <c r="J28" s="33">
        <v>5478</v>
      </c>
      <c r="K28" s="33">
        <v>529397</v>
      </c>
      <c r="L28" s="33">
        <v>50224</v>
      </c>
      <c r="M28" s="33">
        <v>97106</v>
      </c>
      <c r="N28" s="33">
        <v>0</v>
      </c>
      <c r="O28" s="33">
        <v>707477</v>
      </c>
      <c r="P28" s="34">
        <v>7</v>
      </c>
      <c r="Q28" s="33">
        <f>707477-670097</f>
        <v>37380</v>
      </c>
      <c r="R28" s="33">
        <v>532343</v>
      </c>
      <c r="S28" s="33">
        <v>137754</v>
      </c>
      <c r="T28" s="39">
        <f>30750/670097</f>
        <v>4.5888878774267006E-2</v>
      </c>
      <c r="U28" s="33">
        <v>30750</v>
      </c>
      <c r="V28" s="33">
        <v>0</v>
      </c>
      <c r="W28" s="33">
        <f>247+5</f>
        <v>252</v>
      </c>
      <c r="X28" s="33">
        <v>0</v>
      </c>
      <c r="Y28" s="33">
        <v>0</v>
      </c>
      <c r="Z28" s="33">
        <v>0</v>
      </c>
      <c r="AA28" s="33">
        <v>676</v>
      </c>
      <c r="AB28" s="33">
        <v>200</v>
      </c>
      <c r="AC28" s="33">
        <v>776</v>
      </c>
      <c r="AD28" s="33">
        <v>0</v>
      </c>
      <c r="AE28" s="33">
        <f>50+100+110</f>
        <v>260</v>
      </c>
      <c r="AF28" s="33">
        <v>0</v>
      </c>
      <c r="AG28" s="33">
        <v>0</v>
      </c>
      <c r="AH28" s="33">
        <v>0</v>
      </c>
      <c r="AI28" s="33">
        <v>0</v>
      </c>
      <c r="AJ28" s="33">
        <v>2436</v>
      </c>
      <c r="AK28" s="37">
        <f t="shared" si="9"/>
        <v>0</v>
      </c>
      <c r="AL28" s="33">
        <v>0</v>
      </c>
      <c r="AM28" s="33">
        <v>28450</v>
      </c>
      <c r="AN28" s="33">
        <v>0</v>
      </c>
      <c r="AO28" s="33">
        <v>537</v>
      </c>
      <c r="AP28" s="33"/>
      <c r="AQ28" s="33">
        <v>0</v>
      </c>
      <c r="AR28" s="33">
        <v>0</v>
      </c>
      <c r="AS28" s="33">
        <v>14</v>
      </c>
      <c r="AT28" s="33">
        <v>0</v>
      </c>
      <c r="AU28" s="38">
        <v>0</v>
      </c>
      <c r="AV28" s="38">
        <v>-1</v>
      </c>
      <c r="AW28" s="38">
        <v>-1</v>
      </c>
      <c r="AX28" s="38">
        <v>-2</v>
      </c>
      <c r="AY28" s="38">
        <v>0</v>
      </c>
      <c r="AZ28" s="33">
        <f t="shared" si="8"/>
        <v>10</v>
      </c>
      <c r="BA28" s="33">
        <v>0</v>
      </c>
      <c r="BB28" s="33">
        <v>0</v>
      </c>
      <c r="BC28" s="33">
        <v>0</v>
      </c>
      <c r="BD28" s="33">
        <v>2</v>
      </c>
      <c r="BE28" s="33">
        <v>0</v>
      </c>
      <c r="BF28" s="33">
        <v>0</v>
      </c>
    </row>
    <row r="29" spans="1:233" ht="15.75" x14ac:dyDescent="0.25">
      <c r="A29" s="31">
        <v>10</v>
      </c>
      <c r="B29" s="32" t="s">
        <v>244</v>
      </c>
      <c r="C29" s="32" t="s">
        <v>157</v>
      </c>
      <c r="D29" s="32" t="s">
        <v>29</v>
      </c>
      <c r="E29" s="33" t="s">
        <v>89</v>
      </c>
      <c r="F29" s="33" t="s">
        <v>167</v>
      </c>
      <c r="G29" s="33" t="s">
        <v>89</v>
      </c>
      <c r="H29" s="33">
        <v>413121</v>
      </c>
      <c r="I29" s="33">
        <v>413121</v>
      </c>
      <c r="J29" s="33">
        <v>181174</v>
      </c>
      <c r="K29" s="33">
        <v>236490</v>
      </c>
      <c r="L29" s="33">
        <v>10330</v>
      </c>
      <c r="M29" s="33">
        <v>214748</v>
      </c>
      <c r="N29" s="33">
        <v>17602</v>
      </c>
      <c r="O29" s="33">
        <v>504390</v>
      </c>
      <c r="P29" s="34">
        <v>1.5</v>
      </c>
      <c r="Q29" s="33">
        <v>0</v>
      </c>
      <c r="R29" s="33">
        <v>504390</v>
      </c>
      <c r="S29" s="35">
        <v>0</v>
      </c>
      <c r="T29" s="36">
        <f>25219/504390</f>
        <v>4.9999008703582544E-2</v>
      </c>
      <c r="U29" s="33">
        <v>25219</v>
      </c>
      <c r="V29" s="33">
        <v>0</v>
      </c>
      <c r="W29" s="33">
        <v>0</v>
      </c>
      <c r="X29" s="33">
        <v>1327</v>
      </c>
      <c r="Y29" s="33">
        <v>132</v>
      </c>
      <c r="Z29" s="33">
        <v>257</v>
      </c>
      <c r="AA29" s="33">
        <v>124</v>
      </c>
      <c r="AB29" s="33">
        <v>0</v>
      </c>
      <c r="AC29" s="33">
        <v>246</v>
      </c>
      <c r="AD29" s="33">
        <v>0</v>
      </c>
      <c r="AE29" s="33">
        <f>18+72+122</f>
        <v>212</v>
      </c>
      <c r="AF29" s="33">
        <v>0</v>
      </c>
      <c r="AG29" s="33">
        <v>0</v>
      </c>
      <c r="AH29" s="33">
        <v>28</v>
      </c>
      <c r="AI29" s="33">
        <v>0</v>
      </c>
      <c r="AJ29" s="33">
        <v>2801</v>
      </c>
      <c r="AK29" s="37">
        <f t="shared" si="9"/>
        <v>0</v>
      </c>
      <c r="AL29" s="33">
        <v>0</v>
      </c>
      <c r="AM29" s="33">
        <v>22300</v>
      </c>
      <c r="AN29" s="33">
        <v>10703</v>
      </c>
      <c r="AO29" s="33">
        <v>859</v>
      </c>
      <c r="AP29" s="33"/>
      <c r="AQ29" s="33">
        <v>0</v>
      </c>
      <c r="AR29" s="33">
        <v>0</v>
      </c>
      <c r="AS29" s="33">
        <v>10</v>
      </c>
      <c r="AT29" s="33">
        <v>1</v>
      </c>
      <c r="AU29" s="38">
        <v>0</v>
      </c>
      <c r="AV29" s="38">
        <v>0</v>
      </c>
      <c r="AW29" s="38">
        <v>0</v>
      </c>
      <c r="AX29" s="38">
        <v>-4</v>
      </c>
      <c r="AY29" s="38">
        <v>0</v>
      </c>
      <c r="AZ29" s="33">
        <f t="shared" si="8"/>
        <v>7</v>
      </c>
      <c r="BA29" s="33">
        <v>0</v>
      </c>
      <c r="BB29" s="33">
        <v>2</v>
      </c>
      <c r="BC29" s="33">
        <v>0</v>
      </c>
      <c r="BD29" s="33">
        <v>2</v>
      </c>
      <c r="BE29" s="33">
        <v>0</v>
      </c>
      <c r="BF29" s="33">
        <v>0</v>
      </c>
    </row>
    <row r="30" spans="1:233" ht="15.75" x14ac:dyDescent="0.25">
      <c r="A30" s="31">
        <v>11</v>
      </c>
      <c r="B30" s="32" t="s">
        <v>245</v>
      </c>
      <c r="C30" s="32" t="s">
        <v>197</v>
      </c>
      <c r="D30" s="32" t="s">
        <v>104</v>
      </c>
      <c r="E30" s="33" t="s">
        <v>195</v>
      </c>
      <c r="F30" s="33" t="s">
        <v>194</v>
      </c>
      <c r="G30" s="33" t="s">
        <v>195</v>
      </c>
      <c r="H30" s="33">
        <f>1351372+477419</f>
        <v>1828791</v>
      </c>
      <c r="I30" s="33">
        <f>466224+1370607</f>
        <v>1836831</v>
      </c>
      <c r="J30" s="33">
        <f>4650+2950</f>
        <v>7600</v>
      </c>
      <c r="K30" s="33">
        <f>365995+1099606</f>
        <v>1465601</v>
      </c>
      <c r="L30" s="33">
        <f>12374+14830</f>
        <v>27204</v>
      </c>
      <c r="M30" s="33">
        <f>47940+88378</f>
        <v>136318</v>
      </c>
      <c r="N30" s="33">
        <f>26528+65788</f>
        <v>92316</v>
      </c>
      <c r="O30" s="33">
        <f>470553+1353401</f>
        <v>1823954</v>
      </c>
      <c r="P30" s="34">
        <v>0.12</v>
      </c>
      <c r="Q30" s="33">
        <f>1823954-470352-1353394</f>
        <v>208</v>
      </c>
      <c r="R30" s="33">
        <f>1190142+200933+131861</f>
        <v>1522936</v>
      </c>
      <c r="S30" s="33">
        <f>163252+137559</f>
        <v>300811</v>
      </c>
      <c r="T30" s="39">
        <f>100835/1691885</f>
        <v>5.959920443765386E-2</v>
      </c>
      <c r="U30" s="33">
        <v>101080</v>
      </c>
      <c r="V30" s="33">
        <v>0</v>
      </c>
      <c r="W30" s="33">
        <v>0</v>
      </c>
      <c r="X30" s="33">
        <f>5348+15597</f>
        <v>20945</v>
      </c>
      <c r="Y30" s="33">
        <f>452+1227</f>
        <v>1679</v>
      </c>
      <c r="Z30" s="33">
        <f>846+2396</f>
        <v>3242</v>
      </c>
      <c r="AA30" s="33">
        <f>1489+2084</f>
        <v>3573</v>
      </c>
      <c r="AB30" s="33">
        <f>767+904</f>
        <v>1671</v>
      </c>
      <c r="AC30" s="33">
        <v>0</v>
      </c>
      <c r="AD30" s="33">
        <v>0</v>
      </c>
      <c r="AE30" s="33">
        <f>285+1+471+478+832+242</f>
        <v>2309</v>
      </c>
      <c r="AF30" s="33">
        <v>0</v>
      </c>
      <c r="AG30" s="33">
        <v>0</v>
      </c>
      <c r="AH30" s="33">
        <v>1055</v>
      </c>
      <c r="AI30" s="33">
        <v>0</v>
      </c>
      <c r="AJ30" s="33">
        <f>17507+29138</f>
        <v>46645</v>
      </c>
      <c r="AK30" s="37">
        <f t="shared" si="9"/>
        <v>0</v>
      </c>
      <c r="AL30" s="33">
        <v>0</v>
      </c>
      <c r="AM30" s="33">
        <f>23871+4812</f>
        <v>28683</v>
      </c>
      <c r="AN30" s="33">
        <v>233</v>
      </c>
      <c r="AO30" s="33">
        <f>61767</f>
        <v>61767</v>
      </c>
      <c r="AP30" s="33"/>
      <c r="AQ30" s="33">
        <v>0</v>
      </c>
      <c r="AR30" s="33">
        <v>0</v>
      </c>
      <c r="AS30" s="33">
        <v>57</v>
      </c>
      <c r="AT30" s="33">
        <f>13+9</f>
        <v>22</v>
      </c>
      <c r="AU30" s="38">
        <f>1+1</f>
        <v>2</v>
      </c>
      <c r="AV30" s="38">
        <v>-4</v>
      </c>
      <c r="AW30" s="38">
        <v>-12</v>
      </c>
      <c r="AX30" s="38">
        <v>-4</v>
      </c>
      <c r="AY30" s="38">
        <v>0</v>
      </c>
      <c r="AZ30" s="33">
        <f t="shared" si="8"/>
        <v>61</v>
      </c>
      <c r="BA30" s="33">
        <v>0</v>
      </c>
      <c r="BB30" s="33">
        <v>1</v>
      </c>
      <c r="BC30" s="33">
        <v>0</v>
      </c>
      <c r="BD30" s="33">
        <v>3</v>
      </c>
      <c r="BE30" s="33">
        <v>0</v>
      </c>
      <c r="BF30" s="33">
        <v>0</v>
      </c>
    </row>
    <row r="31" spans="1:233" ht="15.75" x14ac:dyDescent="0.25">
      <c r="A31" s="31">
        <v>11</v>
      </c>
      <c r="B31" s="32" t="s">
        <v>246</v>
      </c>
      <c r="C31" s="32" t="s">
        <v>50</v>
      </c>
      <c r="D31" s="32" t="s">
        <v>61</v>
      </c>
      <c r="E31" s="33" t="s">
        <v>195</v>
      </c>
      <c r="F31" s="33" t="s">
        <v>194</v>
      </c>
      <c r="G31" s="33" t="s">
        <v>195</v>
      </c>
      <c r="H31" s="33">
        <v>29084</v>
      </c>
      <c r="I31" s="33">
        <v>29358</v>
      </c>
      <c r="J31" s="33">
        <v>0</v>
      </c>
      <c r="K31" s="33">
        <v>16334</v>
      </c>
      <c r="L31" s="47">
        <v>0</v>
      </c>
      <c r="M31" s="47">
        <v>5696</v>
      </c>
      <c r="N31" s="47">
        <v>9093</v>
      </c>
      <c r="O31" s="47">
        <v>34522</v>
      </c>
      <c r="P31" s="48">
        <v>1</v>
      </c>
      <c r="Q31" s="47">
        <v>0</v>
      </c>
      <c r="R31" s="47">
        <v>34522</v>
      </c>
      <c r="S31" s="47">
        <v>0</v>
      </c>
      <c r="T31" s="39">
        <f>3452/34522</f>
        <v>9.9994206592897289E-2</v>
      </c>
      <c r="U31" s="47">
        <v>3168</v>
      </c>
      <c r="V31" s="47">
        <v>0</v>
      </c>
      <c r="W31" s="47">
        <v>0</v>
      </c>
      <c r="X31" s="33">
        <v>3364</v>
      </c>
      <c r="Y31" s="33">
        <v>0</v>
      </c>
      <c r="Z31" s="33">
        <v>0</v>
      </c>
      <c r="AA31" s="33">
        <v>189</v>
      </c>
      <c r="AB31" s="33">
        <v>0</v>
      </c>
      <c r="AC31" s="33">
        <v>0</v>
      </c>
      <c r="AD31" s="33">
        <v>0</v>
      </c>
      <c r="AE31" s="33">
        <f>29+236+147</f>
        <v>412</v>
      </c>
      <c r="AF31" s="33">
        <v>0</v>
      </c>
      <c r="AG31" s="33">
        <v>147</v>
      </c>
      <c r="AH31" s="33">
        <v>0</v>
      </c>
      <c r="AI31" s="33">
        <v>4216</v>
      </c>
      <c r="AJ31" s="33">
        <v>4671</v>
      </c>
      <c r="AK31" s="37">
        <f t="shared" si="9"/>
        <v>0.90259045172339969</v>
      </c>
      <c r="AL31" s="33">
        <v>0</v>
      </c>
      <c r="AM31" s="33">
        <v>0</v>
      </c>
      <c r="AN31" s="33">
        <v>8</v>
      </c>
      <c r="AO31" s="33">
        <v>0</v>
      </c>
      <c r="AP31" s="33"/>
      <c r="AQ31" s="33">
        <v>-8</v>
      </c>
      <c r="AR31" s="33">
        <v>19496</v>
      </c>
      <c r="AS31" s="33">
        <v>5</v>
      </c>
      <c r="AT31" s="33">
        <v>0</v>
      </c>
      <c r="AU31" s="38">
        <v>0</v>
      </c>
      <c r="AV31" s="38">
        <v>0</v>
      </c>
      <c r="AW31" s="38">
        <v>0</v>
      </c>
      <c r="AX31" s="38">
        <v>-5</v>
      </c>
      <c r="AY31" s="38">
        <v>0</v>
      </c>
      <c r="AZ31" s="33">
        <f t="shared" si="8"/>
        <v>0</v>
      </c>
      <c r="BA31" s="33">
        <v>0</v>
      </c>
      <c r="BB31" s="33">
        <v>1</v>
      </c>
      <c r="BC31" s="33">
        <v>0</v>
      </c>
      <c r="BD31" s="33">
        <v>3</v>
      </c>
      <c r="BE31" s="33">
        <v>1</v>
      </c>
      <c r="BF31" s="33">
        <v>0</v>
      </c>
    </row>
    <row r="32" spans="1:233" ht="15.75" x14ac:dyDescent="0.25">
      <c r="A32" s="31">
        <v>11</v>
      </c>
      <c r="B32" s="32" t="s">
        <v>247</v>
      </c>
      <c r="C32" s="32" t="s">
        <v>176</v>
      </c>
      <c r="D32" s="32" t="s">
        <v>218</v>
      </c>
      <c r="E32" s="33" t="s">
        <v>195</v>
      </c>
      <c r="F32" s="33" t="s">
        <v>59</v>
      </c>
      <c r="G32" s="33" t="s">
        <v>195</v>
      </c>
      <c r="H32" s="33">
        <v>702160</v>
      </c>
      <c r="I32" s="33">
        <v>702160</v>
      </c>
      <c r="J32" s="33">
        <v>48478</v>
      </c>
      <c r="K32" s="33">
        <v>248904</v>
      </c>
      <c r="L32" s="33">
        <v>37322</v>
      </c>
      <c r="M32" s="33">
        <v>265339</v>
      </c>
      <c r="N32" s="33">
        <v>63366</v>
      </c>
      <c r="O32" s="33">
        <v>653612</v>
      </c>
      <c r="P32" s="34">
        <v>0</v>
      </c>
      <c r="Q32" s="33">
        <v>0</v>
      </c>
      <c r="R32" s="33">
        <f>278594+375017</f>
        <v>653611</v>
      </c>
      <c r="S32" s="33">
        <v>0</v>
      </c>
      <c r="T32" s="39">
        <f>38681/653612</f>
        <v>5.9180370005446653E-2</v>
      </c>
      <c r="U32" s="33">
        <v>38681</v>
      </c>
      <c r="V32" s="33">
        <v>0</v>
      </c>
      <c r="W32" s="33">
        <v>0</v>
      </c>
      <c r="X32" s="33">
        <v>1887</v>
      </c>
      <c r="Y32" s="33">
        <v>0</v>
      </c>
      <c r="Z32" s="33">
        <v>0</v>
      </c>
      <c r="AA32" s="33">
        <v>0</v>
      </c>
      <c r="AB32" s="33">
        <v>0</v>
      </c>
      <c r="AC32" s="33">
        <v>0</v>
      </c>
      <c r="AD32" s="33">
        <v>0</v>
      </c>
      <c r="AE32" s="33">
        <f>529+614</f>
        <v>1143</v>
      </c>
      <c r="AF32" s="33">
        <v>1096</v>
      </c>
      <c r="AG32" s="33">
        <v>0</v>
      </c>
      <c r="AH32" s="33">
        <v>0</v>
      </c>
      <c r="AI32" s="33">
        <v>2348</v>
      </c>
      <c r="AJ32" s="33">
        <v>5158</v>
      </c>
      <c r="AK32" s="37">
        <f t="shared" si="9"/>
        <v>0.45521519968980223</v>
      </c>
      <c r="AL32" s="33">
        <v>0</v>
      </c>
      <c r="AM32" s="33">
        <v>32681</v>
      </c>
      <c r="AN32" s="33">
        <v>0</v>
      </c>
      <c r="AO32" s="33">
        <v>15761</v>
      </c>
      <c r="AP32" s="33"/>
      <c r="AQ32" s="33">
        <v>0</v>
      </c>
      <c r="AR32" s="33">
        <v>0</v>
      </c>
      <c r="AS32" s="33">
        <v>27</v>
      </c>
      <c r="AT32" s="33">
        <v>7</v>
      </c>
      <c r="AU32" s="38">
        <v>0</v>
      </c>
      <c r="AV32" s="38">
        <v>-1</v>
      </c>
      <c r="AW32" s="38">
        <v>-1</v>
      </c>
      <c r="AX32" s="38">
        <v>-4</v>
      </c>
      <c r="AY32" s="38">
        <v>0</v>
      </c>
      <c r="AZ32" s="33">
        <f t="shared" si="8"/>
        <v>28</v>
      </c>
      <c r="BA32" s="33">
        <v>0</v>
      </c>
      <c r="BB32" s="33">
        <v>4</v>
      </c>
      <c r="BC32" s="33">
        <v>0</v>
      </c>
      <c r="BD32" s="33">
        <v>0</v>
      </c>
      <c r="BE32" s="33">
        <v>0</v>
      </c>
      <c r="BF32" s="33">
        <v>0</v>
      </c>
    </row>
    <row r="33" spans="1:233" ht="15.75" x14ac:dyDescent="0.25">
      <c r="A33" s="31">
        <v>12</v>
      </c>
      <c r="B33" s="32" t="s">
        <v>248</v>
      </c>
      <c r="C33" s="32" t="s">
        <v>34</v>
      </c>
      <c r="D33" s="32" t="s">
        <v>192</v>
      </c>
      <c r="E33" s="33" t="s">
        <v>87</v>
      </c>
      <c r="F33" s="33" t="s">
        <v>126</v>
      </c>
      <c r="G33" s="33" t="s">
        <v>87</v>
      </c>
      <c r="H33" s="33">
        <v>511563</v>
      </c>
      <c r="I33" s="33">
        <v>511563</v>
      </c>
      <c r="J33" s="33">
        <v>47792</v>
      </c>
      <c r="K33" s="33">
        <v>34800</v>
      </c>
      <c r="L33" s="33">
        <v>67623</v>
      </c>
      <c r="M33" s="33">
        <v>275795</v>
      </c>
      <c r="N33" s="33">
        <v>42597</v>
      </c>
      <c r="O33" s="33">
        <v>468143</v>
      </c>
      <c r="P33" s="34">
        <v>4</v>
      </c>
      <c r="Q33" s="33">
        <f>468143-473273</f>
        <v>-5130</v>
      </c>
      <c r="R33" s="33">
        <v>473273</v>
      </c>
      <c r="S33" s="49">
        <v>0</v>
      </c>
      <c r="T33" s="50">
        <f>47327/473273</f>
        <v>9.9999366116385255E-2</v>
      </c>
      <c r="U33" s="33">
        <v>47328</v>
      </c>
      <c r="V33" s="33">
        <v>0</v>
      </c>
      <c r="W33" s="33">
        <v>0</v>
      </c>
      <c r="X33" s="33">
        <v>2979</v>
      </c>
      <c r="Y33" s="33">
        <v>203</v>
      </c>
      <c r="Z33" s="33">
        <v>261</v>
      </c>
      <c r="AA33" s="33">
        <v>399</v>
      </c>
      <c r="AB33" s="33">
        <v>0</v>
      </c>
      <c r="AC33" s="33">
        <v>353</v>
      </c>
      <c r="AD33" s="33">
        <v>0</v>
      </c>
      <c r="AE33" s="33">
        <f>95+218+206</f>
        <v>519</v>
      </c>
      <c r="AF33" s="33">
        <v>4277</v>
      </c>
      <c r="AG33" s="33">
        <v>0</v>
      </c>
      <c r="AH33" s="33">
        <v>0</v>
      </c>
      <c r="AI33" s="33">
        <v>0</v>
      </c>
      <c r="AJ33" s="33">
        <v>10471</v>
      </c>
      <c r="AK33" s="37">
        <f t="shared" si="9"/>
        <v>0</v>
      </c>
      <c r="AL33" s="33">
        <v>0</v>
      </c>
      <c r="AM33" s="33">
        <v>31933</v>
      </c>
      <c r="AN33" s="33">
        <v>6121</v>
      </c>
      <c r="AO33" s="33">
        <v>0</v>
      </c>
      <c r="AP33" s="33"/>
      <c r="AQ33" s="33">
        <v>0</v>
      </c>
      <c r="AR33" s="33">
        <v>0</v>
      </c>
      <c r="AS33" s="33">
        <v>22</v>
      </c>
      <c r="AT33" s="33">
        <v>4</v>
      </c>
      <c r="AU33" s="38">
        <v>3</v>
      </c>
      <c r="AV33" s="38">
        <v>-1</v>
      </c>
      <c r="AW33" s="38">
        <v>-4</v>
      </c>
      <c r="AX33" s="38">
        <v>-5</v>
      </c>
      <c r="AY33" s="38">
        <v>0</v>
      </c>
      <c r="AZ33" s="33">
        <f t="shared" si="8"/>
        <v>19</v>
      </c>
      <c r="BA33" s="33">
        <v>0</v>
      </c>
      <c r="BB33" s="33">
        <v>1</v>
      </c>
      <c r="BC33" s="33">
        <v>0</v>
      </c>
      <c r="BD33" s="33">
        <v>4</v>
      </c>
      <c r="BE33" s="33">
        <v>0</v>
      </c>
      <c r="BF33" s="33">
        <v>0</v>
      </c>
    </row>
    <row r="34" spans="1:233" s="29" customFormat="1" ht="15.75" x14ac:dyDescent="0.25">
      <c r="A34" s="40">
        <v>13</v>
      </c>
      <c r="B34" s="41" t="s">
        <v>249</v>
      </c>
      <c r="C34" s="41" t="s">
        <v>156</v>
      </c>
      <c r="D34" s="41" t="s">
        <v>131</v>
      </c>
      <c r="E34" s="42" t="s">
        <v>120</v>
      </c>
      <c r="F34" s="42"/>
      <c r="G34" s="42" t="s">
        <v>120</v>
      </c>
      <c r="H34" s="42">
        <v>1486875</v>
      </c>
      <c r="I34" s="42">
        <v>1497082</v>
      </c>
      <c r="J34" s="42">
        <v>1628</v>
      </c>
      <c r="K34" s="42">
        <v>1221432</v>
      </c>
      <c r="L34" s="42">
        <v>26940</v>
      </c>
      <c r="M34" s="42">
        <v>161552</v>
      </c>
      <c r="N34" s="42">
        <v>39038</v>
      </c>
      <c r="O34" s="42">
        <v>1526021</v>
      </c>
      <c r="P34" s="43">
        <v>0.69</v>
      </c>
      <c r="Q34" s="42">
        <f>1526021-1515815</f>
        <v>10206</v>
      </c>
      <c r="R34" s="42">
        <v>1515815</v>
      </c>
      <c r="S34" s="42">
        <v>0</v>
      </c>
      <c r="T34" s="44">
        <f>151582/1515815</f>
        <v>0.10000032985555625</v>
      </c>
      <c r="U34" s="42">
        <v>64852</v>
      </c>
      <c r="V34" s="42">
        <v>299946</v>
      </c>
      <c r="W34" s="42">
        <v>0</v>
      </c>
      <c r="X34" s="42">
        <v>30961</v>
      </c>
      <c r="Y34" s="42">
        <v>0</v>
      </c>
      <c r="Z34" s="42">
        <v>0</v>
      </c>
      <c r="AA34" s="42">
        <v>0</v>
      </c>
      <c r="AB34" s="42">
        <v>0</v>
      </c>
      <c r="AC34" s="42">
        <v>353</v>
      </c>
      <c r="AD34" s="42">
        <v>0</v>
      </c>
      <c r="AE34" s="42">
        <f>39+478+242</f>
        <v>759</v>
      </c>
      <c r="AF34" s="42">
        <v>0</v>
      </c>
      <c r="AG34" s="42">
        <v>0</v>
      </c>
      <c r="AH34" s="42">
        <v>486</v>
      </c>
      <c r="AI34" s="42">
        <v>32087</v>
      </c>
      <c r="AJ34" s="42">
        <v>32924</v>
      </c>
      <c r="AK34" s="45">
        <f t="shared" si="9"/>
        <v>0.97457781557526424</v>
      </c>
      <c r="AL34" s="42">
        <v>0</v>
      </c>
      <c r="AM34" s="42">
        <v>42135</v>
      </c>
      <c r="AN34" s="42">
        <v>0</v>
      </c>
      <c r="AO34" s="42">
        <v>10</v>
      </c>
      <c r="AP34" s="42"/>
      <c r="AQ34" s="42">
        <v>0</v>
      </c>
      <c r="AR34" s="42">
        <v>0</v>
      </c>
      <c r="AS34" s="42">
        <v>53</v>
      </c>
      <c r="AT34" s="42">
        <v>8</v>
      </c>
      <c r="AU34" s="46">
        <v>0</v>
      </c>
      <c r="AV34" s="46">
        <v>-1</v>
      </c>
      <c r="AW34" s="46">
        <v>0</v>
      </c>
      <c r="AX34" s="46">
        <v>-8</v>
      </c>
      <c r="AY34" s="46">
        <v>0</v>
      </c>
      <c r="AZ34" s="42">
        <f t="shared" si="8"/>
        <v>52</v>
      </c>
      <c r="BA34" s="42">
        <v>0</v>
      </c>
      <c r="BB34" s="42">
        <v>3</v>
      </c>
      <c r="BC34" s="42">
        <v>0</v>
      </c>
      <c r="BD34" s="42">
        <v>2</v>
      </c>
      <c r="BE34" s="42">
        <v>3</v>
      </c>
      <c r="BF34" s="42">
        <v>0</v>
      </c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8"/>
      <c r="BS34" s="28"/>
      <c r="BT34" s="28"/>
      <c r="BU34" s="28"/>
      <c r="BV34" s="28"/>
      <c r="BW34" s="28"/>
      <c r="BX34" s="28"/>
      <c r="BY34" s="28"/>
      <c r="BZ34" s="28"/>
      <c r="CA34" s="28"/>
      <c r="CB34" s="28"/>
      <c r="CC34" s="28"/>
      <c r="CD34" s="28"/>
      <c r="CE34" s="28"/>
      <c r="CF34" s="28"/>
      <c r="CG34" s="28"/>
      <c r="CH34" s="28"/>
      <c r="CI34" s="28"/>
      <c r="CJ34" s="28"/>
      <c r="CK34" s="28"/>
      <c r="CL34" s="28"/>
      <c r="CM34" s="28"/>
      <c r="CN34" s="28"/>
      <c r="CO34" s="28"/>
      <c r="CP34" s="28"/>
      <c r="CQ34" s="28"/>
      <c r="CR34" s="28"/>
      <c r="CS34" s="28"/>
      <c r="CT34" s="28"/>
      <c r="CU34" s="28"/>
      <c r="CV34" s="28"/>
      <c r="CW34" s="28"/>
      <c r="CX34" s="28"/>
      <c r="CY34" s="28"/>
      <c r="CZ34" s="28"/>
      <c r="DA34" s="28"/>
      <c r="DB34" s="28"/>
      <c r="DC34" s="28"/>
      <c r="DD34" s="28"/>
      <c r="DE34" s="28"/>
      <c r="DF34" s="28"/>
      <c r="DG34" s="28"/>
      <c r="DH34" s="28"/>
      <c r="DI34" s="28"/>
      <c r="DJ34" s="28"/>
      <c r="DK34" s="28"/>
      <c r="DL34" s="28"/>
      <c r="DM34" s="28"/>
      <c r="DN34" s="28"/>
      <c r="DO34" s="28"/>
      <c r="DP34" s="28"/>
      <c r="DQ34" s="28"/>
      <c r="DR34" s="28"/>
      <c r="DS34" s="28"/>
      <c r="DT34" s="28"/>
      <c r="DU34" s="28"/>
      <c r="DV34" s="28"/>
      <c r="DW34" s="28"/>
      <c r="DX34" s="28"/>
      <c r="DY34" s="28"/>
      <c r="DZ34" s="28"/>
      <c r="EA34" s="28"/>
      <c r="EB34" s="28"/>
      <c r="EC34" s="28"/>
      <c r="ED34" s="28"/>
      <c r="EE34" s="28"/>
      <c r="EF34" s="28"/>
      <c r="EG34" s="28"/>
      <c r="EH34" s="28"/>
      <c r="EI34" s="28"/>
      <c r="EJ34" s="28"/>
      <c r="EK34" s="28"/>
      <c r="EL34" s="28"/>
      <c r="EM34" s="28"/>
      <c r="EN34" s="28"/>
      <c r="EO34" s="28"/>
      <c r="EP34" s="28"/>
      <c r="EQ34" s="28"/>
      <c r="ER34" s="28"/>
      <c r="ES34" s="28"/>
      <c r="ET34" s="28"/>
      <c r="EU34" s="28"/>
      <c r="EV34" s="28"/>
      <c r="EW34" s="28"/>
      <c r="EX34" s="28"/>
      <c r="EY34" s="28"/>
      <c r="EZ34" s="28"/>
      <c r="FA34" s="28"/>
      <c r="FB34" s="28"/>
      <c r="FC34" s="28"/>
      <c r="FD34" s="28"/>
      <c r="FE34" s="28"/>
      <c r="FF34" s="28"/>
      <c r="FG34" s="28"/>
      <c r="FH34" s="28"/>
      <c r="FI34" s="28"/>
      <c r="FJ34" s="28"/>
      <c r="FK34" s="28"/>
      <c r="FL34" s="28"/>
      <c r="FM34" s="28"/>
      <c r="FN34" s="28"/>
      <c r="FO34" s="28"/>
      <c r="FP34" s="28"/>
      <c r="FQ34" s="28"/>
      <c r="FR34" s="28"/>
      <c r="FS34" s="28"/>
      <c r="FT34" s="28"/>
      <c r="FU34" s="28"/>
      <c r="FV34" s="28"/>
      <c r="FW34" s="28"/>
      <c r="FX34" s="28"/>
      <c r="FY34" s="28"/>
      <c r="FZ34" s="28"/>
      <c r="GA34" s="28"/>
      <c r="GB34" s="28"/>
      <c r="GC34" s="28"/>
      <c r="GD34" s="28"/>
      <c r="GE34" s="28"/>
      <c r="GF34" s="28"/>
      <c r="GG34" s="28"/>
      <c r="GH34" s="28"/>
      <c r="GI34" s="28"/>
      <c r="GJ34" s="28"/>
      <c r="GK34" s="28"/>
      <c r="GL34" s="28"/>
      <c r="GM34" s="28"/>
      <c r="GN34" s="28"/>
      <c r="GO34" s="28"/>
      <c r="GP34" s="28"/>
      <c r="GQ34" s="28"/>
      <c r="GR34" s="28"/>
      <c r="GS34" s="28"/>
      <c r="GT34" s="28"/>
      <c r="GU34" s="28"/>
      <c r="GV34" s="28"/>
      <c r="GW34" s="28"/>
      <c r="GX34" s="28"/>
      <c r="GY34" s="28"/>
      <c r="GZ34" s="28"/>
      <c r="HA34" s="28"/>
      <c r="HB34" s="28"/>
      <c r="HC34" s="28"/>
      <c r="HD34" s="28"/>
      <c r="HE34" s="28"/>
      <c r="HF34" s="28"/>
      <c r="HG34" s="28"/>
      <c r="HH34" s="28"/>
      <c r="HI34" s="28"/>
      <c r="HJ34" s="28"/>
      <c r="HK34" s="28"/>
      <c r="HL34" s="28"/>
      <c r="HM34" s="28"/>
      <c r="HN34" s="28"/>
      <c r="HO34" s="28"/>
      <c r="HP34" s="28"/>
      <c r="HQ34" s="28"/>
      <c r="HR34" s="28"/>
      <c r="HS34" s="28"/>
      <c r="HT34" s="28"/>
      <c r="HU34" s="28"/>
      <c r="HV34" s="28"/>
      <c r="HW34" s="28"/>
      <c r="HX34" s="28"/>
      <c r="HY34" s="28"/>
    </row>
    <row r="35" spans="1:233" s="29" customFormat="1" ht="15.75" x14ac:dyDescent="0.25">
      <c r="A35" s="40">
        <v>13</v>
      </c>
      <c r="B35" s="41" t="s">
        <v>250</v>
      </c>
      <c r="C35" s="41" t="s">
        <v>153</v>
      </c>
      <c r="D35" s="41" t="s">
        <v>86</v>
      </c>
      <c r="E35" s="42" t="s">
        <v>20</v>
      </c>
      <c r="F35" s="42" t="s">
        <v>60</v>
      </c>
      <c r="G35" s="42" t="s">
        <v>20</v>
      </c>
      <c r="H35" s="42">
        <v>1676888</v>
      </c>
      <c r="I35" s="42">
        <v>1693563</v>
      </c>
      <c r="J35" s="42">
        <v>67491</v>
      </c>
      <c r="K35" s="42">
        <v>1274440</v>
      </c>
      <c r="L35" s="42">
        <v>3702</v>
      </c>
      <c r="M35" s="42">
        <v>185514</v>
      </c>
      <c r="N35" s="42">
        <v>22946</v>
      </c>
      <c r="O35" s="42">
        <v>1606877</v>
      </c>
      <c r="P35" s="43">
        <v>0.24</v>
      </c>
      <c r="Q35" s="42">
        <f>1606877-1485628</f>
        <v>121249</v>
      </c>
      <c r="R35" s="42">
        <v>1299565</v>
      </c>
      <c r="S35" s="42">
        <v>186063</v>
      </c>
      <c r="T35" s="44">
        <f>103049/1485628</f>
        <v>6.9363932289913763E-2</v>
      </c>
      <c r="U35" s="42">
        <v>103053</v>
      </c>
      <c r="V35" s="42">
        <v>221040</v>
      </c>
      <c r="W35" s="42">
        <f>97+6</f>
        <v>103</v>
      </c>
      <c r="X35" s="42">
        <v>6797</v>
      </c>
      <c r="Y35" s="42">
        <v>0</v>
      </c>
      <c r="Z35" s="42">
        <v>0</v>
      </c>
      <c r="AA35" s="42">
        <v>0</v>
      </c>
      <c r="AB35" s="42">
        <v>4000</v>
      </c>
      <c r="AC35" s="42">
        <v>2833</v>
      </c>
      <c r="AD35" s="42">
        <v>0</v>
      </c>
      <c r="AE35" s="42">
        <f>1906+445+1042</f>
        <v>3393</v>
      </c>
      <c r="AF35" s="42">
        <v>7017</v>
      </c>
      <c r="AG35" s="42">
        <v>0</v>
      </c>
      <c r="AH35" s="42">
        <v>600</v>
      </c>
      <c r="AI35" s="42">
        <v>3546</v>
      </c>
      <c r="AJ35" s="42">
        <v>29238</v>
      </c>
      <c r="AK35" s="45">
        <f t="shared" si="9"/>
        <v>0.12128052534373077</v>
      </c>
      <c r="AL35" s="42">
        <v>0</v>
      </c>
      <c r="AM35" s="42">
        <v>91844</v>
      </c>
      <c r="AN35" s="42">
        <v>1277</v>
      </c>
      <c r="AO35" s="42">
        <v>5055</v>
      </c>
      <c r="AP35" s="42"/>
      <c r="AQ35" s="42">
        <v>0</v>
      </c>
      <c r="AR35" s="42">
        <v>0</v>
      </c>
      <c r="AS35" s="42">
        <v>42</v>
      </c>
      <c r="AT35" s="42">
        <v>9</v>
      </c>
      <c r="AU35" s="46">
        <v>0</v>
      </c>
      <c r="AV35" s="46">
        <v>-1</v>
      </c>
      <c r="AW35" s="46">
        <v>-9</v>
      </c>
      <c r="AX35" s="46">
        <v>-1</v>
      </c>
      <c r="AY35" s="46">
        <v>0</v>
      </c>
      <c r="AZ35" s="42">
        <f t="shared" si="8"/>
        <v>40</v>
      </c>
      <c r="BA35" s="42">
        <v>0</v>
      </c>
      <c r="BB35" s="42">
        <v>0</v>
      </c>
      <c r="BC35" s="42">
        <v>0</v>
      </c>
      <c r="BD35" s="42">
        <v>1</v>
      </c>
      <c r="BE35" s="42">
        <v>0</v>
      </c>
      <c r="BF35" s="42">
        <v>0</v>
      </c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8"/>
      <c r="BW35" s="28"/>
      <c r="BX35" s="28"/>
      <c r="BY35" s="28"/>
      <c r="BZ35" s="28"/>
      <c r="CA35" s="28"/>
      <c r="CB35" s="28"/>
      <c r="CC35" s="28"/>
      <c r="CD35" s="28"/>
      <c r="CE35" s="28"/>
      <c r="CF35" s="28"/>
      <c r="CG35" s="28"/>
      <c r="CH35" s="28"/>
      <c r="CI35" s="28"/>
      <c r="CJ35" s="28"/>
      <c r="CK35" s="28"/>
      <c r="CL35" s="28"/>
      <c r="CM35" s="28"/>
      <c r="CN35" s="28"/>
      <c r="CO35" s="28"/>
      <c r="CP35" s="28"/>
      <c r="CQ35" s="28"/>
      <c r="CR35" s="28"/>
      <c r="CS35" s="28"/>
      <c r="CT35" s="28"/>
      <c r="CU35" s="28"/>
      <c r="CV35" s="28"/>
      <c r="CW35" s="28"/>
      <c r="CX35" s="28"/>
      <c r="CY35" s="28"/>
      <c r="CZ35" s="28"/>
      <c r="DA35" s="28"/>
      <c r="DB35" s="28"/>
      <c r="DC35" s="28"/>
      <c r="DD35" s="28"/>
      <c r="DE35" s="28"/>
      <c r="DF35" s="28"/>
      <c r="DG35" s="28"/>
      <c r="DH35" s="28"/>
      <c r="DI35" s="28"/>
      <c r="DJ35" s="28"/>
      <c r="DK35" s="28"/>
      <c r="DL35" s="28"/>
      <c r="DM35" s="28"/>
      <c r="DN35" s="28"/>
      <c r="DO35" s="28"/>
      <c r="DP35" s="28"/>
      <c r="DQ35" s="28"/>
      <c r="DR35" s="28"/>
      <c r="DS35" s="28"/>
      <c r="DT35" s="28"/>
      <c r="DU35" s="28"/>
      <c r="DV35" s="28"/>
      <c r="DW35" s="28"/>
      <c r="DX35" s="28"/>
      <c r="DY35" s="28"/>
      <c r="DZ35" s="28"/>
      <c r="EA35" s="28"/>
      <c r="EB35" s="28"/>
      <c r="EC35" s="28"/>
      <c r="ED35" s="28"/>
      <c r="EE35" s="28"/>
      <c r="EF35" s="28"/>
      <c r="EG35" s="28"/>
      <c r="EH35" s="28"/>
      <c r="EI35" s="28"/>
      <c r="EJ35" s="28"/>
      <c r="EK35" s="28"/>
      <c r="EL35" s="28"/>
      <c r="EM35" s="28"/>
      <c r="EN35" s="28"/>
      <c r="EO35" s="28"/>
      <c r="EP35" s="28"/>
      <c r="EQ35" s="28"/>
      <c r="ER35" s="28"/>
      <c r="ES35" s="28"/>
      <c r="ET35" s="28"/>
      <c r="EU35" s="28"/>
      <c r="EV35" s="28"/>
      <c r="EW35" s="28"/>
      <c r="EX35" s="28"/>
      <c r="EY35" s="28"/>
      <c r="EZ35" s="28"/>
      <c r="FA35" s="28"/>
      <c r="FB35" s="28"/>
      <c r="FC35" s="28"/>
      <c r="FD35" s="28"/>
      <c r="FE35" s="28"/>
      <c r="FF35" s="28"/>
      <c r="FG35" s="28"/>
      <c r="FH35" s="28"/>
      <c r="FI35" s="28"/>
      <c r="FJ35" s="28"/>
      <c r="FK35" s="28"/>
      <c r="FL35" s="28"/>
      <c r="FM35" s="28"/>
      <c r="FN35" s="28"/>
      <c r="FO35" s="28"/>
      <c r="FP35" s="28"/>
      <c r="FQ35" s="28"/>
      <c r="FR35" s="28"/>
      <c r="FS35" s="28"/>
      <c r="FT35" s="28"/>
      <c r="FU35" s="28"/>
      <c r="FV35" s="28"/>
      <c r="FW35" s="28"/>
      <c r="FX35" s="28"/>
      <c r="FY35" s="28"/>
      <c r="FZ35" s="28"/>
      <c r="GA35" s="28"/>
      <c r="GB35" s="28"/>
      <c r="GC35" s="28"/>
      <c r="GD35" s="28"/>
      <c r="GE35" s="28"/>
      <c r="GF35" s="28"/>
      <c r="GG35" s="28"/>
      <c r="GH35" s="28"/>
      <c r="GI35" s="28"/>
      <c r="GJ35" s="28"/>
      <c r="GK35" s="28"/>
      <c r="GL35" s="28"/>
      <c r="GM35" s="28"/>
      <c r="GN35" s="28"/>
      <c r="GO35" s="28"/>
      <c r="GP35" s="28"/>
      <c r="GQ35" s="28"/>
      <c r="GR35" s="28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  <c r="HW35" s="28"/>
      <c r="HX35" s="28"/>
      <c r="HY35" s="28"/>
    </row>
    <row r="36" spans="1:233" ht="15.75" x14ac:dyDescent="0.25">
      <c r="A36" s="31">
        <v>17</v>
      </c>
      <c r="B36" s="32" t="s">
        <v>251</v>
      </c>
      <c r="C36" s="51" t="s">
        <v>206</v>
      </c>
      <c r="D36" s="51" t="s">
        <v>207</v>
      </c>
      <c r="E36" s="51" t="s">
        <v>33</v>
      </c>
      <c r="F36" s="51" t="s">
        <v>125</v>
      </c>
      <c r="G36" s="33" t="s">
        <v>33</v>
      </c>
      <c r="H36" s="33">
        <v>686525</v>
      </c>
      <c r="I36" s="33">
        <v>691025</v>
      </c>
      <c r="J36" s="33">
        <v>8391</v>
      </c>
      <c r="K36" s="33">
        <v>518389</v>
      </c>
      <c r="L36" s="33">
        <v>8201</v>
      </c>
      <c r="M36" s="33">
        <v>59849</v>
      </c>
      <c r="N36" s="33">
        <v>14517</v>
      </c>
      <c r="O36" s="33">
        <v>658408</v>
      </c>
      <c r="P36" s="34">
        <v>0.86</v>
      </c>
      <c r="Q36" s="33">
        <f>658408-653908</f>
        <v>4500</v>
      </c>
      <c r="R36" s="33">
        <f>653908+45300</f>
        <v>699208</v>
      </c>
      <c r="S36" s="33">
        <v>0</v>
      </c>
      <c r="T36" s="39">
        <f>57497/699208</f>
        <v>8.2231610622304094E-2</v>
      </c>
      <c r="U36" s="33">
        <v>57452</v>
      </c>
      <c r="V36" s="33">
        <v>45300</v>
      </c>
      <c r="W36" s="33">
        <v>0</v>
      </c>
      <c r="X36" s="33">
        <v>0</v>
      </c>
      <c r="Y36" s="33">
        <v>0</v>
      </c>
      <c r="Z36" s="33">
        <v>0</v>
      </c>
      <c r="AA36" s="33">
        <v>1235</v>
      </c>
      <c r="AB36" s="33">
        <v>0</v>
      </c>
      <c r="AC36" s="33">
        <v>1500</v>
      </c>
      <c r="AD36" s="33">
        <v>6000</v>
      </c>
      <c r="AE36" s="33">
        <f>2635+1000+1437</f>
        <v>5072</v>
      </c>
      <c r="AF36" s="33">
        <v>3140</v>
      </c>
      <c r="AG36" s="33">
        <v>771</v>
      </c>
      <c r="AH36" s="33">
        <v>432</v>
      </c>
      <c r="AI36" s="33">
        <v>1235</v>
      </c>
      <c r="AJ36" s="33">
        <v>19348</v>
      </c>
      <c r="AK36" s="37">
        <f t="shared" si="9"/>
        <v>6.3830886913376059E-2</v>
      </c>
      <c r="AL36" s="33">
        <v>0</v>
      </c>
      <c r="AM36" s="33">
        <v>35474</v>
      </c>
      <c r="AN36" s="33">
        <v>0</v>
      </c>
      <c r="AO36" s="33">
        <v>4824</v>
      </c>
      <c r="AP36" s="33"/>
      <c r="AQ36" s="33">
        <v>0</v>
      </c>
      <c r="AR36" s="33">
        <v>0</v>
      </c>
      <c r="AS36" s="33">
        <v>21</v>
      </c>
      <c r="AT36" s="33">
        <v>16</v>
      </c>
      <c r="AU36" s="38">
        <v>0</v>
      </c>
      <c r="AV36" s="38">
        <v>0</v>
      </c>
      <c r="AW36" s="38">
        <v>-11</v>
      </c>
      <c r="AX36" s="38">
        <v>0</v>
      </c>
      <c r="AY36" s="38">
        <v>0</v>
      </c>
      <c r="AZ36" s="33">
        <f t="shared" si="8"/>
        <v>26</v>
      </c>
      <c r="BA36" s="33">
        <v>0</v>
      </c>
      <c r="BB36" s="33">
        <v>0</v>
      </c>
      <c r="BC36" s="33">
        <v>0</v>
      </c>
      <c r="BD36" s="33">
        <v>0</v>
      </c>
      <c r="BE36" s="33">
        <v>0</v>
      </c>
      <c r="BF36" s="33">
        <v>0</v>
      </c>
    </row>
    <row r="37" spans="1:233" s="29" customFormat="1" ht="15.75" x14ac:dyDescent="0.25">
      <c r="A37" s="40">
        <v>17</v>
      </c>
      <c r="B37" s="41" t="s">
        <v>252</v>
      </c>
      <c r="C37" s="41" t="s">
        <v>103</v>
      </c>
      <c r="D37" s="41" t="s">
        <v>76</v>
      </c>
      <c r="E37" s="42" t="s">
        <v>33</v>
      </c>
      <c r="F37" s="42" t="s">
        <v>201</v>
      </c>
      <c r="G37" s="42" t="s">
        <v>199</v>
      </c>
      <c r="H37" s="42">
        <v>1732502</v>
      </c>
      <c r="I37" s="42">
        <v>1732538</v>
      </c>
      <c r="J37" s="42">
        <v>119014</v>
      </c>
      <c r="K37" s="42">
        <v>1240312</v>
      </c>
      <c r="L37" s="42">
        <v>198588</v>
      </c>
      <c r="M37" s="42">
        <v>153086</v>
      </c>
      <c r="N37" s="42">
        <v>133159</v>
      </c>
      <c r="O37" s="42">
        <v>1860692</v>
      </c>
      <c r="P37" s="43">
        <v>1.54</v>
      </c>
      <c r="Q37" s="42">
        <v>0</v>
      </c>
      <c r="R37" s="42">
        <v>1639059</v>
      </c>
      <c r="S37" s="52">
        <v>221633</v>
      </c>
      <c r="T37" s="53">
        <f>137774/1860692</f>
        <v>7.4044495273801358E-2</v>
      </c>
      <c r="U37" s="42">
        <v>135547</v>
      </c>
      <c r="V37" s="42">
        <v>0</v>
      </c>
      <c r="W37" s="42">
        <f>33+3</f>
        <v>36</v>
      </c>
      <c r="X37" s="42">
        <v>20989</v>
      </c>
      <c r="Y37" s="42">
        <v>2566</v>
      </c>
      <c r="Z37" s="42">
        <v>0</v>
      </c>
      <c r="AA37" s="42">
        <v>3422</v>
      </c>
      <c r="AB37" s="42">
        <v>738</v>
      </c>
      <c r="AC37" s="42">
        <v>90</v>
      </c>
      <c r="AD37" s="42">
        <v>0</v>
      </c>
      <c r="AE37" s="42">
        <f>1657+1006+2693</f>
        <v>5356</v>
      </c>
      <c r="AF37" s="42">
        <v>350</v>
      </c>
      <c r="AG37" s="42">
        <v>0</v>
      </c>
      <c r="AH37" s="42">
        <v>0</v>
      </c>
      <c r="AI37" s="42">
        <v>0</v>
      </c>
      <c r="AJ37" s="42">
        <v>40079</v>
      </c>
      <c r="AK37" s="45">
        <f t="shared" si="9"/>
        <v>0</v>
      </c>
      <c r="AL37" s="42">
        <v>0</v>
      </c>
      <c r="AM37" s="42">
        <v>85280</v>
      </c>
      <c r="AN37" s="42">
        <v>4606</v>
      </c>
      <c r="AO37" s="42">
        <v>13336</v>
      </c>
      <c r="AP37" s="42"/>
      <c r="AQ37" s="42">
        <v>0</v>
      </c>
      <c r="AR37" s="42">
        <v>0</v>
      </c>
      <c r="AS37" s="42">
        <v>59</v>
      </c>
      <c r="AT37" s="42">
        <v>0</v>
      </c>
      <c r="AU37" s="46">
        <v>0</v>
      </c>
      <c r="AV37" s="46">
        <v>-4</v>
      </c>
      <c r="AW37" s="46">
        <v>-8</v>
      </c>
      <c r="AX37" s="46">
        <v>-2</v>
      </c>
      <c r="AY37" s="46">
        <v>-1</v>
      </c>
      <c r="AZ37" s="42">
        <f t="shared" si="8"/>
        <v>44</v>
      </c>
      <c r="BA37" s="42">
        <v>3</v>
      </c>
      <c r="BB37" s="42">
        <v>0</v>
      </c>
      <c r="BC37" s="42">
        <v>0</v>
      </c>
      <c r="BD37" s="42">
        <v>2</v>
      </c>
      <c r="BE37" s="42">
        <v>1</v>
      </c>
      <c r="BF37" s="42">
        <v>0</v>
      </c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8"/>
      <c r="BW37" s="28"/>
      <c r="BX37" s="28"/>
      <c r="BY37" s="28"/>
      <c r="BZ37" s="28"/>
      <c r="CA37" s="28"/>
      <c r="CB37" s="28"/>
      <c r="CC37" s="28"/>
      <c r="CD37" s="28"/>
      <c r="CE37" s="28"/>
      <c r="CF37" s="28"/>
      <c r="CG37" s="28"/>
      <c r="CH37" s="28"/>
      <c r="CI37" s="28"/>
      <c r="CJ37" s="28"/>
      <c r="CK37" s="28"/>
      <c r="CL37" s="28"/>
      <c r="CM37" s="28"/>
      <c r="CN37" s="28"/>
      <c r="CO37" s="28"/>
      <c r="CP37" s="28"/>
      <c r="CQ37" s="28"/>
      <c r="CR37" s="28"/>
      <c r="CS37" s="28"/>
      <c r="CT37" s="28"/>
      <c r="CU37" s="28"/>
      <c r="CV37" s="28"/>
      <c r="CW37" s="28"/>
      <c r="CX37" s="28"/>
      <c r="CY37" s="28"/>
      <c r="CZ37" s="28"/>
      <c r="DA37" s="28"/>
      <c r="DB37" s="28"/>
      <c r="DC37" s="28"/>
      <c r="DD37" s="28"/>
      <c r="DE37" s="28"/>
      <c r="DF37" s="28"/>
      <c r="DG37" s="28"/>
      <c r="DH37" s="28"/>
      <c r="DI37" s="28"/>
      <c r="DJ37" s="28"/>
      <c r="DK37" s="28"/>
      <c r="DL37" s="28"/>
      <c r="DM37" s="28"/>
      <c r="DN37" s="28"/>
      <c r="DO37" s="28"/>
      <c r="DP37" s="28"/>
      <c r="DQ37" s="28"/>
      <c r="DR37" s="28"/>
      <c r="DS37" s="28"/>
      <c r="DT37" s="28"/>
      <c r="DU37" s="28"/>
      <c r="DV37" s="28"/>
      <c r="DW37" s="28"/>
      <c r="DX37" s="28"/>
      <c r="DY37" s="28"/>
      <c r="DZ37" s="28"/>
      <c r="EA37" s="28"/>
      <c r="EB37" s="28"/>
      <c r="EC37" s="28"/>
      <c r="ED37" s="28"/>
      <c r="EE37" s="28"/>
      <c r="EF37" s="28"/>
      <c r="EG37" s="28"/>
      <c r="EH37" s="28"/>
      <c r="EI37" s="28"/>
      <c r="EJ37" s="28"/>
      <c r="EK37" s="28"/>
      <c r="EL37" s="28"/>
      <c r="EM37" s="28"/>
      <c r="EN37" s="28"/>
      <c r="EO37" s="28"/>
      <c r="EP37" s="28"/>
      <c r="EQ37" s="28"/>
      <c r="ER37" s="28"/>
      <c r="ES37" s="28"/>
      <c r="ET37" s="28"/>
      <c r="EU37" s="28"/>
      <c r="EV37" s="28"/>
      <c r="EW37" s="28"/>
      <c r="EX37" s="28"/>
      <c r="EY37" s="28"/>
      <c r="EZ37" s="28"/>
      <c r="FA37" s="28"/>
      <c r="FB37" s="28"/>
      <c r="FC37" s="28"/>
      <c r="FD37" s="28"/>
      <c r="FE37" s="28"/>
      <c r="FF37" s="28"/>
      <c r="FG37" s="28"/>
      <c r="FH37" s="28"/>
      <c r="FI37" s="28"/>
      <c r="FJ37" s="28"/>
      <c r="FK37" s="28"/>
      <c r="FL37" s="28"/>
      <c r="FM37" s="28"/>
      <c r="FN37" s="28"/>
      <c r="FO37" s="28"/>
      <c r="FP37" s="28"/>
      <c r="FQ37" s="28"/>
      <c r="FR37" s="28"/>
      <c r="FS37" s="28"/>
      <c r="FT37" s="28"/>
      <c r="FU37" s="28"/>
      <c r="FV37" s="28"/>
      <c r="FW37" s="28"/>
      <c r="FX37" s="28"/>
      <c r="FY37" s="28"/>
      <c r="FZ37" s="28"/>
      <c r="GA37" s="28"/>
      <c r="GB37" s="28"/>
      <c r="GC37" s="28"/>
      <c r="GD37" s="28"/>
      <c r="GE37" s="28"/>
      <c r="GF37" s="28"/>
      <c r="GG37" s="28"/>
      <c r="GH37" s="28"/>
      <c r="GI37" s="28"/>
      <c r="GJ37" s="28"/>
      <c r="GK37" s="28"/>
      <c r="GL37" s="28"/>
      <c r="GM37" s="28"/>
      <c r="GN37" s="28"/>
      <c r="GO37" s="28"/>
      <c r="GP37" s="28"/>
      <c r="GQ37" s="28"/>
      <c r="GR37" s="28"/>
      <c r="GS37" s="28"/>
      <c r="GT37" s="28"/>
      <c r="GU37" s="28"/>
      <c r="GV37" s="28"/>
      <c r="GW37" s="28"/>
      <c r="GX37" s="28"/>
      <c r="GY37" s="28"/>
      <c r="GZ37" s="28"/>
      <c r="HA37" s="28"/>
      <c r="HB37" s="28"/>
      <c r="HC37" s="28"/>
      <c r="HD37" s="28"/>
      <c r="HE37" s="28"/>
      <c r="HF37" s="28"/>
      <c r="HG37" s="28"/>
      <c r="HH37" s="28"/>
      <c r="HI37" s="28"/>
      <c r="HJ37" s="28"/>
      <c r="HK37" s="28"/>
      <c r="HL37" s="28"/>
      <c r="HM37" s="28"/>
      <c r="HN37" s="28"/>
      <c r="HO37" s="28"/>
      <c r="HP37" s="28"/>
      <c r="HQ37" s="28"/>
      <c r="HR37" s="28"/>
      <c r="HS37" s="28"/>
      <c r="HT37" s="28"/>
      <c r="HU37" s="28"/>
      <c r="HV37" s="28"/>
      <c r="HW37" s="28"/>
      <c r="HX37" s="28"/>
      <c r="HY37" s="28"/>
    </row>
    <row r="38" spans="1:233" s="30" customFormat="1" ht="15.75" x14ac:dyDescent="0.25">
      <c r="A38" s="40">
        <v>17</v>
      </c>
      <c r="B38" s="41" t="s">
        <v>253</v>
      </c>
      <c r="C38" s="41" t="s">
        <v>94</v>
      </c>
      <c r="D38" s="41" t="s">
        <v>158</v>
      </c>
      <c r="E38" s="42" t="s">
        <v>33</v>
      </c>
      <c r="F38" s="42" t="s">
        <v>59</v>
      </c>
      <c r="G38" s="42" t="s">
        <v>33</v>
      </c>
      <c r="H38" s="42">
        <v>757591</v>
      </c>
      <c r="I38" s="42">
        <v>757591</v>
      </c>
      <c r="J38" s="42">
        <v>14529</v>
      </c>
      <c r="K38" s="42">
        <v>606092</v>
      </c>
      <c r="L38" s="42">
        <v>23516</v>
      </c>
      <c r="M38" s="42">
        <v>22775</v>
      </c>
      <c r="N38" s="42">
        <v>32262</v>
      </c>
      <c r="O38" s="42">
        <v>746424</v>
      </c>
      <c r="P38" s="43">
        <v>2</v>
      </c>
      <c r="Q38" s="42">
        <f>746424-760953</f>
        <v>-14529</v>
      </c>
      <c r="R38" s="42">
        <v>760953</v>
      </c>
      <c r="S38" s="54">
        <v>0</v>
      </c>
      <c r="T38" s="55">
        <f>53267/760953</f>
        <v>7.0000381101066683E-2</v>
      </c>
      <c r="U38" s="42">
        <v>53267</v>
      </c>
      <c r="V38" s="42">
        <v>0</v>
      </c>
      <c r="W38" s="42">
        <v>0</v>
      </c>
      <c r="X38" s="42">
        <v>0</v>
      </c>
      <c r="Y38" s="42">
        <v>0</v>
      </c>
      <c r="Z38" s="42">
        <v>0</v>
      </c>
      <c r="AA38" s="42">
        <v>2340</v>
      </c>
      <c r="AB38" s="42">
        <v>0</v>
      </c>
      <c r="AC38" s="42">
        <v>270</v>
      </c>
      <c r="AD38" s="42">
        <v>7700</v>
      </c>
      <c r="AE38" s="42">
        <f>609+635+1145</f>
        <v>2389</v>
      </c>
      <c r="AF38" s="42">
        <v>203</v>
      </c>
      <c r="AG38" s="42">
        <v>466</v>
      </c>
      <c r="AH38" s="42">
        <v>0</v>
      </c>
      <c r="AI38" s="42">
        <v>4126</v>
      </c>
      <c r="AJ38" s="42">
        <v>13870</v>
      </c>
      <c r="AK38" s="45">
        <f t="shared" si="9"/>
        <v>0.29747656813266043</v>
      </c>
      <c r="AL38" s="42">
        <v>0</v>
      </c>
      <c r="AM38" s="42">
        <v>37321</v>
      </c>
      <c r="AN38" s="42">
        <v>0</v>
      </c>
      <c r="AO38" s="42">
        <v>7397</v>
      </c>
      <c r="AP38" s="42"/>
      <c r="AQ38" s="42">
        <v>0</v>
      </c>
      <c r="AR38" s="42">
        <v>0</v>
      </c>
      <c r="AS38" s="42">
        <v>46</v>
      </c>
      <c r="AT38" s="42">
        <v>23</v>
      </c>
      <c r="AU38" s="46">
        <v>0</v>
      </c>
      <c r="AV38" s="46">
        <v>-4</v>
      </c>
      <c r="AW38" s="46">
        <v>-16</v>
      </c>
      <c r="AX38" s="46">
        <v>0</v>
      </c>
      <c r="AY38" s="46">
        <v>0</v>
      </c>
      <c r="AZ38" s="42">
        <f t="shared" si="8"/>
        <v>49</v>
      </c>
      <c r="BA38" s="42">
        <v>0</v>
      </c>
      <c r="BB38" s="42">
        <v>0</v>
      </c>
      <c r="BC38" s="42">
        <v>0</v>
      </c>
      <c r="BD38" s="42">
        <v>0</v>
      </c>
      <c r="BE38" s="42">
        <v>0</v>
      </c>
      <c r="BF38" s="42">
        <v>0</v>
      </c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  <c r="BW38" s="28"/>
      <c r="BX38" s="28"/>
      <c r="BY38" s="28"/>
      <c r="BZ38" s="28"/>
      <c r="CA38" s="28"/>
      <c r="CB38" s="28"/>
      <c r="CC38" s="28"/>
      <c r="CD38" s="28"/>
      <c r="CE38" s="28"/>
      <c r="CF38" s="28"/>
      <c r="CG38" s="28"/>
      <c r="CH38" s="28"/>
      <c r="CI38" s="28"/>
      <c r="CJ38" s="28"/>
      <c r="CK38" s="28"/>
      <c r="CL38" s="28"/>
      <c r="CM38" s="28"/>
      <c r="CN38" s="28"/>
      <c r="CO38" s="28"/>
      <c r="CP38" s="28"/>
      <c r="CQ38" s="28"/>
      <c r="CR38" s="28"/>
      <c r="CS38" s="28"/>
      <c r="CT38" s="28"/>
      <c r="CU38" s="28"/>
      <c r="CV38" s="28"/>
      <c r="CW38" s="28"/>
      <c r="CX38" s="28"/>
      <c r="CY38" s="28"/>
      <c r="CZ38" s="28"/>
      <c r="DA38" s="28"/>
      <c r="DB38" s="28"/>
      <c r="DC38" s="28"/>
      <c r="DD38" s="28"/>
      <c r="DE38" s="28"/>
      <c r="DF38" s="28"/>
      <c r="DG38" s="28"/>
      <c r="DH38" s="28"/>
      <c r="DI38" s="28"/>
      <c r="DJ38" s="28"/>
      <c r="DK38" s="28"/>
      <c r="DL38" s="28"/>
      <c r="DM38" s="28"/>
      <c r="DN38" s="28"/>
      <c r="DO38" s="28"/>
      <c r="DP38" s="28"/>
      <c r="DQ38" s="28"/>
      <c r="DR38" s="28"/>
      <c r="DS38" s="28"/>
      <c r="DT38" s="28"/>
      <c r="DU38" s="28"/>
      <c r="DV38" s="28"/>
      <c r="DW38" s="28"/>
      <c r="DX38" s="28"/>
      <c r="DY38" s="28"/>
      <c r="DZ38" s="28"/>
      <c r="EA38" s="28"/>
      <c r="EB38" s="28"/>
      <c r="EC38" s="28"/>
      <c r="ED38" s="28"/>
      <c r="EE38" s="28"/>
      <c r="EF38" s="28"/>
      <c r="EG38" s="28"/>
      <c r="EH38" s="28"/>
      <c r="EI38" s="28"/>
      <c r="EJ38" s="28"/>
      <c r="EK38" s="28"/>
      <c r="EL38" s="28"/>
      <c r="EM38" s="28"/>
      <c r="EN38" s="28"/>
      <c r="EO38" s="28"/>
      <c r="EP38" s="28"/>
      <c r="EQ38" s="28"/>
      <c r="ER38" s="28"/>
      <c r="ES38" s="28"/>
      <c r="ET38" s="28"/>
      <c r="EU38" s="28"/>
      <c r="EV38" s="28"/>
      <c r="EW38" s="28"/>
      <c r="EX38" s="28"/>
      <c r="EY38" s="28"/>
      <c r="EZ38" s="28"/>
      <c r="FA38" s="28"/>
      <c r="FB38" s="28"/>
      <c r="FC38" s="28"/>
      <c r="FD38" s="28"/>
      <c r="FE38" s="28"/>
      <c r="FF38" s="28"/>
      <c r="FG38" s="28"/>
      <c r="FH38" s="28"/>
      <c r="FI38" s="28"/>
      <c r="FJ38" s="28"/>
      <c r="FK38" s="28"/>
      <c r="FL38" s="28"/>
      <c r="FM38" s="28"/>
      <c r="FN38" s="28"/>
      <c r="FO38" s="28"/>
      <c r="FP38" s="28"/>
      <c r="FQ38" s="28"/>
      <c r="FR38" s="28"/>
      <c r="FS38" s="28"/>
      <c r="FT38" s="28"/>
      <c r="FU38" s="28"/>
      <c r="FV38" s="28"/>
      <c r="FW38" s="28"/>
      <c r="FX38" s="28"/>
      <c r="FY38" s="28"/>
      <c r="FZ38" s="28"/>
      <c r="GA38" s="28"/>
      <c r="GB38" s="28"/>
      <c r="GC38" s="28"/>
      <c r="GD38" s="28"/>
      <c r="GE38" s="28"/>
      <c r="GF38" s="28"/>
      <c r="GG38" s="28"/>
      <c r="GH38" s="28"/>
      <c r="GI38" s="28"/>
      <c r="GJ38" s="28"/>
      <c r="GK38" s="28"/>
      <c r="GL38" s="28"/>
      <c r="GM38" s="28"/>
      <c r="GN38" s="28"/>
      <c r="GO38" s="28"/>
      <c r="GP38" s="28"/>
      <c r="GQ38" s="28"/>
      <c r="GR38" s="28"/>
      <c r="GS38" s="28"/>
      <c r="GT38" s="28"/>
      <c r="GU38" s="28"/>
      <c r="GV38" s="28"/>
      <c r="GW38" s="28"/>
      <c r="GX38" s="28"/>
      <c r="GY38" s="28"/>
      <c r="GZ38" s="28"/>
      <c r="HA38" s="28"/>
      <c r="HB38" s="28"/>
      <c r="HC38" s="28"/>
      <c r="HD38" s="28"/>
      <c r="HE38" s="28"/>
      <c r="HF38" s="28"/>
      <c r="HG38" s="28"/>
      <c r="HH38" s="28"/>
      <c r="HI38" s="28"/>
      <c r="HJ38" s="28"/>
      <c r="HK38" s="28"/>
      <c r="HL38" s="28"/>
      <c r="HM38" s="28"/>
      <c r="HN38" s="28"/>
      <c r="HO38" s="28"/>
      <c r="HP38" s="28"/>
      <c r="HQ38" s="28"/>
      <c r="HR38" s="28"/>
      <c r="HS38" s="28"/>
      <c r="HT38" s="28"/>
      <c r="HU38" s="28"/>
      <c r="HV38" s="28"/>
      <c r="HW38" s="28"/>
      <c r="HX38" s="28"/>
      <c r="HY38" s="28"/>
    </row>
    <row r="39" spans="1:233" s="30" customFormat="1" ht="15.75" x14ac:dyDescent="0.25">
      <c r="A39" s="40">
        <v>17</v>
      </c>
      <c r="B39" s="41" t="s">
        <v>254</v>
      </c>
      <c r="C39" s="41"/>
      <c r="D39" s="41" t="s">
        <v>220</v>
      </c>
      <c r="E39" s="42" t="s">
        <v>33</v>
      </c>
      <c r="F39" s="42" t="s">
        <v>59</v>
      </c>
      <c r="G39" s="42" t="s">
        <v>33</v>
      </c>
      <c r="H39" s="42">
        <v>57773</v>
      </c>
      <c r="I39" s="42">
        <v>57997</v>
      </c>
      <c r="J39" s="42">
        <v>0</v>
      </c>
      <c r="K39" s="42">
        <v>8827</v>
      </c>
      <c r="L39" s="42">
        <v>0</v>
      </c>
      <c r="M39" s="42">
        <v>0</v>
      </c>
      <c r="N39" s="42">
        <v>0</v>
      </c>
      <c r="O39" s="42">
        <v>9642</v>
      </c>
      <c r="P39" s="43">
        <v>4</v>
      </c>
      <c r="Q39" s="42">
        <f>9642-9618</f>
        <v>24</v>
      </c>
      <c r="R39" s="42">
        <v>9642</v>
      </c>
      <c r="S39" s="54">
        <v>0</v>
      </c>
      <c r="T39" s="55">
        <f>964/9642</f>
        <v>9.9979257415473963E-2</v>
      </c>
      <c r="U39" s="42">
        <v>791</v>
      </c>
      <c r="V39" s="42">
        <v>0</v>
      </c>
      <c r="W39" s="42">
        <v>0</v>
      </c>
      <c r="X39" s="42">
        <v>0</v>
      </c>
      <c r="Y39" s="42">
        <v>0</v>
      </c>
      <c r="Z39" s="42">
        <v>0</v>
      </c>
      <c r="AA39" s="42">
        <v>4180</v>
      </c>
      <c r="AB39" s="42">
        <v>0</v>
      </c>
      <c r="AC39" s="42">
        <v>700</v>
      </c>
      <c r="AD39" s="42">
        <v>13500</v>
      </c>
      <c r="AE39" s="42">
        <f>317+220</f>
        <v>537</v>
      </c>
      <c r="AF39" s="42">
        <v>242</v>
      </c>
      <c r="AG39" s="42">
        <v>917</v>
      </c>
      <c r="AH39" s="42">
        <v>0</v>
      </c>
      <c r="AI39" s="42">
        <v>22701</v>
      </c>
      <c r="AJ39" s="42">
        <v>22701</v>
      </c>
      <c r="AK39" s="45">
        <f t="shared" ref="AK39" si="10">IF(AJ39=0,0,AI39/AJ39)</f>
        <v>1</v>
      </c>
      <c r="AL39" s="42">
        <v>0</v>
      </c>
      <c r="AM39" s="42">
        <v>0</v>
      </c>
      <c r="AN39" s="42">
        <v>0</v>
      </c>
      <c r="AO39" s="42">
        <v>714</v>
      </c>
      <c r="AP39" s="42"/>
      <c r="AQ39" s="42">
        <v>-21910</v>
      </c>
      <c r="AR39" s="42">
        <v>-21910</v>
      </c>
      <c r="AS39" s="42">
        <v>0</v>
      </c>
      <c r="AT39" s="42">
        <v>9</v>
      </c>
      <c r="AU39" s="46">
        <v>0</v>
      </c>
      <c r="AV39" s="46">
        <v>-1</v>
      </c>
      <c r="AW39" s="46">
        <v>-2</v>
      </c>
      <c r="AX39" s="46">
        <v>0</v>
      </c>
      <c r="AY39" s="46">
        <v>0</v>
      </c>
      <c r="AZ39" s="42">
        <f t="shared" ref="AZ39" si="11">SUM(AS39:AY39)</f>
        <v>6</v>
      </c>
      <c r="BA39" s="42">
        <v>0</v>
      </c>
      <c r="BB39" s="42">
        <v>0</v>
      </c>
      <c r="BC39" s="42">
        <v>0</v>
      </c>
      <c r="BD39" s="42">
        <v>0</v>
      </c>
      <c r="BE39" s="42">
        <v>0</v>
      </c>
      <c r="BF39" s="42">
        <v>0</v>
      </c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  <c r="BT39" s="28"/>
      <c r="BU39" s="28"/>
      <c r="BV39" s="28"/>
      <c r="BW39" s="28"/>
      <c r="BX39" s="28"/>
      <c r="BY39" s="28"/>
      <c r="BZ39" s="28"/>
      <c r="CA39" s="28"/>
      <c r="CB39" s="28"/>
      <c r="CC39" s="28"/>
      <c r="CD39" s="28"/>
      <c r="CE39" s="28"/>
      <c r="CF39" s="28"/>
      <c r="CG39" s="28"/>
      <c r="CH39" s="28"/>
      <c r="CI39" s="28"/>
      <c r="CJ39" s="28"/>
      <c r="CK39" s="28"/>
      <c r="CL39" s="28"/>
      <c r="CM39" s="28"/>
      <c r="CN39" s="28"/>
      <c r="CO39" s="28"/>
      <c r="CP39" s="28"/>
      <c r="CQ39" s="28"/>
      <c r="CR39" s="28"/>
      <c r="CS39" s="28"/>
      <c r="CT39" s="28"/>
      <c r="CU39" s="28"/>
      <c r="CV39" s="28"/>
      <c r="CW39" s="28"/>
      <c r="CX39" s="28"/>
      <c r="CY39" s="28"/>
      <c r="CZ39" s="28"/>
      <c r="DA39" s="28"/>
      <c r="DB39" s="28"/>
      <c r="DC39" s="28"/>
      <c r="DD39" s="28"/>
      <c r="DE39" s="28"/>
      <c r="DF39" s="28"/>
      <c r="DG39" s="28"/>
      <c r="DH39" s="28"/>
      <c r="DI39" s="28"/>
      <c r="DJ39" s="28"/>
      <c r="DK39" s="28"/>
      <c r="DL39" s="28"/>
      <c r="DM39" s="28"/>
      <c r="DN39" s="28"/>
      <c r="DO39" s="28"/>
      <c r="DP39" s="28"/>
      <c r="DQ39" s="28"/>
      <c r="DR39" s="28"/>
      <c r="DS39" s="28"/>
      <c r="DT39" s="28"/>
      <c r="DU39" s="28"/>
      <c r="DV39" s="28"/>
      <c r="DW39" s="28"/>
      <c r="DX39" s="28"/>
      <c r="DY39" s="28"/>
      <c r="DZ39" s="28"/>
      <c r="EA39" s="28"/>
      <c r="EB39" s="28"/>
      <c r="EC39" s="28"/>
      <c r="ED39" s="28"/>
      <c r="EE39" s="28"/>
      <c r="EF39" s="28"/>
      <c r="EG39" s="28"/>
      <c r="EH39" s="28"/>
      <c r="EI39" s="28"/>
      <c r="EJ39" s="28"/>
      <c r="EK39" s="28"/>
      <c r="EL39" s="28"/>
      <c r="EM39" s="28"/>
      <c r="EN39" s="28"/>
      <c r="EO39" s="28"/>
      <c r="EP39" s="28"/>
      <c r="EQ39" s="28"/>
      <c r="ER39" s="28"/>
      <c r="ES39" s="28"/>
      <c r="ET39" s="28"/>
      <c r="EU39" s="28"/>
      <c r="EV39" s="28"/>
      <c r="EW39" s="28"/>
      <c r="EX39" s="28"/>
      <c r="EY39" s="28"/>
      <c r="EZ39" s="28"/>
      <c r="FA39" s="28"/>
      <c r="FB39" s="28"/>
      <c r="FC39" s="28"/>
      <c r="FD39" s="28"/>
      <c r="FE39" s="28"/>
      <c r="FF39" s="28"/>
      <c r="FG39" s="28"/>
      <c r="FH39" s="28"/>
      <c r="FI39" s="28"/>
      <c r="FJ39" s="28"/>
      <c r="FK39" s="28"/>
      <c r="FL39" s="28"/>
      <c r="FM39" s="28"/>
      <c r="FN39" s="28"/>
      <c r="FO39" s="28"/>
      <c r="FP39" s="28"/>
      <c r="FQ39" s="28"/>
      <c r="FR39" s="28"/>
      <c r="FS39" s="28"/>
      <c r="FT39" s="28"/>
      <c r="FU39" s="28"/>
      <c r="FV39" s="28"/>
      <c r="FW39" s="28"/>
      <c r="FX39" s="28"/>
      <c r="FY39" s="28"/>
      <c r="FZ39" s="28"/>
      <c r="GA39" s="28"/>
      <c r="GB39" s="28"/>
      <c r="GC39" s="28"/>
      <c r="GD39" s="28"/>
      <c r="GE39" s="28"/>
      <c r="GF39" s="28"/>
      <c r="GG39" s="28"/>
      <c r="GH39" s="28"/>
      <c r="GI39" s="28"/>
      <c r="GJ39" s="28"/>
      <c r="GK39" s="28"/>
      <c r="GL39" s="28"/>
      <c r="GM39" s="28"/>
      <c r="GN39" s="28"/>
      <c r="GO39" s="28"/>
      <c r="GP39" s="28"/>
      <c r="GQ39" s="28"/>
      <c r="GR39" s="28"/>
      <c r="GS39" s="28"/>
      <c r="GT39" s="28"/>
      <c r="GU39" s="28"/>
      <c r="GV39" s="28"/>
      <c r="GW39" s="28"/>
      <c r="GX39" s="28"/>
      <c r="GY39" s="28"/>
      <c r="GZ39" s="28"/>
      <c r="HA39" s="28"/>
      <c r="HB39" s="28"/>
      <c r="HC39" s="28"/>
      <c r="HD39" s="28"/>
      <c r="HE39" s="28"/>
      <c r="HF39" s="28"/>
      <c r="HG39" s="28"/>
      <c r="HH39" s="28"/>
      <c r="HI39" s="28"/>
      <c r="HJ39" s="28"/>
      <c r="HK39" s="28"/>
      <c r="HL39" s="28"/>
      <c r="HM39" s="28"/>
      <c r="HN39" s="28"/>
      <c r="HO39" s="28"/>
      <c r="HP39" s="28"/>
      <c r="HQ39" s="28"/>
      <c r="HR39" s="28"/>
      <c r="HS39" s="28"/>
      <c r="HT39" s="28"/>
      <c r="HU39" s="28"/>
      <c r="HV39" s="28"/>
      <c r="HW39" s="28"/>
      <c r="HX39" s="28"/>
      <c r="HY39" s="28"/>
    </row>
    <row r="40" spans="1:233" s="29" customFormat="1" ht="15.75" x14ac:dyDescent="0.25">
      <c r="A40" s="40">
        <v>18</v>
      </c>
      <c r="B40" s="87" t="s">
        <v>255</v>
      </c>
      <c r="C40" s="87" t="s">
        <v>213</v>
      </c>
      <c r="D40" s="87" t="s">
        <v>214</v>
      </c>
      <c r="E40" s="42" t="s">
        <v>215</v>
      </c>
      <c r="F40" s="42" t="s">
        <v>194</v>
      </c>
      <c r="G40" s="42" t="s">
        <v>216</v>
      </c>
      <c r="H40" s="42">
        <v>1772889</v>
      </c>
      <c r="I40" s="42">
        <v>1822012</v>
      </c>
      <c r="J40" s="42">
        <v>2435</v>
      </c>
      <c r="K40" s="42">
        <v>1349105</v>
      </c>
      <c r="L40" s="42">
        <v>22908</v>
      </c>
      <c r="M40" s="42">
        <v>275867</v>
      </c>
      <c r="N40" s="42">
        <v>58472</v>
      </c>
      <c r="O40" s="42">
        <v>1875789</v>
      </c>
      <c r="P40" s="43">
        <v>0.04</v>
      </c>
      <c r="Q40" s="42">
        <f>1875789-1821368</f>
        <v>54421</v>
      </c>
      <c r="R40" s="42">
        <v>1119720</v>
      </c>
      <c r="S40" s="42">
        <v>701648</v>
      </c>
      <c r="T40" s="44">
        <f>105028/1821368</f>
        <v>5.7664348994821472E-2</v>
      </c>
      <c r="U40" s="42">
        <v>110379</v>
      </c>
      <c r="V40" s="42">
        <v>1215696</v>
      </c>
      <c r="W40" s="42">
        <v>0</v>
      </c>
      <c r="X40" s="42">
        <v>11990</v>
      </c>
      <c r="Y40" s="42">
        <v>0</v>
      </c>
      <c r="Z40" s="42">
        <v>0</v>
      </c>
      <c r="AA40" s="42">
        <v>0</v>
      </c>
      <c r="AB40" s="42">
        <v>16523</v>
      </c>
      <c r="AC40" s="42">
        <v>2000</v>
      </c>
      <c r="AD40" s="42">
        <v>0</v>
      </c>
      <c r="AE40" s="42">
        <f>620+1194</f>
        <v>1814</v>
      </c>
      <c r="AF40" s="42">
        <v>1004</v>
      </c>
      <c r="AG40" s="42">
        <v>0</v>
      </c>
      <c r="AH40" s="42">
        <v>0</v>
      </c>
      <c r="AI40" s="42">
        <v>11990</v>
      </c>
      <c r="AJ40" s="42">
        <v>41337</v>
      </c>
      <c r="AK40" s="45">
        <f>IF(AJ40=0,0,AI40/AJ40)</f>
        <v>0.2900549144833926</v>
      </c>
      <c r="AL40" s="42">
        <v>0</v>
      </c>
      <c r="AM40" s="42">
        <v>142764</v>
      </c>
      <c r="AN40" s="42">
        <v>0</v>
      </c>
      <c r="AO40" s="42">
        <v>871</v>
      </c>
      <c r="AP40" s="42"/>
      <c r="AQ40" s="42">
        <v>0</v>
      </c>
      <c r="AR40" s="42">
        <v>0</v>
      </c>
      <c r="AS40" s="42">
        <v>32</v>
      </c>
      <c r="AT40" s="42">
        <v>13</v>
      </c>
      <c r="AU40" s="46">
        <v>0</v>
      </c>
      <c r="AV40" s="46">
        <v>0</v>
      </c>
      <c r="AW40" s="46">
        <v>-6</v>
      </c>
      <c r="AX40" s="46">
        <v>-1</v>
      </c>
      <c r="AY40" s="46">
        <v>0</v>
      </c>
      <c r="AZ40" s="42">
        <f>SUM(AS40:AY40)</f>
        <v>38</v>
      </c>
      <c r="BA40" s="42">
        <v>0</v>
      </c>
      <c r="BB40" s="42">
        <v>1</v>
      </c>
      <c r="BC40" s="42">
        <v>0</v>
      </c>
      <c r="BD40" s="42">
        <v>0</v>
      </c>
      <c r="BE40" s="42">
        <v>0</v>
      </c>
      <c r="BF40" s="42">
        <v>0</v>
      </c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  <c r="BT40" s="28"/>
      <c r="BU40" s="28"/>
      <c r="BV40" s="28"/>
      <c r="BW40" s="28"/>
      <c r="BX40" s="28"/>
      <c r="BY40" s="28"/>
      <c r="BZ40" s="28"/>
      <c r="CA40" s="28"/>
      <c r="CB40" s="28"/>
      <c r="CC40" s="28"/>
      <c r="CD40" s="28"/>
      <c r="CE40" s="28"/>
      <c r="CF40" s="28"/>
      <c r="CG40" s="28"/>
      <c r="CH40" s="28"/>
      <c r="CI40" s="28"/>
      <c r="CJ40" s="28"/>
      <c r="CK40" s="28"/>
      <c r="CL40" s="28"/>
      <c r="CM40" s="28"/>
      <c r="CN40" s="28"/>
      <c r="CO40" s="28"/>
      <c r="CP40" s="28"/>
      <c r="CQ40" s="28"/>
      <c r="CR40" s="28"/>
      <c r="CS40" s="28"/>
      <c r="CT40" s="28"/>
      <c r="CU40" s="28"/>
      <c r="CV40" s="28"/>
      <c r="CW40" s="28"/>
      <c r="CX40" s="28"/>
      <c r="CY40" s="28"/>
      <c r="CZ40" s="28"/>
      <c r="DA40" s="28"/>
      <c r="DB40" s="28"/>
      <c r="DC40" s="28"/>
      <c r="DD40" s="28"/>
      <c r="DE40" s="28"/>
      <c r="DF40" s="28"/>
      <c r="DG40" s="28"/>
      <c r="DH40" s="28"/>
      <c r="DI40" s="28"/>
      <c r="DJ40" s="28"/>
      <c r="DK40" s="28"/>
      <c r="DL40" s="28"/>
      <c r="DM40" s="28"/>
      <c r="DN40" s="28"/>
      <c r="DO40" s="28"/>
      <c r="DP40" s="28"/>
      <c r="DQ40" s="28"/>
      <c r="DR40" s="28"/>
      <c r="DS40" s="28"/>
      <c r="DT40" s="28"/>
      <c r="DU40" s="28"/>
      <c r="DV40" s="28"/>
      <c r="DW40" s="28"/>
      <c r="DX40" s="28"/>
      <c r="DY40" s="28"/>
      <c r="DZ40" s="28"/>
      <c r="EA40" s="28"/>
      <c r="EB40" s="28"/>
      <c r="EC40" s="28"/>
      <c r="ED40" s="28"/>
      <c r="EE40" s="28"/>
      <c r="EF40" s="28"/>
      <c r="EG40" s="28"/>
      <c r="EH40" s="28"/>
      <c r="EI40" s="28"/>
      <c r="EJ40" s="28"/>
      <c r="EK40" s="28"/>
      <c r="EL40" s="28"/>
      <c r="EM40" s="28"/>
      <c r="EN40" s="28"/>
      <c r="EO40" s="28"/>
      <c r="EP40" s="28"/>
      <c r="EQ40" s="28"/>
      <c r="ER40" s="28"/>
      <c r="ES40" s="28"/>
      <c r="ET40" s="28"/>
      <c r="EU40" s="28"/>
      <c r="EV40" s="28"/>
      <c r="EW40" s="28"/>
      <c r="EX40" s="28"/>
      <c r="EY40" s="28"/>
      <c r="EZ40" s="28"/>
      <c r="FA40" s="28"/>
      <c r="FB40" s="28"/>
      <c r="FC40" s="28"/>
      <c r="FD40" s="28"/>
      <c r="FE40" s="28"/>
      <c r="FF40" s="28"/>
      <c r="FG40" s="28"/>
      <c r="FH40" s="28"/>
      <c r="FI40" s="28"/>
      <c r="FJ40" s="28"/>
      <c r="FK40" s="28"/>
      <c r="FL40" s="28"/>
      <c r="FM40" s="28"/>
      <c r="FN40" s="28"/>
      <c r="FO40" s="28"/>
      <c r="FP40" s="28"/>
      <c r="FQ40" s="28"/>
      <c r="FR40" s="28"/>
      <c r="FS40" s="28"/>
      <c r="FT40" s="28"/>
      <c r="FU40" s="28"/>
      <c r="FV40" s="28"/>
      <c r="FW40" s="28"/>
      <c r="FX40" s="28"/>
      <c r="FY40" s="28"/>
      <c r="FZ40" s="28"/>
      <c r="GA40" s="28"/>
      <c r="GB40" s="28"/>
      <c r="GC40" s="28"/>
      <c r="GD40" s="28"/>
      <c r="GE40" s="28"/>
      <c r="GF40" s="28"/>
      <c r="GG40" s="28"/>
      <c r="GH40" s="28"/>
      <c r="GI40" s="28"/>
      <c r="GJ40" s="28"/>
      <c r="GK40" s="28"/>
      <c r="GL40" s="28"/>
      <c r="GM40" s="28"/>
      <c r="GN40" s="28"/>
      <c r="GO40" s="28"/>
      <c r="GP40" s="28"/>
      <c r="GQ40" s="28"/>
      <c r="GR40" s="28"/>
      <c r="GS40" s="28"/>
      <c r="GT40" s="28"/>
      <c r="GU40" s="28"/>
      <c r="GV40" s="28"/>
      <c r="GW40" s="28"/>
      <c r="GX40" s="28"/>
      <c r="GY40" s="28"/>
      <c r="GZ40" s="28"/>
      <c r="HA40" s="28"/>
      <c r="HB40" s="28"/>
      <c r="HC40" s="28"/>
      <c r="HD40" s="28"/>
      <c r="HE40" s="28"/>
      <c r="HF40" s="28"/>
      <c r="HG40" s="28"/>
      <c r="HH40" s="28"/>
      <c r="HI40" s="28"/>
      <c r="HJ40" s="28"/>
      <c r="HK40" s="28"/>
      <c r="HL40" s="28"/>
      <c r="HM40" s="28"/>
      <c r="HN40" s="28"/>
      <c r="HO40" s="28"/>
      <c r="HP40" s="28"/>
      <c r="HQ40" s="28"/>
      <c r="HR40" s="28"/>
      <c r="HS40" s="28"/>
      <c r="HT40" s="28"/>
      <c r="HU40" s="28"/>
      <c r="HV40" s="28"/>
      <c r="HW40" s="28"/>
      <c r="HX40" s="28"/>
      <c r="HY40" s="28"/>
    </row>
    <row r="41" spans="1:233" ht="15.75" x14ac:dyDescent="0.25">
      <c r="A41" s="31">
        <v>18</v>
      </c>
      <c r="B41" s="32" t="s">
        <v>256</v>
      </c>
      <c r="C41" s="32" t="s">
        <v>208</v>
      </c>
      <c r="D41" s="32" t="s">
        <v>163</v>
      </c>
      <c r="E41" s="33" t="s">
        <v>88</v>
      </c>
      <c r="F41" s="33"/>
      <c r="G41" s="33" t="s">
        <v>88</v>
      </c>
      <c r="H41" s="33">
        <v>399040</v>
      </c>
      <c r="I41" s="33">
        <v>441038</v>
      </c>
      <c r="J41" s="33">
        <v>8982</v>
      </c>
      <c r="K41" s="33">
        <v>170363</v>
      </c>
      <c r="L41" s="33">
        <v>0</v>
      </c>
      <c r="M41" s="33">
        <v>17842</v>
      </c>
      <c r="N41" s="33">
        <v>374</v>
      </c>
      <c r="O41" s="33">
        <v>396284</v>
      </c>
      <c r="P41" s="34">
        <v>0.83</v>
      </c>
      <c r="Q41" s="33">
        <f>396284-343582</f>
        <v>52702</v>
      </c>
      <c r="R41" s="33">
        <v>341651</v>
      </c>
      <c r="S41" s="33">
        <v>1931</v>
      </c>
      <c r="T41" s="39">
        <f>34223/343582</f>
        <v>9.9606498594222048E-2</v>
      </c>
      <c r="U41" s="33">
        <v>34223</v>
      </c>
      <c r="V41" s="33">
        <v>368531</v>
      </c>
      <c r="W41" s="33">
        <v>4</v>
      </c>
      <c r="X41" s="33">
        <v>23780</v>
      </c>
      <c r="Y41" s="33">
        <v>2000</v>
      </c>
      <c r="Z41" s="33">
        <v>2540</v>
      </c>
      <c r="AA41" s="33">
        <v>2350</v>
      </c>
      <c r="AB41" s="33">
        <v>1247</v>
      </c>
      <c r="AC41" s="33">
        <v>1522</v>
      </c>
      <c r="AD41" s="33">
        <v>0</v>
      </c>
      <c r="AE41" s="33">
        <f>464+317+750</f>
        <v>1531</v>
      </c>
      <c r="AF41" s="33">
        <v>0</v>
      </c>
      <c r="AG41" s="33">
        <v>135</v>
      </c>
      <c r="AH41" s="33">
        <v>0</v>
      </c>
      <c r="AI41" s="33">
        <v>33921</v>
      </c>
      <c r="AJ41" s="33">
        <v>38058</v>
      </c>
      <c r="AK41" s="37">
        <f t="shared" si="9"/>
        <v>0.89129749329970043</v>
      </c>
      <c r="AL41" s="33">
        <v>0</v>
      </c>
      <c r="AM41" s="33">
        <v>38167</v>
      </c>
      <c r="AN41" s="33">
        <v>1715</v>
      </c>
      <c r="AO41" s="33">
        <v>0</v>
      </c>
      <c r="AP41" s="33"/>
      <c r="AQ41" s="33">
        <v>0</v>
      </c>
      <c r="AR41" s="33">
        <v>0</v>
      </c>
      <c r="AS41" s="33">
        <v>14</v>
      </c>
      <c r="AT41" s="33">
        <v>3</v>
      </c>
      <c r="AU41" s="38">
        <v>0</v>
      </c>
      <c r="AV41" s="38">
        <v>-1</v>
      </c>
      <c r="AW41" s="38">
        <v>-4</v>
      </c>
      <c r="AX41" s="38">
        <v>0</v>
      </c>
      <c r="AY41" s="38">
        <v>0</v>
      </c>
      <c r="AZ41" s="33">
        <f t="shared" si="8"/>
        <v>12</v>
      </c>
      <c r="BA41" s="33">
        <v>1</v>
      </c>
      <c r="BB41" s="33">
        <v>0</v>
      </c>
      <c r="BC41" s="33">
        <v>0</v>
      </c>
      <c r="BD41" s="33">
        <v>0</v>
      </c>
      <c r="BE41" s="33">
        <v>0</v>
      </c>
      <c r="BF41" s="33">
        <v>0</v>
      </c>
    </row>
    <row r="42" spans="1:233" ht="15.75" x14ac:dyDescent="0.25">
      <c r="A42" s="31">
        <v>18</v>
      </c>
      <c r="B42" s="32" t="s">
        <v>257</v>
      </c>
      <c r="C42" s="32" t="s">
        <v>53</v>
      </c>
      <c r="D42" s="32" t="s">
        <v>31</v>
      </c>
      <c r="E42" s="33" t="s">
        <v>115</v>
      </c>
      <c r="F42" s="33"/>
      <c r="G42" s="33" t="s">
        <v>115</v>
      </c>
      <c r="H42" s="33">
        <v>325525</v>
      </c>
      <c r="I42" s="33">
        <v>325526</v>
      </c>
      <c r="J42" s="33">
        <v>20</v>
      </c>
      <c r="K42" s="33">
        <v>251399</v>
      </c>
      <c r="L42" s="33">
        <v>0</v>
      </c>
      <c r="M42" s="33">
        <v>53781</v>
      </c>
      <c r="N42" s="33">
        <v>1000</v>
      </c>
      <c r="O42" s="33">
        <v>325720</v>
      </c>
      <c r="P42" s="34">
        <v>0</v>
      </c>
      <c r="Q42" s="33">
        <v>0</v>
      </c>
      <c r="R42" s="33">
        <v>325720</v>
      </c>
      <c r="S42" s="33">
        <v>0</v>
      </c>
      <c r="T42" s="39">
        <f>19543/325720</f>
        <v>5.999938597568464E-2</v>
      </c>
      <c r="U42" s="33">
        <v>19540</v>
      </c>
      <c r="V42" s="33">
        <v>0</v>
      </c>
      <c r="W42" s="33">
        <v>0</v>
      </c>
      <c r="X42" s="33">
        <v>0</v>
      </c>
      <c r="Y42" s="33">
        <v>0</v>
      </c>
      <c r="Z42" s="33">
        <v>0</v>
      </c>
      <c r="AA42" s="33">
        <v>72</v>
      </c>
      <c r="AB42" s="33">
        <v>0</v>
      </c>
      <c r="AC42" s="33">
        <v>0</v>
      </c>
      <c r="AD42" s="33">
        <v>221</v>
      </c>
      <c r="AE42" s="33">
        <f>918+300+47</f>
        <v>1265</v>
      </c>
      <c r="AF42" s="33">
        <v>0</v>
      </c>
      <c r="AG42" s="33">
        <v>0</v>
      </c>
      <c r="AH42" s="33">
        <v>0</v>
      </c>
      <c r="AI42" s="33">
        <v>1599</v>
      </c>
      <c r="AJ42" s="33">
        <v>2641</v>
      </c>
      <c r="AK42" s="37">
        <f t="shared" si="9"/>
        <v>0.60545248012116626</v>
      </c>
      <c r="AL42" s="33">
        <v>0</v>
      </c>
      <c r="AM42" s="33">
        <v>16286</v>
      </c>
      <c r="AN42" s="33">
        <v>11</v>
      </c>
      <c r="AO42" s="33">
        <v>5425</v>
      </c>
      <c r="AP42" s="33"/>
      <c r="AQ42" s="33">
        <v>0</v>
      </c>
      <c r="AR42" s="33">
        <v>0</v>
      </c>
      <c r="AS42" s="33">
        <v>5</v>
      </c>
      <c r="AT42" s="33">
        <v>0</v>
      </c>
      <c r="AU42" s="38">
        <v>0</v>
      </c>
      <c r="AV42" s="38">
        <v>0</v>
      </c>
      <c r="AW42" s="38">
        <v>0</v>
      </c>
      <c r="AX42" s="38">
        <v>0</v>
      </c>
      <c r="AY42" s="38">
        <v>0</v>
      </c>
      <c r="AZ42" s="33">
        <f t="shared" si="8"/>
        <v>5</v>
      </c>
      <c r="BA42" s="33">
        <v>0</v>
      </c>
      <c r="BB42" s="33">
        <v>0</v>
      </c>
      <c r="BC42" s="33">
        <v>0</v>
      </c>
      <c r="BD42" s="33">
        <v>0</v>
      </c>
      <c r="BE42" s="33">
        <v>0</v>
      </c>
      <c r="BF42" s="33">
        <v>0</v>
      </c>
    </row>
    <row r="43" spans="1:233" ht="15.75" x14ac:dyDescent="0.25">
      <c r="A43" s="31">
        <v>18</v>
      </c>
      <c r="B43" s="32" t="s">
        <v>258</v>
      </c>
      <c r="C43" s="32" t="s">
        <v>74</v>
      </c>
      <c r="D43" s="32" t="s">
        <v>200</v>
      </c>
      <c r="E43" s="33" t="s">
        <v>88</v>
      </c>
      <c r="F43" s="33"/>
      <c r="G43" s="33" t="s">
        <v>88</v>
      </c>
      <c r="H43" s="33">
        <v>3170357</v>
      </c>
      <c r="I43" s="33">
        <v>3171457</v>
      </c>
      <c r="J43" s="33">
        <v>509302</v>
      </c>
      <c r="K43" s="33">
        <v>2907487</v>
      </c>
      <c r="L43" s="33">
        <v>121818</v>
      </c>
      <c r="M43" s="33">
        <v>396679</v>
      </c>
      <c r="N43" s="33">
        <v>116876</v>
      </c>
      <c r="O43" s="33">
        <v>3866688</v>
      </c>
      <c r="P43" s="34">
        <v>0</v>
      </c>
      <c r="Q43" s="33">
        <f>3866688-3541950</f>
        <v>324738</v>
      </c>
      <c r="R43" s="33">
        <v>1747512</v>
      </c>
      <c r="S43" s="33">
        <v>1795349</v>
      </c>
      <c r="T43" s="39">
        <f>228612/3542861</f>
        <v>6.4527510393436266E-2</v>
      </c>
      <c r="U43" s="33">
        <v>227366</v>
      </c>
      <c r="V43" s="33">
        <v>6850</v>
      </c>
      <c r="W43" s="33">
        <f>1100+3</f>
        <v>1103</v>
      </c>
      <c r="X43" s="33">
        <v>54496</v>
      </c>
      <c r="Y43" s="33">
        <v>5306</v>
      </c>
      <c r="Z43" s="33">
        <v>6050</v>
      </c>
      <c r="AA43" s="33">
        <v>0</v>
      </c>
      <c r="AB43" s="33">
        <v>0</v>
      </c>
      <c r="AC43" s="33">
        <v>225</v>
      </c>
      <c r="AD43" s="33">
        <v>0</v>
      </c>
      <c r="AE43" s="33">
        <f>3471+1678+5075</f>
        <v>10224</v>
      </c>
      <c r="AF43" s="33">
        <v>724</v>
      </c>
      <c r="AG43" s="33">
        <v>1463</v>
      </c>
      <c r="AH43" s="33">
        <v>382</v>
      </c>
      <c r="AI43" s="33">
        <v>0</v>
      </c>
      <c r="AJ43" s="33">
        <v>91961</v>
      </c>
      <c r="AK43" s="37">
        <f t="shared" si="9"/>
        <v>0</v>
      </c>
      <c r="AL43" s="33">
        <v>0</v>
      </c>
      <c r="AM43" s="33">
        <v>179222</v>
      </c>
      <c r="AN43" s="33">
        <v>0</v>
      </c>
      <c r="AO43" s="33">
        <v>5139</v>
      </c>
      <c r="AP43" s="33"/>
      <c r="AQ43" s="33">
        <v>0</v>
      </c>
      <c r="AR43" s="33">
        <v>0</v>
      </c>
      <c r="AS43" s="33">
        <v>40</v>
      </c>
      <c r="AT43" s="33">
        <v>7</v>
      </c>
      <c r="AU43" s="38">
        <v>0</v>
      </c>
      <c r="AV43" s="38">
        <v>-2</v>
      </c>
      <c r="AW43" s="38">
        <v>-3</v>
      </c>
      <c r="AX43" s="38">
        <v>-6</v>
      </c>
      <c r="AY43" s="38">
        <v>0</v>
      </c>
      <c r="AZ43" s="33">
        <f t="shared" si="8"/>
        <v>36</v>
      </c>
      <c r="BA43" s="33">
        <v>0</v>
      </c>
      <c r="BB43" s="33">
        <v>1</v>
      </c>
      <c r="BC43" s="33">
        <v>0</v>
      </c>
      <c r="BD43" s="33">
        <v>4</v>
      </c>
      <c r="BE43" s="33">
        <v>1</v>
      </c>
      <c r="BF43" s="33">
        <v>0</v>
      </c>
    </row>
    <row r="44" spans="1:233" ht="15.75" x14ac:dyDescent="0.25">
      <c r="A44" s="31">
        <v>18</v>
      </c>
      <c r="B44" s="32" t="s">
        <v>259</v>
      </c>
      <c r="C44" s="32" t="s">
        <v>93</v>
      </c>
      <c r="D44" s="32" t="s">
        <v>80</v>
      </c>
      <c r="E44" s="33" t="s">
        <v>115</v>
      </c>
      <c r="F44" s="33"/>
      <c r="G44" s="33" t="s">
        <v>115</v>
      </c>
      <c r="H44" s="33">
        <v>818345</v>
      </c>
      <c r="I44" s="33">
        <v>910335</v>
      </c>
      <c r="J44" s="33">
        <v>99577</v>
      </c>
      <c r="K44" s="33">
        <v>437519</v>
      </c>
      <c r="L44" s="33">
        <v>20420</v>
      </c>
      <c r="M44" s="33">
        <v>120470</v>
      </c>
      <c r="N44" s="33">
        <v>106093</v>
      </c>
      <c r="O44" s="33">
        <v>814758</v>
      </c>
      <c r="P44" s="34">
        <v>1E-3</v>
      </c>
      <c r="Q44" s="33">
        <f>814758-717391</f>
        <v>97367</v>
      </c>
      <c r="R44" s="33">
        <v>467953</v>
      </c>
      <c r="S44" s="33">
        <v>249438</v>
      </c>
      <c r="T44" s="39">
        <f>37900/717391</f>
        <v>5.2830325443168367E-2</v>
      </c>
      <c r="U44" s="33">
        <v>38265</v>
      </c>
      <c r="V44" s="33">
        <v>2417297</v>
      </c>
      <c r="W44" s="33">
        <v>0</v>
      </c>
      <c r="X44" s="33">
        <v>0</v>
      </c>
      <c r="Y44" s="33">
        <v>0</v>
      </c>
      <c r="Z44" s="33">
        <v>0</v>
      </c>
      <c r="AA44" s="33">
        <v>2503</v>
      </c>
      <c r="AB44" s="33">
        <v>920</v>
      </c>
      <c r="AC44" s="33">
        <v>70</v>
      </c>
      <c r="AD44" s="33">
        <v>0</v>
      </c>
      <c r="AE44" s="33">
        <f>1481+709+198</f>
        <v>2388</v>
      </c>
      <c r="AF44" s="33">
        <v>0</v>
      </c>
      <c r="AG44" s="33">
        <v>0</v>
      </c>
      <c r="AH44" s="33">
        <v>190</v>
      </c>
      <c r="AI44" s="33">
        <v>1220</v>
      </c>
      <c r="AJ44" s="33">
        <v>8841</v>
      </c>
      <c r="AK44" s="37">
        <f t="shared" si="9"/>
        <v>0.13799343965614749</v>
      </c>
      <c r="AL44" s="33">
        <v>0</v>
      </c>
      <c r="AM44" s="33">
        <v>121479</v>
      </c>
      <c r="AN44" s="33">
        <v>0</v>
      </c>
      <c r="AO44" s="33">
        <v>0</v>
      </c>
      <c r="AP44" s="33"/>
      <c r="AQ44" s="33">
        <v>0</v>
      </c>
      <c r="AR44" s="33">
        <v>0</v>
      </c>
      <c r="AS44" s="33">
        <v>14</v>
      </c>
      <c r="AT44" s="33">
        <v>0</v>
      </c>
      <c r="AU44" s="38">
        <v>0</v>
      </c>
      <c r="AV44" s="38">
        <v>0</v>
      </c>
      <c r="AW44" s="38">
        <v>-4</v>
      </c>
      <c r="AX44" s="38">
        <v>0</v>
      </c>
      <c r="AY44" s="38">
        <v>0</v>
      </c>
      <c r="AZ44" s="33">
        <f t="shared" si="8"/>
        <v>10</v>
      </c>
      <c r="BA44" s="33">
        <v>0</v>
      </c>
      <c r="BB44" s="33">
        <v>0</v>
      </c>
      <c r="BC44" s="33">
        <v>0</v>
      </c>
      <c r="BD44" s="33">
        <v>0</v>
      </c>
      <c r="BE44" s="33">
        <v>0</v>
      </c>
      <c r="BF44" s="33">
        <v>0</v>
      </c>
    </row>
    <row r="45" spans="1:233" ht="15.75" x14ac:dyDescent="0.25">
      <c r="A45" s="31">
        <v>20</v>
      </c>
      <c r="B45" s="32" t="s">
        <v>260</v>
      </c>
      <c r="C45" s="32" t="s">
        <v>100</v>
      </c>
      <c r="D45" s="32" t="s">
        <v>185</v>
      </c>
      <c r="E45" s="33" t="s">
        <v>130</v>
      </c>
      <c r="F45" s="33" t="s">
        <v>125</v>
      </c>
      <c r="G45" s="33" t="s">
        <v>130</v>
      </c>
      <c r="H45" s="33">
        <v>467231</v>
      </c>
      <c r="I45" s="33">
        <v>468282</v>
      </c>
      <c r="J45" s="33">
        <v>0</v>
      </c>
      <c r="K45" s="33">
        <v>305718</v>
      </c>
      <c r="L45" s="33">
        <v>6262</v>
      </c>
      <c r="M45" s="33">
        <v>122936</v>
      </c>
      <c r="N45" s="33">
        <v>3822</v>
      </c>
      <c r="O45" s="33">
        <v>468251</v>
      </c>
      <c r="P45" s="34">
        <v>0</v>
      </c>
      <c r="Q45" s="33">
        <f>468251-467231</f>
        <v>1020</v>
      </c>
      <c r="R45" s="33">
        <v>425772</v>
      </c>
      <c r="S45" s="33">
        <v>41459</v>
      </c>
      <c r="T45" s="39">
        <f>28493/467231</f>
        <v>6.0982683083956331E-2</v>
      </c>
      <c r="U45" s="33">
        <v>28493</v>
      </c>
      <c r="V45" s="33">
        <v>17896</v>
      </c>
      <c r="W45" s="33">
        <f>31+10</f>
        <v>41</v>
      </c>
      <c r="X45" s="33">
        <v>180</v>
      </c>
      <c r="Y45" s="33">
        <v>0</v>
      </c>
      <c r="Z45" s="33">
        <v>0</v>
      </c>
      <c r="AA45" s="33">
        <v>600</v>
      </c>
      <c r="AB45" s="33">
        <v>2400</v>
      </c>
      <c r="AC45" s="33">
        <v>0</v>
      </c>
      <c r="AD45" s="33">
        <v>0</v>
      </c>
      <c r="AE45" s="33">
        <f>360+128</f>
        <v>488</v>
      </c>
      <c r="AF45" s="33">
        <v>0</v>
      </c>
      <c r="AG45" s="33">
        <v>300</v>
      </c>
      <c r="AH45" s="33">
        <v>0</v>
      </c>
      <c r="AI45" s="33">
        <v>0</v>
      </c>
      <c r="AJ45" s="33">
        <v>4744</v>
      </c>
      <c r="AK45" s="37">
        <f t="shared" si="9"/>
        <v>0</v>
      </c>
      <c r="AL45" s="33">
        <v>0</v>
      </c>
      <c r="AM45" s="33">
        <v>23478</v>
      </c>
      <c r="AN45" s="33">
        <v>0</v>
      </c>
      <c r="AO45" s="33">
        <v>9168</v>
      </c>
      <c r="AP45" s="33"/>
      <c r="AQ45" s="33">
        <v>0</v>
      </c>
      <c r="AR45" s="33">
        <v>0</v>
      </c>
      <c r="AS45" s="33">
        <v>9</v>
      </c>
      <c r="AT45" s="33">
        <v>3</v>
      </c>
      <c r="AU45" s="38">
        <v>0</v>
      </c>
      <c r="AV45" s="38">
        <v>0</v>
      </c>
      <c r="AW45" s="38">
        <v>-2</v>
      </c>
      <c r="AX45" s="38">
        <v>0</v>
      </c>
      <c r="AY45" s="38">
        <v>0</v>
      </c>
      <c r="AZ45" s="33">
        <f t="shared" si="8"/>
        <v>10</v>
      </c>
      <c r="BA45" s="33">
        <v>0</v>
      </c>
      <c r="BB45" s="33">
        <v>0</v>
      </c>
      <c r="BC45" s="33">
        <v>0</v>
      </c>
      <c r="BD45" s="33">
        <v>0</v>
      </c>
      <c r="BE45" s="33">
        <v>0</v>
      </c>
      <c r="BF45" s="33">
        <v>0</v>
      </c>
    </row>
    <row r="46" spans="1:233" s="29" customFormat="1" ht="15.75" x14ac:dyDescent="0.25">
      <c r="A46" s="40">
        <v>20</v>
      </c>
      <c r="B46" s="41" t="s">
        <v>261</v>
      </c>
      <c r="C46" s="41" t="s">
        <v>62</v>
      </c>
      <c r="D46" s="41" t="s">
        <v>196</v>
      </c>
      <c r="E46" s="42" t="s">
        <v>97</v>
      </c>
      <c r="F46" s="42"/>
      <c r="G46" s="42" t="s">
        <v>97</v>
      </c>
      <c r="H46" s="42">
        <v>1035586</v>
      </c>
      <c r="I46" s="42">
        <v>1063793</v>
      </c>
      <c r="J46" s="42">
        <v>6052</v>
      </c>
      <c r="K46" s="42">
        <v>837906</v>
      </c>
      <c r="L46" s="42">
        <v>84840</v>
      </c>
      <c r="M46" s="42">
        <v>10488</v>
      </c>
      <c r="N46" s="42">
        <v>15988</v>
      </c>
      <c r="O46" s="42">
        <v>1082255</v>
      </c>
      <c r="P46" s="43">
        <v>1.28</v>
      </c>
      <c r="Q46" s="42">
        <f>1082255-1054132</f>
        <v>28123</v>
      </c>
      <c r="R46" s="42">
        <v>1030106</v>
      </c>
      <c r="S46" s="54">
        <v>24026</v>
      </c>
      <c r="T46" s="55">
        <f>103731/1054132</f>
        <v>9.8404184675164028E-2</v>
      </c>
      <c r="U46" s="42">
        <v>104510</v>
      </c>
      <c r="V46" s="42">
        <v>253731</v>
      </c>
      <c r="W46" s="42">
        <f>74+7+32</f>
        <v>113</v>
      </c>
      <c r="X46" s="42">
        <v>34384</v>
      </c>
      <c r="Y46" s="42">
        <v>4293</v>
      </c>
      <c r="Z46" s="42">
        <v>2300</v>
      </c>
      <c r="AA46" s="42">
        <v>12371</v>
      </c>
      <c r="AB46" s="42">
        <v>850</v>
      </c>
      <c r="AC46" s="42">
        <v>3400</v>
      </c>
      <c r="AD46" s="42">
        <v>0</v>
      </c>
      <c r="AE46" s="42">
        <f>1000+1250+1200</f>
        <v>3450</v>
      </c>
      <c r="AF46" s="42">
        <v>500</v>
      </c>
      <c r="AG46" s="42">
        <v>0</v>
      </c>
      <c r="AH46" s="42">
        <v>0</v>
      </c>
      <c r="AI46" s="42">
        <v>67476</v>
      </c>
      <c r="AJ46" s="42">
        <v>67476</v>
      </c>
      <c r="AK46" s="45">
        <f t="shared" si="9"/>
        <v>1</v>
      </c>
      <c r="AL46" s="42">
        <v>0</v>
      </c>
      <c r="AM46" s="42">
        <v>57883</v>
      </c>
      <c r="AN46" s="42">
        <v>0</v>
      </c>
      <c r="AO46" s="42">
        <v>8063</v>
      </c>
      <c r="AP46" s="42"/>
      <c r="AQ46" s="42">
        <v>0</v>
      </c>
      <c r="AR46" s="42">
        <v>0</v>
      </c>
      <c r="AS46" s="42">
        <v>36</v>
      </c>
      <c r="AT46" s="42">
        <v>5</v>
      </c>
      <c r="AU46" s="46">
        <v>0</v>
      </c>
      <c r="AV46" s="46">
        <v>0</v>
      </c>
      <c r="AW46" s="46">
        <v>-3</v>
      </c>
      <c r="AX46" s="46">
        <v>-8</v>
      </c>
      <c r="AY46" s="46">
        <v>0</v>
      </c>
      <c r="AZ46" s="42">
        <f t="shared" si="8"/>
        <v>30</v>
      </c>
      <c r="BA46" s="42">
        <v>2</v>
      </c>
      <c r="BB46" s="42">
        <v>0</v>
      </c>
      <c r="BC46" s="42">
        <v>0</v>
      </c>
      <c r="BD46" s="42">
        <v>1</v>
      </c>
      <c r="BE46" s="42">
        <v>7</v>
      </c>
      <c r="BF46" s="42">
        <v>0</v>
      </c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28"/>
      <c r="BS46" s="28"/>
      <c r="BT46" s="28"/>
      <c r="BU46" s="28"/>
      <c r="BV46" s="28"/>
      <c r="BW46" s="28"/>
      <c r="BX46" s="28"/>
      <c r="BY46" s="28"/>
      <c r="BZ46" s="28"/>
      <c r="CA46" s="28"/>
      <c r="CB46" s="28"/>
      <c r="CC46" s="28"/>
      <c r="CD46" s="28"/>
      <c r="CE46" s="28"/>
      <c r="CF46" s="28"/>
      <c r="CG46" s="28"/>
      <c r="CH46" s="28"/>
      <c r="CI46" s="28"/>
      <c r="CJ46" s="28"/>
      <c r="CK46" s="28"/>
      <c r="CL46" s="28"/>
      <c r="CM46" s="28"/>
      <c r="CN46" s="28"/>
      <c r="CO46" s="28"/>
      <c r="CP46" s="28"/>
      <c r="CQ46" s="28"/>
      <c r="CR46" s="28"/>
      <c r="CS46" s="28"/>
      <c r="CT46" s="28"/>
      <c r="CU46" s="28"/>
      <c r="CV46" s="28"/>
      <c r="CW46" s="28"/>
      <c r="CX46" s="28"/>
      <c r="CY46" s="28"/>
      <c r="CZ46" s="28"/>
      <c r="DA46" s="28"/>
      <c r="DB46" s="28"/>
      <c r="DC46" s="28"/>
      <c r="DD46" s="28"/>
      <c r="DE46" s="28"/>
      <c r="DF46" s="28"/>
      <c r="DG46" s="28"/>
      <c r="DH46" s="28"/>
      <c r="DI46" s="28"/>
      <c r="DJ46" s="28"/>
      <c r="DK46" s="28"/>
      <c r="DL46" s="28"/>
      <c r="DM46" s="28"/>
      <c r="DN46" s="28"/>
      <c r="DO46" s="28"/>
      <c r="DP46" s="28"/>
      <c r="DQ46" s="28"/>
      <c r="DR46" s="28"/>
      <c r="DS46" s="28"/>
      <c r="DT46" s="28"/>
      <c r="DU46" s="28"/>
      <c r="DV46" s="28"/>
      <c r="DW46" s="28"/>
      <c r="DX46" s="28"/>
      <c r="DY46" s="28"/>
      <c r="DZ46" s="28"/>
      <c r="EA46" s="28"/>
      <c r="EB46" s="28"/>
      <c r="EC46" s="28"/>
      <c r="ED46" s="28"/>
      <c r="EE46" s="28"/>
      <c r="EF46" s="28"/>
      <c r="EG46" s="28"/>
      <c r="EH46" s="28"/>
      <c r="EI46" s="28"/>
      <c r="EJ46" s="28"/>
      <c r="EK46" s="28"/>
      <c r="EL46" s="28"/>
      <c r="EM46" s="28"/>
      <c r="EN46" s="28"/>
      <c r="EO46" s="28"/>
      <c r="EP46" s="28"/>
      <c r="EQ46" s="28"/>
      <c r="ER46" s="28"/>
      <c r="ES46" s="28"/>
      <c r="ET46" s="28"/>
      <c r="EU46" s="28"/>
      <c r="EV46" s="28"/>
      <c r="EW46" s="28"/>
      <c r="EX46" s="28"/>
      <c r="EY46" s="28"/>
      <c r="EZ46" s="28"/>
      <c r="FA46" s="28"/>
      <c r="FB46" s="28"/>
      <c r="FC46" s="28"/>
      <c r="FD46" s="28"/>
      <c r="FE46" s="28"/>
      <c r="FF46" s="28"/>
      <c r="FG46" s="28"/>
      <c r="FH46" s="28"/>
      <c r="FI46" s="28"/>
      <c r="FJ46" s="28"/>
      <c r="FK46" s="28"/>
      <c r="FL46" s="28"/>
      <c r="FM46" s="28"/>
      <c r="FN46" s="28"/>
      <c r="FO46" s="28"/>
      <c r="FP46" s="28"/>
      <c r="FQ46" s="28"/>
      <c r="FR46" s="28"/>
      <c r="FS46" s="28"/>
      <c r="FT46" s="28"/>
      <c r="FU46" s="28"/>
      <c r="FV46" s="28"/>
      <c r="FW46" s="28"/>
      <c r="FX46" s="28"/>
      <c r="FY46" s="28"/>
      <c r="FZ46" s="28"/>
      <c r="GA46" s="28"/>
      <c r="GB46" s="28"/>
      <c r="GC46" s="28"/>
      <c r="GD46" s="28"/>
      <c r="GE46" s="28"/>
      <c r="GF46" s="28"/>
      <c r="GG46" s="28"/>
      <c r="GH46" s="28"/>
      <c r="GI46" s="28"/>
      <c r="GJ46" s="28"/>
      <c r="GK46" s="28"/>
      <c r="GL46" s="28"/>
      <c r="GM46" s="28"/>
      <c r="GN46" s="28"/>
      <c r="GO46" s="28"/>
      <c r="GP46" s="28"/>
      <c r="GQ46" s="28"/>
      <c r="GR46" s="28"/>
      <c r="GS46" s="28"/>
      <c r="GT46" s="28"/>
      <c r="GU46" s="28"/>
      <c r="GV46" s="28"/>
      <c r="GW46" s="28"/>
      <c r="GX46" s="28"/>
      <c r="GY46" s="28"/>
      <c r="GZ46" s="28"/>
      <c r="HA46" s="28"/>
      <c r="HB46" s="28"/>
      <c r="HC46" s="28"/>
      <c r="HD46" s="28"/>
      <c r="HE46" s="28"/>
      <c r="HF46" s="28"/>
      <c r="HG46" s="28"/>
      <c r="HH46" s="28"/>
      <c r="HI46" s="28"/>
      <c r="HJ46" s="28"/>
      <c r="HK46" s="28"/>
      <c r="HL46" s="28"/>
      <c r="HM46" s="28"/>
      <c r="HN46" s="28"/>
      <c r="HO46" s="28"/>
      <c r="HP46" s="28"/>
      <c r="HQ46" s="28"/>
      <c r="HR46" s="28"/>
      <c r="HS46" s="28"/>
      <c r="HT46" s="28"/>
      <c r="HU46" s="28"/>
      <c r="HV46" s="28"/>
      <c r="HW46" s="28"/>
      <c r="HX46" s="28"/>
      <c r="HY46" s="28"/>
    </row>
    <row r="47" spans="1:233" ht="15.75" x14ac:dyDescent="0.25">
      <c r="A47" s="31">
        <v>20</v>
      </c>
      <c r="B47" s="32" t="s">
        <v>262</v>
      </c>
      <c r="C47" s="32" t="s">
        <v>66</v>
      </c>
      <c r="D47" s="32" t="s">
        <v>134</v>
      </c>
      <c r="E47" s="33" t="s">
        <v>97</v>
      </c>
      <c r="F47" s="33"/>
      <c r="G47" s="33" t="s">
        <v>97</v>
      </c>
      <c r="H47" s="33">
        <v>456389</v>
      </c>
      <c r="I47" s="33">
        <v>458933</v>
      </c>
      <c r="J47" s="33">
        <v>8252</v>
      </c>
      <c r="K47" s="33">
        <v>308844</v>
      </c>
      <c r="L47" s="33">
        <v>71074</v>
      </c>
      <c r="M47" s="33">
        <v>24954</v>
      </c>
      <c r="N47" s="33">
        <v>15787</v>
      </c>
      <c r="O47" s="33">
        <v>469493</v>
      </c>
      <c r="P47" s="34">
        <v>2</v>
      </c>
      <c r="Q47" s="33">
        <f>469493-467331</f>
        <v>2162</v>
      </c>
      <c r="R47" s="33">
        <v>467331</v>
      </c>
      <c r="S47" s="35">
        <v>0</v>
      </c>
      <c r="T47" s="36">
        <f>46733/467331</f>
        <v>9.9999786018903095E-2</v>
      </c>
      <c r="U47" s="33">
        <v>46672</v>
      </c>
      <c r="V47" s="33">
        <v>19465</v>
      </c>
      <c r="W47" s="33">
        <f>20+3+3</f>
        <v>26</v>
      </c>
      <c r="X47" s="33">
        <v>29724</v>
      </c>
      <c r="Y47" s="33">
        <v>2973</v>
      </c>
      <c r="Z47" s="33">
        <v>0</v>
      </c>
      <c r="AA47" s="33">
        <v>5485</v>
      </c>
      <c r="AB47" s="33">
        <v>0</v>
      </c>
      <c r="AC47" s="33">
        <v>0</v>
      </c>
      <c r="AD47" s="33">
        <v>0</v>
      </c>
      <c r="AE47" s="33">
        <f>1500+600+1500</f>
        <v>3600</v>
      </c>
      <c r="AF47" s="33">
        <v>0</v>
      </c>
      <c r="AG47" s="33">
        <v>0</v>
      </c>
      <c r="AH47" s="33">
        <v>0</v>
      </c>
      <c r="AI47" s="33">
        <v>43703</v>
      </c>
      <c r="AJ47" s="33">
        <v>44137</v>
      </c>
      <c r="AK47" s="37">
        <f t="shared" si="9"/>
        <v>0.99016698008473614</v>
      </c>
      <c r="AL47" s="33">
        <v>0</v>
      </c>
      <c r="AM47" s="33">
        <v>4723</v>
      </c>
      <c r="AN47" s="33">
        <v>0</v>
      </c>
      <c r="AO47" s="33">
        <v>1</v>
      </c>
      <c r="AP47" s="33"/>
      <c r="AQ47" s="33">
        <v>0</v>
      </c>
      <c r="AR47" s="33">
        <v>0</v>
      </c>
      <c r="AS47" s="33">
        <v>43</v>
      </c>
      <c r="AT47" s="33">
        <v>6</v>
      </c>
      <c r="AU47" s="38">
        <v>0</v>
      </c>
      <c r="AV47" s="38">
        <v>0</v>
      </c>
      <c r="AW47" s="38">
        <v>-11</v>
      </c>
      <c r="AX47" s="38">
        <v>-6</v>
      </c>
      <c r="AY47" s="38">
        <v>0</v>
      </c>
      <c r="AZ47" s="33">
        <f t="shared" si="8"/>
        <v>32</v>
      </c>
      <c r="BA47" s="33">
        <v>0</v>
      </c>
      <c r="BB47" s="33">
        <v>0</v>
      </c>
      <c r="BC47" s="33">
        <v>0</v>
      </c>
      <c r="BD47" s="33">
        <v>1</v>
      </c>
      <c r="BE47" s="33">
        <v>5</v>
      </c>
      <c r="BF47" s="33">
        <v>0</v>
      </c>
    </row>
    <row r="48" spans="1:233" s="29" customFormat="1" ht="15.75" x14ac:dyDescent="0.25">
      <c r="A48" s="40">
        <v>20</v>
      </c>
      <c r="B48" s="41" t="s">
        <v>263</v>
      </c>
      <c r="C48" s="41" t="s">
        <v>101</v>
      </c>
      <c r="D48" s="41" t="s">
        <v>204</v>
      </c>
      <c r="E48" s="42" t="s">
        <v>130</v>
      </c>
      <c r="F48" s="42" t="s">
        <v>194</v>
      </c>
      <c r="G48" s="42" t="s">
        <v>130</v>
      </c>
      <c r="H48" s="42">
        <v>747590</v>
      </c>
      <c r="I48" s="42">
        <v>749333</v>
      </c>
      <c r="J48" s="42">
        <v>33524</v>
      </c>
      <c r="K48" s="42">
        <v>590663</v>
      </c>
      <c r="L48" s="42">
        <v>10383</v>
      </c>
      <c r="M48" s="42">
        <v>25173</v>
      </c>
      <c r="N48" s="42">
        <v>42909</v>
      </c>
      <c r="O48" s="42">
        <v>745174</v>
      </c>
      <c r="P48" s="43">
        <v>0.03</v>
      </c>
      <c r="Q48" s="42">
        <f>745174-743477</f>
        <v>1697</v>
      </c>
      <c r="R48" s="42">
        <v>743477</v>
      </c>
      <c r="S48" s="54">
        <v>0</v>
      </c>
      <c r="T48" s="55">
        <f>74348/743477</f>
        <v>0.10000040350945624</v>
      </c>
      <c r="U48" s="42">
        <v>74348</v>
      </c>
      <c r="V48" s="42">
        <v>17055</v>
      </c>
      <c r="W48" s="42">
        <f>36+5+30</f>
        <v>71</v>
      </c>
      <c r="X48" s="42">
        <v>10544</v>
      </c>
      <c r="Y48" s="42">
        <v>888</v>
      </c>
      <c r="Z48" s="42">
        <v>0</v>
      </c>
      <c r="AA48" s="42">
        <v>12102</v>
      </c>
      <c r="AB48" s="42">
        <v>0</v>
      </c>
      <c r="AC48" s="42">
        <v>812</v>
      </c>
      <c r="AD48" s="42">
        <v>0</v>
      </c>
      <c r="AE48" s="42">
        <f>2187+655+1374</f>
        <v>4216</v>
      </c>
      <c r="AF48" s="42">
        <v>0</v>
      </c>
      <c r="AG48" s="42">
        <v>0</v>
      </c>
      <c r="AH48" s="42">
        <v>0</v>
      </c>
      <c r="AI48" s="42">
        <v>0</v>
      </c>
      <c r="AJ48" s="42">
        <v>34625</v>
      </c>
      <c r="AK48" s="45">
        <f t="shared" si="9"/>
        <v>0</v>
      </c>
      <c r="AL48" s="42">
        <v>0</v>
      </c>
      <c r="AM48" s="42">
        <v>36556</v>
      </c>
      <c r="AN48" s="42">
        <v>0</v>
      </c>
      <c r="AO48" s="42">
        <v>40975</v>
      </c>
      <c r="AP48" s="42"/>
      <c r="AQ48" s="42">
        <v>0</v>
      </c>
      <c r="AR48" s="42">
        <v>0</v>
      </c>
      <c r="AS48" s="42">
        <v>27</v>
      </c>
      <c r="AT48" s="42">
        <v>10</v>
      </c>
      <c r="AU48" s="46">
        <v>0</v>
      </c>
      <c r="AV48" s="46">
        <v>0</v>
      </c>
      <c r="AW48" s="46">
        <v>-4</v>
      </c>
      <c r="AX48" s="46">
        <v>-2</v>
      </c>
      <c r="AY48" s="46">
        <v>0</v>
      </c>
      <c r="AZ48" s="42">
        <f t="shared" si="8"/>
        <v>31</v>
      </c>
      <c r="BA48" s="42">
        <v>0</v>
      </c>
      <c r="BB48" s="42">
        <v>0</v>
      </c>
      <c r="BC48" s="42">
        <v>0</v>
      </c>
      <c r="BD48" s="42">
        <v>0</v>
      </c>
      <c r="BE48" s="42">
        <v>2</v>
      </c>
      <c r="BF48" s="42">
        <v>0</v>
      </c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28"/>
      <c r="BS48" s="28"/>
      <c r="BT48" s="28"/>
      <c r="BU48" s="28"/>
      <c r="BV48" s="28"/>
      <c r="BW48" s="28"/>
      <c r="BX48" s="28"/>
      <c r="BY48" s="28"/>
      <c r="BZ48" s="28"/>
      <c r="CA48" s="28"/>
      <c r="CB48" s="28"/>
      <c r="CC48" s="28"/>
      <c r="CD48" s="28"/>
      <c r="CE48" s="28"/>
      <c r="CF48" s="28"/>
      <c r="CG48" s="28"/>
      <c r="CH48" s="28"/>
      <c r="CI48" s="28"/>
      <c r="CJ48" s="28"/>
      <c r="CK48" s="28"/>
      <c r="CL48" s="28"/>
      <c r="CM48" s="28"/>
      <c r="CN48" s="28"/>
      <c r="CO48" s="28"/>
      <c r="CP48" s="28"/>
      <c r="CQ48" s="28"/>
      <c r="CR48" s="28"/>
      <c r="CS48" s="28"/>
      <c r="CT48" s="28"/>
      <c r="CU48" s="28"/>
      <c r="CV48" s="28"/>
      <c r="CW48" s="28"/>
      <c r="CX48" s="28"/>
      <c r="CY48" s="28"/>
      <c r="CZ48" s="28"/>
      <c r="DA48" s="28"/>
      <c r="DB48" s="28"/>
      <c r="DC48" s="28"/>
      <c r="DD48" s="28"/>
      <c r="DE48" s="28"/>
      <c r="DF48" s="28"/>
      <c r="DG48" s="28"/>
      <c r="DH48" s="28"/>
      <c r="DI48" s="28"/>
      <c r="DJ48" s="28"/>
      <c r="DK48" s="28"/>
      <c r="DL48" s="28"/>
      <c r="DM48" s="28"/>
      <c r="DN48" s="28"/>
      <c r="DO48" s="28"/>
      <c r="DP48" s="28"/>
      <c r="DQ48" s="28"/>
      <c r="DR48" s="28"/>
      <c r="DS48" s="28"/>
      <c r="DT48" s="28"/>
      <c r="DU48" s="28"/>
      <c r="DV48" s="28"/>
      <c r="DW48" s="28"/>
      <c r="DX48" s="28"/>
      <c r="DY48" s="28"/>
      <c r="DZ48" s="28"/>
      <c r="EA48" s="28"/>
      <c r="EB48" s="28"/>
      <c r="EC48" s="28"/>
      <c r="ED48" s="28"/>
      <c r="EE48" s="28"/>
      <c r="EF48" s="28"/>
      <c r="EG48" s="28"/>
      <c r="EH48" s="28"/>
      <c r="EI48" s="28"/>
      <c r="EJ48" s="28"/>
      <c r="EK48" s="28"/>
      <c r="EL48" s="28"/>
      <c r="EM48" s="28"/>
      <c r="EN48" s="28"/>
      <c r="EO48" s="28"/>
      <c r="EP48" s="28"/>
      <c r="EQ48" s="28"/>
      <c r="ER48" s="28"/>
      <c r="ES48" s="28"/>
      <c r="ET48" s="28"/>
      <c r="EU48" s="28"/>
      <c r="EV48" s="28"/>
      <c r="EW48" s="28"/>
      <c r="EX48" s="28"/>
      <c r="EY48" s="28"/>
      <c r="EZ48" s="28"/>
      <c r="FA48" s="28"/>
      <c r="FB48" s="28"/>
      <c r="FC48" s="28"/>
      <c r="FD48" s="28"/>
      <c r="FE48" s="28"/>
      <c r="FF48" s="28"/>
      <c r="FG48" s="28"/>
      <c r="FH48" s="28"/>
      <c r="FI48" s="28"/>
      <c r="FJ48" s="28"/>
      <c r="FK48" s="28"/>
      <c r="FL48" s="28"/>
      <c r="FM48" s="28"/>
      <c r="FN48" s="28"/>
      <c r="FO48" s="28"/>
      <c r="FP48" s="28"/>
      <c r="FQ48" s="28"/>
      <c r="FR48" s="28"/>
      <c r="FS48" s="28"/>
      <c r="FT48" s="28"/>
      <c r="FU48" s="28"/>
      <c r="FV48" s="28"/>
      <c r="FW48" s="28"/>
      <c r="FX48" s="28"/>
      <c r="FY48" s="28"/>
      <c r="FZ48" s="28"/>
      <c r="GA48" s="28"/>
      <c r="GB48" s="28"/>
      <c r="GC48" s="28"/>
      <c r="GD48" s="28"/>
      <c r="GE48" s="28"/>
      <c r="GF48" s="28"/>
      <c r="GG48" s="28"/>
      <c r="GH48" s="28"/>
      <c r="GI48" s="28"/>
      <c r="GJ48" s="28"/>
      <c r="GK48" s="28"/>
      <c r="GL48" s="28"/>
      <c r="GM48" s="28"/>
      <c r="GN48" s="28"/>
      <c r="GO48" s="28"/>
      <c r="GP48" s="28"/>
      <c r="GQ48" s="28"/>
      <c r="GR48" s="28"/>
      <c r="GS48" s="28"/>
      <c r="GT48" s="28"/>
      <c r="GU48" s="28"/>
      <c r="GV48" s="28"/>
      <c r="GW48" s="28"/>
      <c r="GX48" s="28"/>
      <c r="GY48" s="28"/>
      <c r="GZ48" s="28"/>
      <c r="HA48" s="28"/>
      <c r="HB48" s="28"/>
      <c r="HC48" s="28"/>
      <c r="HD48" s="28"/>
      <c r="HE48" s="28"/>
      <c r="HF48" s="28"/>
      <c r="HG48" s="28"/>
      <c r="HH48" s="28"/>
      <c r="HI48" s="28"/>
      <c r="HJ48" s="28"/>
      <c r="HK48" s="28"/>
      <c r="HL48" s="28"/>
      <c r="HM48" s="28"/>
      <c r="HN48" s="28"/>
      <c r="HO48" s="28"/>
      <c r="HP48" s="28"/>
      <c r="HQ48" s="28"/>
      <c r="HR48" s="28"/>
      <c r="HS48" s="28"/>
      <c r="HT48" s="28"/>
      <c r="HU48" s="28"/>
      <c r="HV48" s="28"/>
      <c r="HW48" s="28"/>
      <c r="HX48" s="28"/>
      <c r="HY48" s="28"/>
    </row>
    <row r="49" spans="1:233" s="29" customFormat="1" ht="15.75" x14ac:dyDescent="0.25">
      <c r="A49" s="40">
        <v>21</v>
      </c>
      <c r="B49" s="41" t="s">
        <v>264</v>
      </c>
      <c r="C49" s="41" t="s">
        <v>210</v>
      </c>
      <c r="D49" s="41" t="s">
        <v>162</v>
      </c>
      <c r="E49" s="42" t="s">
        <v>142</v>
      </c>
      <c r="F49" s="42"/>
      <c r="G49" s="42" t="s">
        <v>143</v>
      </c>
      <c r="H49" s="42">
        <v>2416073</v>
      </c>
      <c r="I49" s="42">
        <v>2416073</v>
      </c>
      <c r="J49" s="42">
        <v>93294</v>
      </c>
      <c r="K49" s="42">
        <v>1588783</v>
      </c>
      <c r="L49" s="42">
        <v>107852</v>
      </c>
      <c r="M49" s="42">
        <v>183979</v>
      </c>
      <c r="N49" s="42">
        <v>155547</v>
      </c>
      <c r="O49" s="42">
        <v>2276471</v>
      </c>
      <c r="P49" s="43">
        <v>0.23</v>
      </c>
      <c r="Q49" s="42">
        <f>2276471-2276371</f>
        <v>100</v>
      </c>
      <c r="R49" s="42">
        <v>2276371</v>
      </c>
      <c r="S49" s="54">
        <v>0</v>
      </c>
      <c r="T49" s="55">
        <f>227637/2276371</f>
        <v>9.9999956070429649E-2</v>
      </c>
      <c r="U49" s="42">
        <v>227637</v>
      </c>
      <c r="V49" s="42">
        <v>0</v>
      </c>
      <c r="W49" s="42">
        <v>0</v>
      </c>
      <c r="X49" s="42">
        <v>56713</v>
      </c>
      <c r="Y49" s="42">
        <v>4339</v>
      </c>
      <c r="Z49" s="42">
        <v>0</v>
      </c>
      <c r="AA49" s="42">
        <v>1992</v>
      </c>
      <c r="AB49" s="42">
        <v>0</v>
      </c>
      <c r="AC49" s="42">
        <v>1504</v>
      </c>
      <c r="AD49" s="42">
        <v>0</v>
      </c>
      <c r="AE49" s="42">
        <f>600+900</f>
        <v>1500</v>
      </c>
      <c r="AF49" s="42">
        <v>1780</v>
      </c>
      <c r="AG49" s="42">
        <v>0</v>
      </c>
      <c r="AH49" s="42">
        <v>0</v>
      </c>
      <c r="AI49" s="42">
        <v>0</v>
      </c>
      <c r="AJ49" s="42">
        <v>79040</v>
      </c>
      <c r="AK49" s="45">
        <f t="shared" si="9"/>
        <v>0</v>
      </c>
      <c r="AL49" s="42">
        <v>0</v>
      </c>
      <c r="AM49" s="42">
        <v>115510</v>
      </c>
      <c r="AN49" s="42">
        <v>0</v>
      </c>
      <c r="AO49" s="42">
        <v>40637</v>
      </c>
      <c r="AP49" s="42"/>
      <c r="AQ49" s="42">
        <v>0</v>
      </c>
      <c r="AR49" s="42">
        <v>0</v>
      </c>
      <c r="AS49" s="42">
        <v>86</v>
      </c>
      <c r="AT49" s="42">
        <v>28</v>
      </c>
      <c r="AU49" s="46">
        <v>0</v>
      </c>
      <c r="AV49" s="46">
        <v>-2</v>
      </c>
      <c r="AW49" s="46">
        <v>-14</v>
      </c>
      <c r="AX49" s="46">
        <v>-1</v>
      </c>
      <c r="AY49" s="46">
        <v>0</v>
      </c>
      <c r="AZ49" s="42">
        <f t="shared" si="8"/>
        <v>97</v>
      </c>
      <c r="BA49" s="42">
        <v>2</v>
      </c>
      <c r="BB49" s="42">
        <v>0</v>
      </c>
      <c r="BC49" s="42">
        <v>0</v>
      </c>
      <c r="BD49" s="42">
        <v>1</v>
      </c>
      <c r="BE49" s="42">
        <v>0</v>
      </c>
      <c r="BF49" s="42">
        <v>0</v>
      </c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28"/>
      <c r="BS49" s="28"/>
      <c r="BT49" s="28"/>
      <c r="BU49" s="28"/>
      <c r="BV49" s="28"/>
      <c r="BW49" s="28"/>
      <c r="BX49" s="28"/>
      <c r="BY49" s="28"/>
      <c r="BZ49" s="28"/>
      <c r="CA49" s="28"/>
      <c r="CB49" s="28"/>
      <c r="CC49" s="28"/>
      <c r="CD49" s="28"/>
      <c r="CE49" s="28"/>
      <c r="CF49" s="28"/>
      <c r="CG49" s="28"/>
      <c r="CH49" s="28"/>
      <c r="CI49" s="28"/>
      <c r="CJ49" s="28"/>
      <c r="CK49" s="28"/>
      <c r="CL49" s="28"/>
      <c r="CM49" s="28"/>
      <c r="CN49" s="28"/>
      <c r="CO49" s="28"/>
      <c r="CP49" s="28"/>
      <c r="CQ49" s="28"/>
      <c r="CR49" s="28"/>
      <c r="CS49" s="28"/>
      <c r="CT49" s="28"/>
      <c r="CU49" s="28"/>
      <c r="CV49" s="28"/>
      <c r="CW49" s="28"/>
      <c r="CX49" s="28"/>
      <c r="CY49" s="28"/>
      <c r="CZ49" s="28"/>
      <c r="DA49" s="28"/>
      <c r="DB49" s="28"/>
      <c r="DC49" s="28"/>
      <c r="DD49" s="28"/>
      <c r="DE49" s="28"/>
      <c r="DF49" s="28"/>
      <c r="DG49" s="28"/>
      <c r="DH49" s="28"/>
      <c r="DI49" s="28"/>
      <c r="DJ49" s="28"/>
      <c r="DK49" s="28"/>
      <c r="DL49" s="28"/>
      <c r="DM49" s="28"/>
      <c r="DN49" s="28"/>
      <c r="DO49" s="28"/>
      <c r="DP49" s="28"/>
      <c r="DQ49" s="28"/>
      <c r="DR49" s="28"/>
      <c r="DS49" s="28"/>
      <c r="DT49" s="28"/>
      <c r="DU49" s="28"/>
      <c r="DV49" s="28"/>
      <c r="DW49" s="28"/>
      <c r="DX49" s="28"/>
      <c r="DY49" s="28"/>
      <c r="DZ49" s="28"/>
      <c r="EA49" s="28"/>
      <c r="EB49" s="28"/>
      <c r="EC49" s="28"/>
      <c r="ED49" s="28"/>
      <c r="EE49" s="28"/>
      <c r="EF49" s="28"/>
      <c r="EG49" s="28"/>
      <c r="EH49" s="28"/>
      <c r="EI49" s="28"/>
      <c r="EJ49" s="28"/>
      <c r="EK49" s="28"/>
      <c r="EL49" s="28"/>
      <c r="EM49" s="28"/>
      <c r="EN49" s="28"/>
      <c r="EO49" s="28"/>
      <c r="EP49" s="28"/>
      <c r="EQ49" s="28"/>
      <c r="ER49" s="28"/>
      <c r="ES49" s="28"/>
      <c r="ET49" s="28"/>
      <c r="EU49" s="28"/>
      <c r="EV49" s="28"/>
      <c r="EW49" s="28"/>
      <c r="EX49" s="28"/>
      <c r="EY49" s="28"/>
      <c r="EZ49" s="28"/>
      <c r="FA49" s="28"/>
      <c r="FB49" s="28"/>
      <c r="FC49" s="28"/>
      <c r="FD49" s="28"/>
      <c r="FE49" s="28"/>
      <c r="FF49" s="28"/>
      <c r="FG49" s="28"/>
      <c r="FH49" s="28"/>
      <c r="FI49" s="28"/>
      <c r="FJ49" s="28"/>
      <c r="FK49" s="28"/>
      <c r="FL49" s="28"/>
      <c r="FM49" s="28"/>
      <c r="FN49" s="28"/>
      <c r="FO49" s="28"/>
      <c r="FP49" s="28"/>
      <c r="FQ49" s="28"/>
      <c r="FR49" s="28"/>
      <c r="FS49" s="28"/>
      <c r="FT49" s="28"/>
      <c r="FU49" s="28"/>
      <c r="FV49" s="28"/>
      <c r="FW49" s="28"/>
      <c r="FX49" s="28"/>
      <c r="FY49" s="28"/>
      <c r="FZ49" s="28"/>
      <c r="GA49" s="28"/>
      <c r="GB49" s="28"/>
      <c r="GC49" s="28"/>
      <c r="GD49" s="28"/>
      <c r="GE49" s="28"/>
      <c r="GF49" s="28"/>
      <c r="GG49" s="28"/>
      <c r="GH49" s="28"/>
      <c r="GI49" s="28"/>
      <c r="GJ49" s="28"/>
      <c r="GK49" s="28"/>
      <c r="GL49" s="28"/>
      <c r="GM49" s="28"/>
      <c r="GN49" s="28"/>
      <c r="GO49" s="28"/>
      <c r="GP49" s="28"/>
      <c r="GQ49" s="28"/>
      <c r="GR49" s="28"/>
      <c r="GS49" s="28"/>
      <c r="GT49" s="28"/>
      <c r="GU49" s="28"/>
      <c r="GV49" s="28"/>
      <c r="GW49" s="28"/>
      <c r="GX49" s="28"/>
      <c r="GY49" s="28"/>
      <c r="GZ49" s="28"/>
      <c r="HA49" s="28"/>
      <c r="HB49" s="28"/>
      <c r="HC49" s="28"/>
      <c r="HD49" s="28"/>
      <c r="HE49" s="28"/>
      <c r="HF49" s="28"/>
      <c r="HG49" s="28"/>
      <c r="HH49" s="28"/>
      <c r="HI49" s="28"/>
      <c r="HJ49" s="28"/>
      <c r="HK49" s="28"/>
      <c r="HL49" s="28"/>
      <c r="HM49" s="28"/>
      <c r="HN49" s="28"/>
      <c r="HO49" s="28"/>
      <c r="HP49" s="28"/>
      <c r="HQ49" s="28"/>
      <c r="HR49" s="28"/>
      <c r="HS49" s="28"/>
      <c r="HT49" s="28"/>
      <c r="HU49" s="28"/>
      <c r="HV49" s="28"/>
      <c r="HW49" s="28"/>
      <c r="HX49" s="28"/>
      <c r="HY49" s="28"/>
    </row>
    <row r="50" spans="1:233" s="29" customFormat="1" ht="15.75" x14ac:dyDescent="0.25">
      <c r="A50" s="40">
        <v>21</v>
      </c>
      <c r="B50" s="41" t="s">
        <v>265</v>
      </c>
      <c r="C50" s="41" t="s">
        <v>191</v>
      </c>
      <c r="D50" s="41" t="s">
        <v>18</v>
      </c>
      <c r="E50" s="42" t="s">
        <v>79</v>
      </c>
      <c r="F50" s="42" t="s">
        <v>124</v>
      </c>
      <c r="G50" s="42" t="s">
        <v>73</v>
      </c>
      <c r="H50" s="42">
        <v>2651474</v>
      </c>
      <c r="I50" s="42">
        <v>2677706</v>
      </c>
      <c r="J50" s="42">
        <v>48121</v>
      </c>
      <c r="K50" s="42">
        <v>2155965</v>
      </c>
      <c r="L50" s="42">
        <v>107793</v>
      </c>
      <c r="M50" s="42">
        <v>97758</v>
      </c>
      <c r="N50" s="42">
        <v>16483</v>
      </c>
      <c r="O50" s="42">
        <v>2600541</v>
      </c>
      <c r="P50" s="43">
        <v>1.06</v>
      </c>
      <c r="Q50" s="42">
        <f>2600541-2474215</f>
        <v>126326</v>
      </c>
      <c r="R50" s="42">
        <v>2474215</v>
      </c>
      <c r="S50" s="42">
        <v>0</v>
      </c>
      <c r="T50" s="44">
        <f>197937/2474215</f>
        <v>7.9999919166281019E-2</v>
      </c>
      <c r="U50" s="42">
        <v>196350</v>
      </c>
      <c r="V50" s="42">
        <v>301212</v>
      </c>
      <c r="W50" s="42">
        <f>39+4+50</f>
        <v>93</v>
      </c>
      <c r="X50" s="42">
        <v>52227</v>
      </c>
      <c r="Y50" s="42">
        <v>3600</v>
      </c>
      <c r="Z50" s="42">
        <v>2500</v>
      </c>
      <c r="AA50" s="42">
        <v>10800</v>
      </c>
      <c r="AB50" s="42">
        <v>3139</v>
      </c>
      <c r="AC50" s="42">
        <v>2535</v>
      </c>
      <c r="AD50" s="42">
        <v>4503</v>
      </c>
      <c r="AE50" s="42">
        <f>1574+2507+2016</f>
        <v>6097</v>
      </c>
      <c r="AF50" s="42">
        <v>1536</v>
      </c>
      <c r="AG50" s="42">
        <v>0</v>
      </c>
      <c r="AH50" s="42">
        <v>0</v>
      </c>
      <c r="AI50" s="42">
        <v>1941</v>
      </c>
      <c r="AJ50" s="42">
        <v>96386</v>
      </c>
      <c r="AK50" s="45">
        <f t="shared" si="9"/>
        <v>2.0137779345548109E-2</v>
      </c>
      <c r="AL50" s="42">
        <v>0</v>
      </c>
      <c r="AM50" s="42">
        <v>139949</v>
      </c>
      <c r="AN50" s="42">
        <v>0</v>
      </c>
      <c r="AO50" s="42">
        <v>104997</v>
      </c>
      <c r="AP50" s="42"/>
      <c r="AQ50" s="42">
        <v>0</v>
      </c>
      <c r="AR50" s="42">
        <v>0</v>
      </c>
      <c r="AS50" s="42">
        <v>68</v>
      </c>
      <c r="AT50" s="42">
        <v>13</v>
      </c>
      <c r="AU50" s="46">
        <v>-2</v>
      </c>
      <c r="AV50" s="46">
        <v>-8</v>
      </c>
      <c r="AW50" s="46">
        <v>0</v>
      </c>
      <c r="AX50" s="46">
        <v>-4</v>
      </c>
      <c r="AY50" s="46">
        <v>0</v>
      </c>
      <c r="AZ50" s="42">
        <f t="shared" si="8"/>
        <v>67</v>
      </c>
      <c r="BA50" s="42">
        <v>0</v>
      </c>
      <c r="BB50" s="42">
        <v>0</v>
      </c>
      <c r="BC50" s="42">
        <v>0</v>
      </c>
      <c r="BD50" s="42">
        <v>2</v>
      </c>
      <c r="BE50" s="42">
        <v>2</v>
      </c>
      <c r="BF50" s="42">
        <v>0</v>
      </c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28"/>
      <c r="BZ50" s="28"/>
      <c r="CA50" s="28"/>
      <c r="CB50" s="28"/>
      <c r="CC50" s="28"/>
      <c r="CD50" s="28"/>
      <c r="CE50" s="28"/>
      <c r="CF50" s="28"/>
      <c r="CG50" s="28"/>
      <c r="CH50" s="28"/>
      <c r="CI50" s="28"/>
      <c r="CJ50" s="28"/>
      <c r="CK50" s="28"/>
      <c r="CL50" s="28"/>
      <c r="CM50" s="28"/>
      <c r="CN50" s="28"/>
      <c r="CO50" s="28"/>
      <c r="CP50" s="28"/>
      <c r="CQ50" s="28"/>
      <c r="CR50" s="28"/>
      <c r="CS50" s="28"/>
      <c r="CT50" s="28"/>
      <c r="CU50" s="28"/>
      <c r="CV50" s="28"/>
      <c r="CW50" s="28"/>
      <c r="CX50" s="28"/>
      <c r="CY50" s="28"/>
      <c r="CZ50" s="28"/>
      <c r="DA50" s="28"/>
      <c r="DB50" s="28"/>
      <c r="DC50" s="28"/>
      <c r="DD50" s="28"/>
      <c r="DE50" s="28"/>
      <c r="DF50" s="28"/>
      <c r="DG50" s="28"/>
      <c r="DH50" s="28"/>
      <c r="DI50" s="28"/>
      <c r="DJ50" s="28"/>
      <c r="DK50" s="28"/>
      <c r="DL50" s="28"/>
      <c r="DM50" s="28"/>
      <c r="DN50" s="28"/>
      <c r="DO50" s="28"/>
      <c r="DP50" s="28"/>
      <c r="DQ50" s="28"/>
      <c r="DR50" s="28"/>
      <c r="DS50" s="28"/>
      <c r="DT50" s="28"/>
      <c r="DU50" s="28"/>
      <c r="DV50" s="28"/>
      <c r="DW50" s="28"/>
      <c r="DX50" s="28"/>
      <c r="DY50" s="28"/>
      <c r="DZ50" s="28"/>
      <c r="EA50" s="28"/>
      <c r="EB50" s="28"/>
      <c r="EC50" s="28"/>
      <c r="ED50" s="28"/>
      <c r="EE50" s="28"/>
      <c r="EF50" s="28"/>
      <c r="EG50" s="28"/>
      <c r="EH50" s="28"/>
      <c r="EI50" s="28"/>
      <c r="EJ50" s="28"/>
      <c r="EK50" s="28"/>
      <c r="EL50" s="28"/>
      <c r="EM50" s="28"/>
      <c r="EN50" s="28"/>
      <c r="EO50" s="28"/>
      <c r="EP50" s="28"/>
      <c r="EQ50" s="28"/>
      <c r="ER50" s="28"/>
      <c r="ES50" s="28"/>
      <c r="ET50" s="28"/>
      <c r="EU50" s="28"/>
      <c r="EV50" s="28"/>
      <c r="EW50" s="28"/>
      <c r="EX50" s="28"/>
      <c r="EY50" s="28"/>
      <c r="EZ50" s="28"/>
      <c r="FA50" s="28"/>
      <c r="FB50" s="28"/>
      <c r="FC50" s="28"/>
      <c r="FD50" s="28"/>
      <c r="FE50" s="28"/>
      <c r="FF50" s="28"/>
      <c r="FG50" s="28"/>
      <c r="FH50" s="28"/>
      <c r="FI50" s="28"/>
      <c r="FJ50" s="28"/>
      <c r="FK50" s="28"/>
      <c r="FL50" s="28"/>
      <c r="FM50" s="28"/>
      <c r="FN50" s="28"/>
      <c r="FO50" s="28"/>
      <c r="FP50" s="28"/>
      <c r="FQ50" s="28"/>
      <c r="FR50" s="28"/>
      <c r="FS50" s="28"/>
      <c r="FT50" s="28"/>
      <c r="FU50" s="28"/>
      <c r="FV50" s="28"/>
      <c r="FW50" s="28"/>
      <c r="FX50" s="28"/>
      <c r="FY50" s="28"/>
      <c r="FZ50" s="28"/>
      <c r="GA50" s="28"/>
      <c r="GB50" s="28"/>
      <c r="GC50" s="28"/>
      <c r="GD50" s="28"/>
      <c r="GE50" s="28"/>
      <c r="GF50" s="28"/>
      <c r="GG50" s="28"/>
      <c r="GH50" s="28"/>
      <c r="GI50" s="28"/>
      <c r="GJ50" s="28"/>
      <c r="GK50" s="28"/>
      <c r="GL50" s="28"/>
      <c r="GM50" s="28"/>
      <c r="GN50" s="28"/>
      <c r="GO50" s="28"/>
      <c r="GP50" s="28"/>
      <c r="GQ50" s="28"/>
      <c r="GR50" s="28"/>
      <c r="GS50" s="28"/>
      <c r="GT50" s="28"/>
      <c r="GU50" s="28"/>
      <c r="GV50" s="28"/>
      <c r="GW50" s="28"/>
      <c r="GX50" s="28"/>
      <c r="GY50" s="28"/>
      <c r="GZ50" s="28"/>
      <c r="HA50" s="28"/>
      <c r="HB50" s="28"/>
      <c r="HC50" s="28"/>
      <c r="HD50" s="28"/>
      <c r="HE50" s="28"/>
      <c r="HF50" s="28"/>
      <c r="HG50" s="28"/>
      <c r="HH50" s="28"/>
      <c r="HI50" s="28"/>
      <c r="HJ50" s="28"/>
      <c r="HK50" s="28"/>
      <c r="HL50" s="28"/>
      <c r="HM50" s="28"/>
      <c r="HN50" s="28"/>
      <c r="HO50" s="28"/>
      <c r="HP50" s="28"/>
      <c r="HQ50" s="28"/>
      <c r="HR50" s="28"/>
      <c r="HS50" s="28"/>
      <c r="HT50" s="28"/>
      <c r="HU50" s="28"/>
      <c r="HV50" s="28"/>
      <c r="HW50" s="28"/>
      <c r="HX50" s="28"/>
      <c r="HY50" s="28"/>
    </row>
    <row r="51" spans="1:233" ht="15.75" x14ac:dyDescent="0.25">
      <c r="A51" s="31">
        <v>21</v>
      </c>
      <c r="B51" s="32" t="s">
        <v>266</v>
      </c>
      <c r="C51" s="32" t="s">
        <v>211</v>
      </c>
      <c r="D51" s="32" t="s">
        <v>212</v>
      </c>
      <c r="E51" s="33" t="s">
        <v>72</v>
      </c>
      <c r="F51" s="33" t="s">
        <v>111</v>
      </c>
      <c r="G51" s="33" t="s">
        <v>72</v>
      </c>
      <c r="H51" s="33">
        <v>257121</v>
      </c>
      <c r="I51" s="33">
        <v>257121</v>
      </c>
      <c r="J51" s="33">
        <v>2250</v>
      </c>
      <c r="K51" s="33">
        <v>122844</v>
      </c>
      <c r="L51" s="33">
        <v>13050</v>
      </c>
      <c r="M51" s="33">
        <v>47195</v>
      </c>
      <c r="N51" s="33">
        <v>43578</v>
      </c>
      <c r="O51" s="33">
        <v>252102</v>
      </c>
      <c r="P51" s="34">
        <v>1.4</v>
      </c>
      <c r="Q51" s="33">
        <f>252102-251852</f>
        <v>250</v>
      </c>
      <c r="R51" s="33">
        <v>251852</v>
      </c>
      <c r="S51" s="33">
        <v>0</v>
      </c>
      <c r="T51" s="39">
        <f>25185/251852</f>
        <v>9.9999205882820075E-2</v>
      </c>
      <c r="U51" s="33">
        <v>25185</v>
      </c>
      <c r="V51" s="33">
        <v>0</v>
      </c>
      <c r="W51" s="33">
        <v>0</v>
      </c>
      <c r="X51" s="33">
        <v>17797</v>
      </c>
      <c r="Y51" s="33">
        <v>0</v>
      </c>
      <c r="Z51" s="33">
        <v>0</v>
      </c>
      <c r="AA51" s="33">
        <v>700</v>
      </c>
      <c r="AB51" s="33">
        <v>0</v>
      </c>
      <c r="AC51" s="33">
        <v>250</v>
      </c>
      <c r="AD51" s="33">
        <v>0</v>
      </c>
      <c r="AE51" s="33">
        <v>250</v>
      </c>
      <c r="AF51" s="33">
        <v>0</v>
      </c>
      <c r="AG51" s="33">
        <v>0</v>
      </c>
      <c r="AH51" s="33">
        <v>0</v>
      </c>
      <c r="AI51" s="33">
        <v>300</v>
      </c>
      <c r="AJ51" s="33">
        <v>19297</v>
      </c>
      <c r="AK51" s="37">
        <f t="shared" si="9"/>
        <v>1.5546457998652641E-2</v>
      </c>
      <c r="AL51" s="33">
        <v>0</v>
      </c>
      <c r="AM51" s="33">
        <v>12688</v>
      </c>
      <c r="AN51" s="33">
        <v>0</v>
      </c>
      <c r="AO51" s="33">
        <v>1000</v>
      </c>
      <c r="AP51" s="33"/>
      <c r="AQ51" s="33">
        <v>0</v>
      </c>
      <c r="AR51" s="33">
        <v>0</v>
      </c>
      <c r="AS51" s="33">
        <v>11</v>
      </c>
      <c r="AT51" s="33">
        <v>2</v>
      </c>
      <c r="AU51" s="38">
        <v>0</v>
      </c>
      <c r="AV51" s="38">
        <v>0</v>
      </c>
      <c r="AW51" s="38">
        <v>0</v>
      </c>
      <c r="AX51" s="38">
        <v>0</v>
      </c>
      <c r="AY51" s="38">
        <v>0</v>
      </c>
      <c r="AZ51" s="33">
        <f t="shared" si="8"/>
        <v>13</v>
      </c>
      <c r="BA51" s="33">
        <v>0</v>
      </c>
      <c r="BB51" s="33">
        <v>0</v>
      </c>
      <c r="BC51" s="33">
        <v>0</v>
      </c>
      <c r="BD51" s="33">
        <v>0</v>
      </c>
      <c r="BE51" s="33">
        <v>0</v>
      </c>
      <c r="BF51" s="33">
        <v>0</v>
      </c>
    </row>
    <row r="52" spans="1:233" s="29" customFormat="1" ht="15.75" x14ac:dyDescent="0.25">
      <c r="A52" s="40">
        <v>21</v>
      </c>
      <c r="B52" s="41" t="s">
        <v>267</v>
      </c>
      <c r="C52" s="41" t="s">
        <v>21</v>
      </c>
      <c r="D52" s="41" t="s">
        <v>23</v>
      </c>
      <c r="E52" s="42" t="s">
        <v>79</v>
      </c>
      <c r="F52" s="42" t="s">
        <v>167</v>
      </c>
      <c r="G52" s="42" t="s">
        <v>79</v>
      </c>
      <c r="H52" s="42">
        <v>393038</v>
      </c>
      <c r="I52" s="42">
        <v>406282</v>
      </c>
      <c r="J52" s="42">
        <v>34669</v>
      </c>
      <c r="K52" s="42">
        <v>298654</v>
      </c>
      <c r="L52" s="42">
        <v>26506</v>
      </c>
      <c r="M52" s="42">
        <v>496</v>
      </c>
      <c r="N52" s="42">
        <v>2879</v>
      </c>
      <c r="O52" s="42">
        <v>371523</v>
      </c>
      <c r="P52" s="43">
        <v>1</v>
      </c>
      <c r="Q52" s="42">
        <f>371523-353656</f>
        <v>17867</v>
      </c>
      <c r="R52" s="42">
        <f>24162+329494</f>
        <v>353656</v>
      </c>
      <c r="S52" s="42">
        <v>0</v>
      </c>
      <c r="T52" s="44">
        <f>28776/353656</f>
        <v>8.1367204288913517E-2</v>
      </c>
      <c r="U52" s="42">
        <v>28776</v>
      </c>
      <c r="V52" s="42">
        <v>123602</v>
      </c>
      <c r="W52" s="42">
        <v>0</v>
      </c>
      <c r="X52" s="42">
        <v>10325</v>
      </c>
      <c r="Y52" s="42">
        <v>823</v>
      </c>
      <c r="Z52" s="42">
        <v>1548</v>
      </c>
      <c r="AA52" s="42">
        <v>1131</v>
      </c>
      <c r="AB52" s="42">
        <v>7000</v>
      </c>
      <c r="AC52" s="42">
        <v>0</v>
      </c>
      <c r="AD52" s="42">
        <v>0</v>
      </c>
      <c r="AE52" s="42">
        <f>1782+420+1305</f>
        <v>3507</v>
      </c>
      <c r="AF52" s="42">
        <v>0</v>
      </c>
      <c r="AG52" s="42">
        <v>2023</v>
      </c>
      <c r="AH52" s="42">
        <v>0</v>
      </c>
      <c r="AI52" s="42">
        <v>21767</v>
      </c>
      <c r="AJ52" s="42">
        <v>30539</v>
      </c>
      <c r="AK52" s="45">
        <f t="shared" ref="AK52" si="12">IF(AJ52=0,0,AI52/AJ52)</f>
        <v>0.71276073217852587</v>
      </c>
      <c r="AL52" s="42">
        <v>0</v>
      </c>
      <c r="AM52" s="42">
        <v>24099</v>
      </c>
      <c r="AN52" s="42">
        <v>0</v>
      </c>
      <c r="AO52" s="42">
        <v>13205</v>
      </c>
      <c r="AP52" s="42"/>
      <c r="AQ52" s="42">
        <v>0</v>
      </c>
      <c r="AR52" s="42">
        <v>0</v>
      </c>
      <c r="AS52" s="42">
        <v>28</v>
      </c>
      <c r="AT52" s="42">
        <v>5</v>
      </c>
      <c r="AU52" s="46">
        <v>-3</v>
      </c>
      <c r="AV52" s="46">
        <v>0</v>
      </c>
      <c r="AW52" s="46">
        <v>-8</v>
      </c>
      <c r="AX52" s="46">
        <v>-1</v>
      </c>
      <c r="AY52" s="46">
        <v>0</v>
      </c>
      <c r="AZ52" s="42">
        <f t="shared" ref="AZ52" si="13">SUM(AS52:AY52)</f>
        <v>21</v>
      </c>
      <c r="BA52" s="42">
        <v>0</v>
      </c>
      <c r="BB52" s="42">
        <v>0</v>
      </c>
      <c r="BC52" s="42">
        <v>0</v>
      </c>
      <c r="BD52" s="42">
        <v>0</v>
      </c>
      <c r="BE52" s="42">
        <v>1</v>
      </c>
      <c r="BF52" s="42">
        <v>0</v>
      </c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/>
      <c r="BU52" s="28"/>
      <c r="BV52" s="28"/>
      <c r="BW52" s="28"/>
      <c r="BX52" s="28"/>
      <c r="BY52" s="28"/>
      <c r="BZ52" s="28"/>
      <c r="CA52" s="28"/>
      <c r="CB52" s="28"/>
      <c r="CC52" s="28"/>
      <c r="CD52" s="28"/>
      <c r="CE52" s="28"/>
      <c r="CF52" s="28"/>
      <c r="CG52" s="28"/>
      <c r="CH52" s="28"/>
      <c r="CI52" s="28"/>
      <c r="CJ52" s="28"/>
      <c r="CK52" s="28"/>
      <c r="CL52" s="28"/>
      <c r="CM52" s="28"/>
      <c r="CN52" s="28"/>
      <c r="CO52" s="28"/>
      <c r="CP52" s="28"/>
      <c r="CQ52" s="28"/>
      <c r="CR52" s="28"/>
      <c r="CS52" s="28"/>
      <c r="CT52" s="28"/>
      <c r="CU52" s="28"/>
      <c r="CV52" s="28"/>
      <c r="CW52" s="28"/>
      <c r="CX52" s="28"/>
      <c r="CY52" s="28"/>
      <c r="CZ52" s="28"/>
      <c r="DA52" s="28"/>
      <c r="DB52" s="28"/>
      <c r="DC52" s="28"/>
      <c r="DD52" s="28"/>
      <c r="DE52" s="28"/>
      <c r="DF52" s="28"/>
      <c r="DG52" s="28"/>
      <c r="DH52" s="28"/>
      <c r="DI52" s="28"/>
      <c r="DJ52" s="28"/>
      <c r="DK52" s="28"/>
      <c r="DL52" s="28"/>
      <c r="DM52" s="28"/>
      <c r="DN52" s="28"/>
      <c r="DO52" s="28"/>
      <c r="DP52" s="28"/>
      <c r="DQ52" s="28"/>
      <c r="DR52" s="28"/>
      <c r="DS52" s="28"/>
      <c r="DT52" s="28"/>
      <c r="DU52" s="28"/>
      <c r="DV52" s="28"/>
      <c r="DW52" s="28"/>
      <c r="DX52" s="28"/>
      <c r="DY52" s="28"/>
      <c r="DZ52" s="28"/>
      <c r="EA52" s="28"/>
      <c r="EB52" s="28"/>
      <c r="EC52" s="28"/>
      <c r="ED52" s="28"/>
      <c r="EE52" s="28"/>
      <c r="EF52" s="28"/>
      <c r="EG52" s="28"/>
      <c r="EH52" s="28"/>
      <c r="EI52" s="28"/>
      <c r="EJ52" s="28"/>
      <c r="EK52" s="28"/>
      <c r="EL52" s="28"/>
      <c r="EM52" s="28"/>
      <c r="EN52" s="28"/>
      <c r="EO52" s="28"/>
      <c r="EP52" s="28"/>
      <c r="EQ52" s="28"/>
      <c r="ER52" s="28"/>
      <c r="ES52" s="28"/>
      <c r="ET52" s="28"/>
      <c r="EU52" s="28"/>
      <c r="EV52" s="28"/>
      <c r="EW52" s="28"/>
      <c r="EX52" s="28"/>
      <c r="EY52" s="28"/>
      <c r="EZ52" s="28"/>
      <c r="FA52" s="28"/>
      <c r="FB52" s="28"/>
      <c r="FC52" s="28"/>
      <c r="FD52" s="28"/>
      <c r="FE52" s="28"/>
      <c r="FF52" s="28"/>
      <c r="FG52" s="28"/>
      <c r="FH52" s="28"/>
      <c r="FI52" s="28"/>
      <c r="FJ52" s="28"/>
      <c r="FK52" s="28"/>
      <c r="FL52" s="28"/>
      <c r="FM52" s="28"/>
      <c r="FN52" s="28"/>
      <c r="FO52" s="28"/>
      <c r="FP52" s="28"/>
      <c r="FQ52" s="28"/>
      <c r="FR52" s="28"/>
      <c r="FS52" s="28"/>
      <c r="FT52" s="28"/>
      <c r="FU52" s="28"/>
      <c r="FV52" s="28"/>
      <c r="FW52" s="28"/>
      <c r="FX52" s="28"/>
      <c r="FY52" s="28"/>
      <c r="FZ52" s="28"/>
      <c r="GA52" s="28"/>
      <c r="GB52" s="28"/>
      <c r="GC52" s="28"/>
      <c r="GD52" s="28"/>
      <c r="GE52" s="28"/>
      <c r="GF52" s="28"/>
      <c r="GG52" s="28"/>
      <c r="GH52" s="28"/>
      <c r="GI52" s="28"/>
      <c r="GJ52" s="28"/>
      <c r="GK52" s="28"/>
      <c r="GL52" s="28"/>
      <c r="GM52" s="28"/>
      <c r="GN52" s="28"/>
      <c r="GO52" s="28"/>
      <c r="GP52" s="28"/>
      <c r="GQ52" s="28"/>
      <c r="GR52" s="28"/>
      <c r="GS52" s="28"/>
      <c r="GT52" s="28"/>
      <c r="GU52" s="28"/>
      <c r="GV52" s="28"/>
      <c r="GW52" s="28"/>
      <c r="GX52" s="28"/>
      <c r="GY52" s="28"/>
      <c r="GZ52" s="28"/>
      <c r="HA52" s="28"/>
      <c r="HB52" s="28"/>
      <c r="HC52" s="28"/>
      <c r="HD52" s="28"/>
      <c r="HE52" s="28"/>
      <c r="HF52" s="28"/>
      <c r="HG52" s="28"/>
      <c r="HH52" s="28"/>
      <c r="HI52" s="28"/>
      <c r="HJ52" s="28"/>
      <c r="HK52" s="28"/>
      <c r="HL52" s="28"/>
      <c r="HM52" s="28"/>
      <c r="HN52" s="28"/>
      <c r="HO52" s="28"/>
      <c r="HP52" s="28"/>
      <c r="HQ52" s="28"/>
      <c r="HR52" s="28"/>
      <c r="HS52" s="28"/>
      <c r="HT52" s="28"/>
      <c r="HU52" s="28"/>
      <c r="HV52" s="28"/>
      <c r="HW52" s="28"/>
      <c r="HX52" s="28"/>
      <c r="HY52" s="28"/>
    </row>
    <row r="53" spans="1:233" ht="15.75" x14ac:dyDescent="0.25">
      <c r="A53" s="31">
        <v>21</v>
      </c>
      <c r="B53" s="32" t="s">
        <v>268</v>
      </c>
      <c r="C53" s="32" t="s">
        <v>209</v>
      </c>
      <c r="D53" s="32" t="s">
        <v>202</v>
      </c>
      <c r="E53" s="33" t="s">
        <v>79</v>
      </c>
      <c r="F53" s="33" t="s">
        <v>125</v>
      </c>
      <c r="G53" s="33" t="s">
        <v>79</v>
      </c>
      <c r="H53" s="33">
        <v>522034</v>
      </c>
      <c r="I53" s="33">
        <v>522056</v>
      </c>
      <c r="J53" s="33">
        <v>0</v>
      </c>
      <c r="K53" s="33">
        <v>405129</v>
      </c>
      <c r="L53" s="33">
        <v>6100</v>
      </c>
      <c r="M53" s="33">
        <v>33337</v>
      </c>
      <c r="N53" s="33">
        <v>34387</v>
      </c>
      <c r="O53" s="33">
        <v>522304</v>
      </c>
      <c r="P53" s="34">
        <v>1</v>
      </c>
      <c r="Q53" s="33">
        <v>0</v>
      </c>
      <c r="R53" s="33">
        <v>522304</v>
      </c>
      <c r="S53" s="33">
        <v>0</v>
      </c>
      <c r="T53" s="39">
        <f>41784/522304</f>
        <v>7.9999387329984073E-2</v>
      </c>
      <c r="U53" s="33">
        <v>41784</v>
      </c>
      <c r="V53" s="33">
        <v>0</v>
      </c>
      <c r="W53" s="33">
        <v>14</v>
      </c>
      <c r="X53" s="33">
        <v>5000</v>
      </c>
      <c r="Y53" s="33">
        <v>0</v>
      </c>
      <c r="Z53" s="33">
        <v>0</v>
      </c>
      <c r="AA53" s="33">
        <v>2000</v>
      </c>
      <c r="AB53" s="33">
        <v>0</v>
      </c>
      <c r="AC53" s="33">
        <v>1000</v>
      </c>
      <c r="AD53" s="33">
        <v>0</v>
      </c>
      <c r="AE53" s="33">
        <v>277</v>
      </c>
      <c r="AF53" s="33">
        <v>0</v>
      </c>
      <c r="AG53" s="33">
        <v>0</v>
      </c>
      <c r="AH53" s="33">
        <v>0</v>
      </c>
      <c r="AI53" s="33">
        <v>8000</v>
      </c>
      <c r="AJ53" s="33">
        <v>9812</v>
      </c>
      <c r="AK53" s="37">
        <f t="shared" si="9"/>
        <v>0.81532816958825927</v>
      </c>
      <c r="AL53" s="33">
        <v>0</v>
      </c>
      <c r="AM53" s="33">
        <v>26136</v>
      </c>
      <c r="AN53" s="33">
        <v>34</v>
      </c>
      <c r="AO53" s="33">
        <v>29808</v>
      </c>
      <c r="AP53" s="33"/>
      <c r="AQ53" s="33">
        <v>0</v>
      </c>
      <c r="AR53" s="33">
        <v>0</v>
      </c>
      <c r="AS53" s="33">
        <v>13</v>
      </c>
      <c r="AT53" s="33">
        <v>10</v>
      </c>
      <c r="AU53" s="38">
        <v>0</v>
      </c>
      <c r="AV53" s="38">
        <v>0</v>
      </c>
      <c r="AW53" s="38">
        <v>-5</v>
      </c>
      <c r="AX53" s="38">
        <v>0</v>
      </c>
      <c r="AY53" s="38">
        <v>0</v>
      </c>
      <c r="AZ53" s="33">
        <f t="shared" si="8"/>
        <v>18</v>
      </c>
      <c r="BA53" s="33">
        <v>0</v>
      </c>
      <c r="BB53" s="33">
        <v>0</v>
      </c>
      <c r="BC53" s="33">
        <v>0</v>
      </c>
      <c r="BD53" s="33">
        <v>0</v>
      </c>
      <c r="BE53" s="33">
        <v>0</v>
      </c>
      <c r="BF53" s="33">
        <v>0</v>
      </c>
    </row>
    <row r="54" spans="1:233" x14ac:dyDescent="0.2">
      <c r="A54" s="14"/>
      <c r="B54" s="14"/>
      <c r="D54" s="14"/>
      <c r="E54" s="14"/>
      <c r="F54" s="14"/>
      <c r="G54" s="14"/>
      <c r="H54" s="21"/>
      <c r="I54" s="21"/>
      <c r="J54" s="21"/>
      <c r="K54" s="21"/>
      <c r="L54" s="21"/>
      <c r="M54" s="21"/>
      <c r="N54" s="21"/>
      <c r="O54" s="21"/>
      <c r="P54" s="26"/>
      <c r="Q54" s="26"/>
      <c r="R54" s="26"/>
      <c r="S54" s="25"/>
      <c r="T54" s="25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</row>
    <row r="55" spans="1:233" x14ac:dyDescent="0.2">
      <c r="A55" s="15"/>
      <c r="B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27"/>
      <c r="Q55" s="27"/>
      <c r="R55" s="27"/>
      <c r="S55" s="17"/>
      <c r="T55" s="17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</row>
    <row r="56" spans="1:233" x14ac:dyDescent="0.2">
      <c r="P56" s="9"/>
      <c r="Q56" s="9"/>
      <c r="R56" s="9"/>
      <c r="S56" s="10"/>
      <c r="T56" s="10"/>
    </row>
    <row r="57" spans="1:233" x14ac:dyDescent="0.2">
      <c r="P57" s="9"/>
      <c r="Q57" s="9"/>
      <c r="R57" s="9"/>
      <c r="S57" s="10"/>
      <c r="T57" s="10"/>
    </row>
    <row r="58" spans="1:233" x14ac:dyDescent="0.2">
      <c r="P58" s="9"/>
      <c r="Q58" s="9"/>
      <c r="R58" s="9"/>
      <c r="S58" s="10"/>
      <c r="T58" s="10"/>
    </row>
    <row r="59" spans="1:233" x14ac:dyDescent="0.2">
      <c r="P59" s="9"/>
      <c r="Q59" s="9"/>
      <c r="R59" s="9"/>
      <c r="S59" s="10"/>
      <c r="T59" s="10"/>
    </row>
    <row r="60" spans="1:233" x14ac:dyDescent="0.2">
      <c r="P60" s="9"/>
      <c r="Q60" s="9"/>
      <c r="R60" s="9"/>
      <c r="S60" s="10"/>
      <c r="T60" s="10"/>
    </row>
    <row r="61" spans="1:233" x14ac:dyDescent="0.2">
      <c r="P61" s="9"/>
      <c r="Q61" s="9"/>
      <c r="R61" s="9"/>
      <c r="S61" s="10"/>
      <c r="T61" s="10"/>
    </row>
    <row r="62" spans="1:233" x14ac:dyDescent="0.2">
      <c r="P62" s="9"/>
      <c r="Q62" s="9"/>
      <c r="R62" s="9"/>
      <c r="S62" s="10"/>
      <c r="T62" s="10"/>
    </row>
    <row r="63" spans="1:233" x14ac:dyDescent="0.2">
      <c r="P63" s="9"/>
      <c r="Q63" s="9"/>
      <c r="R63" s="9"/>
      <c r="S63" s="10"/>
      <c r="T63" s="10"/>
    </row>
    <row r="64" spans="1:233" x14ac:dyDescent="0.2">
      <c r="P64" s="9"/>
      <c r="Q64" s="9"/>
      <c r="R64" s="9"/>
      <c r="S64" s="10"/>
      <c r="T64" s="10"/>
    </row>
    <row r="65" spans="16:20" x14ac:dyDescent="0.2">
      <c r="P65" s="9"/>
      <c r="Q65" s="9"/>
      <c r="R65" s="9"/>
      <c r="S65" s="10"/>
      <c r="T65" s="10"/>
    </row>
    <row r="66" spans="16:20" x14ac:dyDescent="0.2">
      <c r="P66" s="9"/>
      <c r="Q66" s="9"/>
      <c r="R66" s="9"/>
      <c r="S66" s="10"/>
      <c r="T66" s="10"/>
    </row>
    <row r="67" spans="16:20" x14ac:dyDescent="0.2">
      <c r="P67" s="9"/>
      <c r="Q67" s="9"/>
      <c r="R67" s="9"/>
      <c r="S67" s="10"/>
      <c r="T67" s="10"/>
    </row>
    <row r="68" spans="16:20" x14ac:dyDescent="0.2">
      <c r="P68" s="9"/>
      <c r="Q68" s="9"/>
      <c r="R68" s="9"/>
      <c r="S68" s="10"/>
      <c r="T68" s="10"/>
    </row>
    <row r="69" spans="16:20" x14ac:dyDescent="0.2">
      <c r="P69" s="9"/>
      <c r="Q69" s="9"/>
      <c r="R69" s="9"/>
      <c r="S69" s="10"/>
      <c r="T69" s="10"/>
    </row>
    <row r="70" spans="16:20" x14ac:dyDescent="0.2">
      <c r="P70" s="9"/>
      <c r="Q70" s="9"/>
      <c r="R70" s="9"/>
      <c r="S70" s="10"/>
      <c r="T70" s="10"/>
    </row>
    <row r="71" spans="16:20" x14ac:dyDescent="0.2">
      <c r="P71" s="9"/>
      <c r="Q71" s="9"/>
      <c r="R71" s="9"/>
      <c r="S71" s="10"/>
      <c r="T71" s="10"/>
    </row>
    <row r="72" spans="16:20" x14ac:dyDescent="0.2">
      <c r="P72" s="9"/>
      <c r="Q72" s="9"/>
      <c r="R72" s="9"/>
      <c r="S72" s="10"/>
      <c r="T72" s="10"/>
    </row>
    <row r="73" spans="16:20" x14ac:dyDescent="0.2">
      <c r="P73" s="9"/>
      <c r="Q73" s="9"/>
      <c r="R73" s="9"/>
      <c r="S73" s="10"/>
      <c r="T73" s="10"/>
    </row>
    <row r="74" spans="16:20" x14ac:dyDescent="0.2">
      <c r="P74" s="9"/>
      <c r="Q74" s="9"/>
      <c r="R74" s="9"/>
      <c r="S74" s="10"/>
      <c r="T74" s="10"/>
    </row>
    <row r="75" spans="16:20" x14ac:dyDescent="0.2">
      <c r="P75" s="9"/>
      <c r="Q75" s="9"/>
      <c r="R75" s="9"/>
      <c r="S75" s="10"/>
      <c r="T75" s="10"/>
    </row>
    <row r="76" spans="16:20" x14ac:dyDescent="0.2">
      <c r="P76" s="9"/>
      <c r="Q76" s="9"/>
      <c r="R76" s="9"/>
      <c r="S76" s="10"/>
      <c r="T76" s="10"/>
    </row>
    <row r="77" spans="16:20" x14ac:dyDescent="0.2">
      <c r="P77" s="9"/>
      <c r="Q77" s="9"/>
      <c r="R77" s="9"/>
      <c r="S77" s="10"/>
      <c r="T77" s="10"/>
    </row>
    <row r="78" spans="16:20" x14ac:dyDescent="0.2">
      <c r="P78" s="9"/>
      <c r="Q78" s="9"/>
      <c r="R78" s="9"/>
      <c r="S78" s="10"/>
      <c r="T78" s="10"/>
    </row>
    <row r="79" spans="16:20" x14ac:dyDescent="0.2">
      <c r="P79" s="9"/>
      <c r="Q79" s="9"/>
      <c r="R79" s="9"/>
      <c r="S79" s="10"/>
      <c r="T79" s="10"/>
    </row>
    <row r="80" spans="16:20" x14ac:dyDescent="0.2">
      <c r="P80" s="9"/>
      <c r="Q80" s="9"/>
      <c r="R80" s="9"/>
      <c r="S80" s="10"/>
      <c r="T80" s="10"/>
    </row>
    <row r="81" spans="16:20" x14ac:dyDescent="0.2">
      <c r="P81" s="9"/>
      <c r="Q81" s="9"/>
      <c r="R81" s="9"/>
      <c r="S81" s="10"/>
      <c r="T81" s="10"/>
    </row>
    <row r="82" spans="16:20" x14ac:dyDescent="0.2">
      <c r="P82" s="9"/>
      <c r="Q82" s="9"/>
      <c r="R82" s="9"/>
    </row>
    <row r="83" spans="16:20" x14ac:dyDescent="0.2">
      <c r="P83" s="9"/>
      <c r="Q83" s="9"/>
      <c r="R83" s="9"/>
    </row>
    <row r="84" spans="16:20" x14ac:dyDescent="0.2">
      <c r="P84" s="9"/>
      <c r="Q84" s="9"/>
      <c r="R84" s="9"/>
    </row>
    <row r="85" spans="16:20" x14ac:dyDescent="0.2">
      <c r="P85" s="9"/>
      <c r="Q85" s="9"/>
      <c r="R85" s="9"/>
    </row>
    <row r="86" spans="16:20" x14ac:dyDescent="0.2">
      <c r="P86" s="9"/>
      <c r="Q86" s="9"/>
      <c r="R86" s="9"/>
    </row>
    <row r="87" spans="16:20" x14ac:dyDescent="0.2">
      <c r="P87" s="9"/>
      <c r="Q87" s="9"/>
      <c r="R87" s="9"/>
    </row>
    <row r="88" spans="16:20" x14ac:dyDescent="0.2">
      <c r="P88" s="9"/>
      <c r="Q88" s="9"/>
      <c r="R88" s="9"/>
    </row>
    <row r="89" spans="16:20" x14ac:dyDescent="0.2">
      <c r="P89" s="9"/>
      <c r="Q89" s="9"/>
      <c r="R89" s="9"/>
    </row>
  </sheetData>
  <mergeCells count="4">
    <mergeCell ref="O5:O7"/>
    <mergeCell ref="S5:S7"/>
    <mergeCell ref="R5:R7"/>
    <mergeCell ref="Q5:Q7"/>
  </mergeCells>
  <phoneticPr fontId="2" type="noConversion"/>
  <pageMargins left="0.75" right="0.75" top="1" bottom="1" header="0.5" footer="0.5"/>
  <pageSetup orientation="portrait" r:id="rId1"/>
  <headerFooter alignWithMargins="0">
    <oddFooter>&amp;L&amp;8&amp;D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10" baseType="lpstr">
      <vt:lpstr>A</vt:lpstr>
      <vt:lpstr>_EXP13</vt:lpstr>
      <vt:lpstr>_EXP2</vt:lpstr>
      <vt:lpstr>_MT13</vt:lpstr>
      <vt:lpstr>_MTH2</vt:lpstr>
      <vt:lpstr>DISB</vt:lpstr>
      <vt:lpstr>DISB2</vt:lpstr>
      <vt:lpstr>EXP</vt:lpstr>
      <vt:lpstr>MTH</vt:lpstr>
      <vt:lpstr>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 2013 Chapter 12 Annual Reports</dc:title>
  <dc:creator>Finan, Debra  (USTP)</dc:creator>
  <cp:lastModifiedBy>Chery, Rose</cp:lastModifiedBy>
  <dcterms:created xsi:type="dcterms:W3CDTF">2007-10-30T12:54:55Z</dcterms:created>
  <dcterms:modified xsi:type="dcterms:W3CDTF">2014-03-26T13:35:44Z</dcterms:modified>
</cp:coreProperties>
</file>