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36" windowHeight="9444"/>
  </bookViews>
  <sheets>
    <sheet name="A" sheetId="1" r:id="rId1"/>
    <sheet name="B" sheetId="2" r:id="rId2"/>
  </sheets>
  <definedNames>
    <definedName name="_1NATIONAL_AVGS.">#N/A</definedName>
    <definedName name="_AUD13">A!#REF!</definedName>
    <definedName name="_EXP13">A!$AU$132:$AV$135</definedName>
    <definedName name="_EXP2">A!$AV$17:$AV$25</definedName>
    <definedName name="_EXP8">A!$AV$80:$AV$85</definedName>
    <definedName name="_LO2">A!$AU$156:$AV$160</definedName>
    <definedName name="_NBSTARTMACRO">B!$B$1</definedName>
    <definedName name="_REG12">A!$O$129:$X$130</definedName>
    <definedName name="_REG13">A!$O$132:$X$135</definedName>
    <definedName name="_REG17">A!$O$150:$X$160</definedName>
    <definedName name="ALLOC2">A!$AU$17:$AU$25</definedName>
    <definedName name="ALLOC8">A!$AU$80:$AU$85</definedName>
    <definedName name="AUDIT">A!#REF!</definedName>
    <definedName name="AUDIT8">A!#REF!</definedName>
    <definedName name="BU">A!$O$150:$X$150</definedName>
    <definedName name="CASH">A!$Z$28:$Z$34</definedName>
    <definedName name="CASH13">A!$Z$132:$Z$135</definedName>
    <definedName name="CASH2">A!$Z$17:$Z$25</definedName>
    <definedName name="CASH8">A!$Z$80:$Z$85</definedName>
    <definedName name="DATA">A!$O$162:$Z$173</definedName>
    <definedName name="DISB">A!$O$17:$T$25</definedName>
    <definedName name="DISB13">A!$O$132:$X$135</definedName>
    <definedName name="DISB8">A!$O$80:$T$85</definedName>
    <definedName name="DISBTOT8">A!$X$80:$X$85</definedName>
    <definedName name="ELEVEN">A!$D$118:$CF$123</definedName>
    <definedName name="EN">A!$O$152:$X$152</definedName>
    <definedName name="EXP">A!$AU$28:$AV$34</definedName>
    <definedName name="LO">A!$O$156:$X$160</definedName>
    <definedName name="NAMES">A!$B$12:$E$192</definedName>
    <definedName name="NINE">A!$D$86:$CF$103</definedName>
    <definedName name="_xlnm.Print_Titles" localSheetId="0">A!$A:$B,A!$3:$11</definedName>
    <definedName name="_xlnm.Print_Titles" localSheetId="1">B!$A:$B,B!$3:$11</definedName>
    <definedName name="RATIO">A!$Z$12:$Z$13</definedName>
    <definedName name="SUMDISB">A!$O$16:$X$16</definedName>
    <definedName name="SUMEXP">A!$AU$16:$AV$16</definedName>
    <definedName name="SUMRATIO">A!$Z$16:$Z$16</definedName>
    <definedName name="THIRTEEN">A!$D$132:$CF$135</definedName>
    <definedName name="TOTDISB">A!$X$17:$X$25</definedName>
  </definedNames>
  <calcPr calcId="145621" iterateCount="2"/>
</workbook>
</file>

<file path=xl/calcChain.xml><?xml version="1.0" encoding="utf-8"?>
<calcChain xmlns="http://schemas.openxmlformats.org/spreadsheetml/2006/main">
  <c r="H9" i="1" l="1"/>
  <c r="I9" i="1"/>
  <c r="K9" i="1"/>
  <c r="L9" i="1"/>
  <c r="M9" i="1"/>
  <c r="N9" i="1"/>
  <c r="P9" i="1"/>
  <c r="Q9" i="1"/>
  <c r="R9" i="1"/>
  <c r="T9" i="1"/>
  <c r="U9" i="1"/>
  <c r="V9" i="1"/>
  <c r="W9" i="1"/>
  <c r="X9" i="1"/>
  <c r="Z9" i="1"/>
  <c r="AC9" i="1"/>
  <c r="AD9" i="1"/>
  <c r="AF9" i="1"/>
  <c r="AG9" i="1"/>
  <c r="AH9" i="1"/>
  <c r="AJ9" i="1"/>
  <c r="AK9" i="1"/>
  <c r="AL9" i="1"/>
  <c r="AM9" i="1"/>
  <c r="AN9" i="1"/>
  <c r="AP9" i="1"/>
  <c r="AQ9" i="1"/>
  <c r="AR9" i="1"/>
  <c r="AS9" i="1"/>
  <c r="AT9" i="1"/>
  <c r="AU9" i="1"/>
  <c r="AV9" i="1"/>
  <c r="AW9" i="1"/>
  <c r="AZ9" i="1"/>
  <c r="BA9" i="1"/>
  <c r="BB9" i="1"/>
  <c r="BC9" i="1"/>
  <c r="BD9" i="1"/>
  <c r="BE9" i="1"/>
  <c r="BF9" i="1"/>
  <c r="BJ9" i="1"/>
  <c r="BL9" i="1"/>
  <c r="BM9" i="1"/>
  <c r="BO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H10" i="1"/>
  <c r="I10" i="1"/>
  <c r="K10" i="1"/>
  <c r="L10" i="1"/>
  <c r="M10" i="1"/>
  <c r="N10" i="1"/>
  <c r="P10" i="1"/>
  <c r="Q10" i="1"/>
  <c r="R10" i="1"/>
  <c r="T10" i="1"/>
  <c r="U10" i="1"/>
  <c r="V10" i="1"/>
  <c r="W10" i="1"/>
  <c r="X10" i="1"/>
  <c r="AC10" i="1"/>
  <c r="AD10" i="1"/>
  <c r="AF10" i="1"/>
  <c r="AG10" i="1"/>
  <c r="AH10" i="1"/>
  <c r="AJ10" i="1"/>
  <c r="AK10" i="1"/>
  <c r="AL10" i="1"/>
  <c r="AM10" i="1"/>
  <c r="AN10" i="1"/>
  <c r="AP10" i="1"/>
  <c r="AQ10" i="1"/>
  <c r="AR10" i="1"/>
  <c r="AS10" i="1"/>
  <c r="AT10" i="1"/>
  <c r="AU10" i="1"/>
  <c r="AV10" i="1"/>
  <c r="AX9" i="1" s="1"/>
  <c r="AW10" i="1"/>
  <c r="AZ10" i="1"/>
  <c r="BA10" i="1"/>
  <c r="BB10" i="1"/>
  <c r="BC10" i="1"/>
  <c r="BD10" i="1"/>
  <c r="BE10" i="1"/>
  <c r="BF10" i="1"/>
  <c r="BJ10" i="1"/>
  <c r="BL10" i="1"/>
  <c r="BM10" i="1"/>
  <c r="BO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O12" i="1"/>
  <c r="S12" i="1"/>
  <c r="AB12" i="1"/>
  <c r="AE12" i="1"/>
  <c r="AE9" i="1" s="1"/>
  <c r="AO12" i="1"/>
  <c r="AX12" i="1"/>
  <c r="BP12" i="1"/>
  <c r="O13" i="1"/>
  <c r="O10" i="1" s="1"/>
  <c r="S13" i="1"/>
  <c r="AB13" i="1"/>
  <c r="AB9" i="1" s="1"/>
  <c r="AE13" i="1"/>
  <c r="AI13" i="1"/>
  <c r="AI10" i="1" s="1"/>
  <c r="AO13" i="1"/>
  <c r="AX13" i="1"/>
  <c r="BP13" i="1"/>
  <c r="O14" i="1"/>
  <c r="S14" i="1"/>
  <c r="AB14" i="1"/>
  <c r="AE14" i="1"/>
  <c r="AO14" i="1"/>
  <c r="AX14" i="1"/>
  <c r="BP14" i="1"/>
  <c r="O15" i="1"/>
  <c r="S15" i="1"/>
  <c r="AB15" i="1"/>
  <c r="AE15" i="1"/>
  <c r="AI15" i="1"/>
  <c r="AO15" i="1"/>
  <c r="AX15" i="1"/>
  <c r="BP15" i="1"/>
  <c r="O16" i="1"/>
  <c r="S16" i="1"/>
  <c r="AB16" i="1"/>
  <c r="AE16" i="1"/>
  <c r="AI16" i="1"/>
  <c r="AO16" i="1"/>
  <c r="AX16" i="1"/>
  <c r="BP16" i="1"/>
  <c r="O17" i="1"/>
  <c r="S17" i="1"/>
  <c r="AB17" i="1"/>
  <c r="AE17" i="1"/>
  <c r="AI17" i="1"/>
  <c r="AO17" i="1"/>
  <c r="AX17" i="1"/>
  <c r="BP17" i="1"/>
  <c r="O18" i="1"/>
  <c r="S18" i="1"/>
  <c r="AB18" i="1"/>
  <c r="AE18" i="1"/>
  <c r="AI18" i="1"/>
  <c r="AO18" i="1"/>
  <c r="AX18" i="1"/>
  <c r="BN18" i="1"/>
  <c r="BN10" i="1" s="1"/>
  <c r="O19" i="1"/>
  <c r="S19" i="1"/>
  <c r="AB19" i="1"/>
  <c r="AE19" i="1"/>
  <c r="AO19" i="1"/>
  <c r="AX19" i="1"/>
  <c r="BP19" i="1"/>
  <c r="O20" i="1"/>
  <c r="S20" i="1"/>
  <c r="AB20" i="1"/>
  <c r="AE20" i="1"/>
  <c r="AI20" i="1"/>
  <c r="AO20" i="1"/>
  <c r="AX20" i="1"/>
  <c r="BP20" i="1"/>
  <c r="O21" i="1"/>
  <c r="S21" i="1"/>
  <c r="AB21" i="1"/>
  <c r="AE21" i="1"/>
  <c r="AI21" i="1"/>
  <c r="AO21" i="1"/>
  <c r="AX21" i="1"/>
  <c r="BP21" i="1"/>
  <c r="O22" i="1"/>
  <c r="S22" i="1"/>
  <c r="AB22" i="1"/>
  <c r="AE22" i="1"/>
  <c r="AI22" i="1"/>
  <c r="AO22" i="1"/>
  <c r="AX22" i="1"/>
  <c r="BK22" i="1"/>
  <c r="O23" i="1"/>
  <c r="S23" i="1"/>
  <c r="AB23" i="1"/>
  <c r="AE23" i="1"/>
  <c r="AO23" i="1"/>
  <c r="AX23" i="1"/>
  <c r="BP23" i="1"/>
  <c r="O24" i="1"/>
  <c r="S24" i="1"/>
  <c r="AB24" i="1"/>
  <c r="AE24" i="1"/>
  <c r="AO24" i="1"/>
  <c r="AX24" i="1"/>
  <c r="BP24" i="1"/>
  <c r="O25" i="1"/>
  <c r="S25" i="1"/>
  <c r="AB25" i="1"/>
  <c r="AE25" i="1"/>
  <c r="AO25" i="1"/>
  <c r="AX25" i="1"/>
  <c r="BP25" i="1"/>
  <c r="O26" i="1"/>
  <c r="S26" i="1"/>
  <c r="AB26" i="1"/>
  <c r="AE26" i="1"/>
  <c r="AO26" i="1"/>
  <c r="AX26" i="1"/>
  <c r="BP26" i="1"/>
  <c r="O27" i="1"/>
  <c r="S27" i="1"/>
  <c r="AB27" i="1"/>
  <c r="AE27" i="1"/>
  <c r="AI27" i="1"/>
  <c r="AO27" i="1"/>
  <c r="AX27" i="1"/>
  <c r="BK27" i="1"/>
  <c r="BP27" i="1"/>
  <c r="O28" i="1"/>
  <c r="S28" i="1"/>
  <c r="AB28" i="1"/>
  <c r="AE28" i="1"/>
  <c r="AI28" i="1"/>
  <c r="AO28" i="1"/>
  <c r="AX28" i="1"/>
  <c r="BP28" i="1"/>
  <c r="O29" i="1"/>
  <c r="S29" i="1"/>
  <c r="AB29" i="1"/>
  <c r="AE29" i="1"/>
  <c r="AO29" i="1"/>
  <c r="AX29" i="1"/>
  <c r="BP29" i="1"/>
  <c r="O30" i="1"/>
  <c r="S30" i="1"/>
  <c r="AB30" i="1"/>
  <c r="AE30" i="1"/>
  <c r="AI30" i="1"/>
  <c r="AO30" i="1"/>
  <c r="AX30" i="1"/>
  <c r="BP30" i="1"/>
  <c r="O31" i="1"/>
  <c r="S31" i="1"/>
  <c r="AB31" i="1"/>
  <c r="AE31" i="1"/>
  <c r="AI31" i="1"/>
  <c r="AO31" i="1"/>
  <c r="AX31" i="1"/>
  <c r="BK31" i="1"/>
  <c r="BP31" i="1"/>
  <c r="O32" i="1"/>
  <c r="S32" i="1"/>
  <c r="AB32" i="1"/>
  <c r="AE32" i="1"/>
  <c r="AO32" i="1"/>
  <c r="AX32" i="1"/>
  <c r="BK32" i="1"/>
  <c r="BP32" i="1"/>
  <c r="O33" i="1"/>
  <c r="S33" i="1"/>
  <c r="AB33" i="1"/>
  <c r="AE33" i="1"/>
  <c r="AI33" i="1"/>
  <c r="AO33" i="1"/>
  <c r="AX33" i="1"/>
  <c r="BH33" i="1"/>
  <c r="BH10" i="1" s="1"/>
  <c r="BK33" i="1"/>
  <c r="BK9" i="1" s="1"/>
  <c r="O34" i="1"/>
  <c r="S34" i="1"/>
  <c r="AB34" i="1"/>
  <c r="AE34" i="1"/>
  <c r="AI34" i="1"/>
  <c r="AO34" i="1"/>
  <c r="AX34" i="1"/>
  <c r="BK34" i="1"/>
  <c r="BP34" i="1"/>
  <c r="J35" i="1"/>
  <c r="J9" i="1"/>
  <c r="O35" i="1"/>
  <c r="S35" i="1"/>
  <c r="AB35" i="1"/>
  <c r="AE35" i="1"/>
  <c r="AO35" i="1"/>
  <c r="BP35" i="1"/>
  <c r="O36" i="1"/>
  <c r="S36" i="1"/>
  <c r="AB36" i="1"/>
  <c r="AE36" i="1"/>
  <c r="AO36" i="1"/>
  <c r="AX36" i="1"/>
  <c r="BK36" i="1"/>
  <c r="BP36" i="1"/>
  <c r="O37" i="1"/>
  <c r="S37" i="1"/>
  <c r="AB37" i="1"/>
  <c r="AE37" i="1"/>
  <c r="AO37" i="1"/>
  <c r="AX37" i="1"/>
  <c r="BP37" i="1"/>
  <c r="O38" i="1"/>
  <c r="S38" i="1"/>
  <c r="AB38" i="1"/>
  <c r="AE38" i="1"/>
  <c r="AO38" i="1"/>
  <c r="AX38" i="1"/>
  <c r="BP38" i="1"/>
  <c r="O39" i="1"/>
  <c r="S39" i="1"/>
  <c r="AB39" i="1"/>
  <c r="AE39" i="1"/>
  <c r="AO39" i="1"/>
  <c r="AX39" i="1"/>
  <c r="BP39" i="1"/>
  <c r="O40" i="1"/>
  <c r="S40" i="1"/>
  <c r="AB40" i="1"/>
  <c r="AE40" i="1"/>
  <c r="AO40" i="1"/>
  <c r="AX40" i="1"/>
  <c r="BP40" i="1"/>
  <c r="O41" i="1"/>
  <c r="S41" i="1"/>
  <c r="AB41" i="1"/>
  <c r="AE41" i="1"/>
  <c r="AO41" i="1"/>
  <c r="AX41" i="1"/>
  <c r="BK41" i="1"/>
  <c r="BP41" i="1"/>
  <c r="O42" i="1"/>
  <c r="S42" i="1"/>
  <c r="AB42" i="1"/>
  <c r="AE42" i="1"/>
  <c r="AO42" i="1"/>
  <c r="AX42" i="1"/>
  <c r="BP42" i="1"/>
  <c r="O43" i="1"/>
  <c r="S43" i="1"/>
  <c r="AB43" i="1"/>
  <c r="AE43" i="1"/>
  <c r="AO43" i="1"/>
  <c r="AX43" i="1"/>
  <c r="BP43" i="1"/>
  <c r="O44" i="1"/>
  <c r="S44" i="1"/>
  <c r="AB44" i="1"/>
  <c r="AE44" i="1"/>
  <c r="AO44" i="1"/>
  <c r="AX44" i="1"/>
  <c r="BI44" i="1"/>
  <c r="BP44" i="1"/>
  <c r="O45" i="1"/>
  <c r="S45" i="1"/>
  <c r="AB45" i="1"/>
  <c r="AE45" i="1"/>
  <c r="AO45" i="1"/>
  <c r="AX45" i="1"/>
  <c r="BP45" i="1"/>
  <c r="O46" i="1"/>
  <c r="S46" i="1"/>
  <c r="AB46" i="1"/>
  <c r="AE46" i="1"/>
  <c r="AI46" i="1"/>
  <c r="AO46" i="1"/>
  <c r="AX46" i="1"/>
  <c r="BP46" i="1"/>
  <c r="O47" i="1"/>
  <c r="S47" i="1"/>
  <c r="AB47" i="1"/>
  <c r="AE47" i="1"/>
  <c r="AO47" i="1"/>
  <c r="AX47" i="1"/>
  <c r="BP47" i="1"/>
  <c r="O48" i="1"/>
  <c r="S48" i="1"/>
  <c r="AB48" i="1"/>
  <c r="AE48" i="1"/>
  <c r="AO48" i="1"/>
  <c r="AX48" i="1"/>
  <c r="BP48" i="1"/>
  <c r="O49" i="1"/>
  <c r="S49" i="1"/>
  <c r="AB49" i="1"/>
  <c r="AE49" i="1"/>
  <c r="AO49" i="1"/>
  <c r="AX49" i="1"/>
  <c r="BP49" i="1"/>
  <c r="O50" i="1"/>
  <c r="S50" i="1"/>
  <c r="AB50" i="1"/>
  <c r="AE50" i="1"/>
  <c r="AO50" i="1"/>
  <c r="AX50" i="1"/>
  <c r="BK50" i="1"/>
  <c r="BP50" i="1"/>
  <c r="O51" i="1"/>
  <c r="S51" i="1"/>
  <c r="AB51" i="1"/>
  <c r="AE51" i="1"/>
  <c r="AI51" i="1"/>
  <c r="AO51" i="1"/>
  <c r="AX51" i="1"/>
  <c r="BP51" i="1"/>
  <c r="O52" i="1"/>
  <c r="S52" i="1"/>
  <c r="AB52" i="1"/>
  <c r="AE52" i="1"/>
  <c r="AO52" i="1"/>
  <c r="AX52" i="1"/>
  <c r="BP52" i="1"/>
  <c r="O53" i="1"/>
  <c r="S53" i="1"/>
  <c r="AB53" i="1"/>
  <c r="AE53" i="1"/>
  <c r="AI53" i="1"/>
  <c r="AO53" i="1"/>
  <c r="AX53" i="1"/>
  <c r="BP53" i="1"/>
  <c r="O54" i="1"/>
  <c r="S54" i="1"/>
  <c r="AB54" i="1"/>
  <c r="AE54" i="1"/>
  <c r="AI54" i="1"/>
  <c r="AO54" i="1"/>
  <c r="AX54" i="1"/>
  <c r="BP54" i="1"/>
  <c r="O55" i="1"/>
  <c r="S55" i="1"/>
  <c r="AB55" i="1"/>
  <c r="AE55" i="1"/>
  <c r="AO55" i="1"/>
  <c r="AX55" i="1"/>
  <c r="BP55" i="1"/>
  <c r="O56" i="1"/>
  <c r="S56" i="1"/>
  <c r="AB56" i="1"/>
  <c r="AE56" i="1"/>
  <c r="AI56" i="1"/>
  <c r="AO56" i="1"/>
  <c r="AX56" i="1"/>
  <c r="BK56" i="1"/>
  <c r="BP56" i="1" s="1"/>
  <c r="O57" i="1"/>
  <c r="S57" i="1"/>
  <c r="AB57" i="1"/>
  <c r="AE57" i="1"/>
  <c r="AI57" i="1"/>
  <c r="AO57" i="1"/>
  <c r="AX57" i="1"/>
  <c r="BP57" i="1"/>
  <c r="O58" i="1"/>
  <c r="S58" i="1"/>
  <c r="AB58" i="1"/>
  <c r="AE58" i="1"/>
  <c r="AO58" i="1"/>
  <c r="AX58" i="1"/>
  <c r="BK58" i="1"/>
  <c r="BP58" i="1" s="1"/>
  <c r="O59" i="1"/>
  <c r="S59" i="1"/>
  <c r="AA59" i="1"/>
  <c r="AA10" i="1" s="1"/>
  <c r="AB59" i="1"/>
  <c r="AE59" i="1"/>
  <c r="AI59" i="1"/>
  <c r="AO59" i="1"/>
  <c r="AX59" i="1"/>
  <c r="BP59" i="1"/>
  <c r="O60" i="1"/>
  <c r="S60" i="1"/>
  <c r="AA60" i="1"/>
  <c r="AB60" i="1"/>
  <c r="AE60" i="1"/>
  <c r="AO60" i="1"/>
  <c r="AX60" i="1"/>
  <c r="BP60" i="1"/>
  <c r="O61" i="1"/>
  <c r="S61" i="1"/>
  <c r="AB61" i="1"/>
  <c r="AE61" i="1"/>
  <c r="AI61" i="1"/>
  <c r="AO61" i="1"/>
  <c r="AX61" i="1"/>
  <c r="BP61" i="1"/>
  <c r="O62" i="1"/>
  <c r="S62" i="1"/>
  <c r="AB62" i="1"/>
  <c r="AE62" i="1"/>
  <c r="AI62" i="1"/>
  <c r="AO62" i="1"/>
  <c r="AX62" i="1"/>
  <c r="BP62" i="1"/>
  <c r="O63" i="1"/>
  <c r="S63" i="1"/>
  <c r="AB63" i="1"/>
  <c r="AE63" i="1"/>
  <c r="AI63" i="1"/>
  <c r="AO63" i="1"/>
  <c r="AX63" i="1"/>
  <c r="BK63" i="1"/>
  <c r="BP63" i="1" s="1"/>
  <c r="O64" i="1"/>
  <c r="S64" i="1"/>
  <c r="AB64" i="1"/>
  <c r="AE64" i="1"/>
  <c r="AO64" i="1"/>
  <c r="AX64" i="1"/>
  <c r="BP64" i="1"/>
  <c r="O65" i="1"/>
  <c r="S65" i="1"/>
  <c r="AB65" i="1"/>
  <c r="AE65" i="1"/>
  <c r="AI65" i="1"/>
  <c r="AO65" i="1"/>
  <c r="AX65" i="1"/>
  <c r="BK65" i="1"/>
  <c r="BP65" i="1" s="1"/>
  <c r="O66" i="1"/>
  <c r="S66" i="1"/>
  <c r="AB66" i="1"/>
  <c r="AE66" i="1"/>
  <c r="AI66" i="1"/>
  <c r="AO66" i="1"/>
  <c r="AX66" i="1"/>
  <c r="BK66" i="1"/>
  <c r="BP66" i="1"/>
  <c r="O67" i="1"/>
  <c r="S67" i="1"/>
  <c r="AB67" i="1"/>
  <c r="AE67" i="1"/>
  <c r="AO67" i="1"/>
  <c r="AX67" i="1"/>
  <c r="BK67" i="1"/>
  <c r="BP67" i="1"/>
  <c r="O68" i="1"/>
  <c r="S68" i="1"/>
  <c r="AB68" i="1"/>
  <c r="AE68" i="1"/>
  <c r="AI68" i="1"/>
  <c r="AO68" i="1"/>
  <c r="AX68" i="1"/>
  <c r="BK68" i="1"/>
  <c r="BP68" i="1" s="1"/>
  <c r="O69" i="1"/>
  <c r="S69" i="1"/>
  <c r="AB69" i="1"/>
  <c r="AE69" i="1"/>
  <c r="AO69" i="1"/>
  <c r="AX69" i="1"/>
  <c r="BK69" i="1"/>
  <c r="BP69" i="1" s="1"/>
  <c r="O70" i="1"/>
  <c r="S70" i="1"/>
  <c r="AB70" i="1"/>
  <c r="AE70" i="1"/>
  <c r="AI70" i="1"/>
  <c r="AO70" i="1"/>
  <c r="AX70" i="1"/>
  <c r="BP70" i="1"/>
  <c r="O71" i="1"/>
  <c r="S71" i="1"/>
  <c r="AB71" i="1"/>
  <c r="AE71" i="1"/>
  <c r="AO71" i="1"/>
  <c r="AX71" i="1"/>
  <c r="BP71" i="1"/>
  <c r="O72" i="1"/>
  <c r="S72" i="1"/>
  <c r="AB72" i="1"/>
  <c r="AE72" i="1"/>
  <c r="AO72" i="1"/>
  <c r="AX72" i="1"/>
  <c r="BP72" i="1"/>
  <c r="O73" i="1"/>
  <c r="S73" i="1"/>
  <c r="AB73" i="1"/>
  <c r="AE73" i="1"/>
  <c r="AO73" i="1"/>
  <c r="AX73" i="1"/>
  <c r="BP73" i="1"/>
  <c r="O74" i="1"/>
  <c r="S74" i="1"/>
  <c r="AB74" i="1"/>
  <c r="AE74" i="1"/>
  <c r="AO74" i="1"/>
  <c r="AX74" i="1"/>
  <c r="BP74" i="1"/>
  <c r="O75" i="1"/>
  <c r="S75" i="1"/>
  <c r="AB75" i="1"/>
  <c r="AE75" i="1"/>
  <c r="AI75" i="1"/>
  <c r="AO75" i="1"/>
  <c r="AX75" i="1"/>
  <c r="BP75" i="1"/>
  <c r="O76" i="1"/>
  <c r="S76" i="1"/>
  <c r="AB76" i="1"/>
  <c r="AE76" i="1"/>
  <c r="AO76" i="1"/>
  <c r="AX76" i="1"/>
  <c r="BP76" i="1"/>
  <c r="O77" i="1"/>
  <c r="S77" i="1"/>
  <c r="AB77" i="1"/>
  <c r="AE77" i="1"/>
  <c r="AO77" i="1"/>
  <c r="AX77" i="1"/>
  <c r="BP77" i="1"/>
  <c r="O78" i="1"/>
  <c r="S78" i="1"/>
  <c r="AA78" i="1"/>
  <c r="AB78" i="1"/>
  <c r="AE78" i="1"/>
  <c r="AO78" i="1"/>
  <c r="AX78" i="1"/>
  <c r="BP78" i="1"/>
  <c r="O79" i="1"/>
  <c r="S79" i="1"/>
  <c r="AA79" i="1"/>
  <c r="AB79" i="1"/>
  <c r="AE79" i="1"/>
  <c r="AO79" i="1"/>
  <c r="AX79" i="1"/>
  <c r="BP79" i="1"/>
  <c r="O80" i="1"/>
  <c r="S80" i="1"/>
  <c r="AA80" i="1"/>
  <c r="AB80" i="1"/>
  <c r="AE80" i="1"/>
  <c r="AO80" i="1"/>
  <c r="AX80" i="1"/>
  <c r="BK80" i="1"/>
  <c r="BP80" i="1"/>
  <c r="O81" i="1"/>
  <c r="S81" i="1"/>
  <c r="AA81" i="1"/>
  <c r="AB81" i="1"/>
  <c r="AE81" i="1"/>
  <c r="AO81" i="1"/>
  <c r="AX81" i="1"/>
  <c r="BP81" i="1"/>
  <c r="O82" i="1"/>
  <c r="S82" i="1"/>
  <c r="AB82" i="1"/>
  <c r="AE82" i="1"/>
  <c r="AO82" i="1"/>
  <c r="AX82" i="1"/>
  <c r="BP82" i="1"/>
  <c r="O83" i="1"/>
  <c r="S83" i="1"/>
  <c r="AA83" i="1"/>
  <c r="AB83" i="1"/>
  <c r="AE83" i="1"/>
  <c r="AO83" i="1"/>
  <c r="AX83" i="1"/>
  <c r="BP83" i="1"/>
  <c r="O84" i="1"/>
  <c r="S84" i="1"/>
  <c r="AB84" i="1"/>
  <c r="AE84" i="1"/>
  <c r="AO84" i="1"/>
  <c r="AX84" i="1"/>
  <c r="BP84" i="1"/>
  <c r="O85" i="1"/>
  <c r="S85" i="1"/>
  <c r="AB85" i="1"/>
  <c r="AE85" i="1"/>
  <c r="AI85" i="1"/>
  <c r="AO85" i="1"/>
  <c r="AX85" i="1"/>
  <c r="BK85" i="1"/>
  <c r="BP85" i="1" s="1"/>
  <c r="O86" i="1"/>
  <c r="S86" i="1"/>
  <c r="AB86" i="1"/>
  <c r="AE86" i="1"/>
  <c r="AI86" i="1"/>
  <c r="AO86" i="1"/>
  <c r="AX86" i="1"/>
  <c r="BP86" i="1"/>
  <c r="O87" i="1"/>
  <c r="S87" i="1"/>
  <c r="AB87" i="1"/>
  <c r="AE87" i="1"/>
  <c r="AI87" i="1"/>
  <c r="AO87" i="1"/>
  <c r="AX87" i="1"/>
  <c r="BP87" i="1"/>
  <c r="O88" i="1"/>
  <c r="S88" i="1"/>
  <c r="AB88" i="1"/>
  <c r="AE88" i="1"/>
  <c r="AI88" i="1"/>
  <c r="AO88" i="1"/>
  <c r="AX88" i="1"/>
  <c r="BP88" i="1"/>
  <c r="O89" i="1"/>
  <c r="S89" i="1"/>
  <c r="AB89" i="1"/>
  <c r="AE89" i="1"/>
  <c r="AO89" i="1"/>
  <c r="AX89" i="1"/>
  <c r="BP89" i="1"/>
  <c r="O90" i="1"/>
  <c r="S90" i="1"/>
  <c r="AB90" i="1"/>
  <c r="AE90" i="1"/>
  <c r="AI90" i="1"/>
  <c r="AO90" i="1"/>
  <c r="AX90" i="1"/>
  <c r="BK90" i="1"/>
  <c r="BP90" i="1" s="1"/>
  <c r="O91" i="1"/>
  <c r="S91" i="1"/>
  <c r="AB91" i="1"/>
  <c r="AE91" i="1"/>
  <c r="AI91" i="1"/>
  <c r="AO91" i="1"/>
  <c r="AX91" i="1"/>
  <c r="BP91" i="1"/>
  <c r="O92" i="1"/>
  <c r="S92" i="1"/>
  <c r="AB92" i="1"/>
  <c r="AE92" i="1"/>
  <c r="AI92" i="1"/>
  <c r="AO92" i="1"/>
  <c r="AX92" i="1"/>
  <c r="BK92" i="1"/>
  <c r="BP92" i="1"/>
  <c r="O93" i="1"/>
  <c r="S93" i="1"/>
  <c r="AB93" i="1"/>
  <c r="AO93" i="1"/>
  <c r="AX93" i="1"/>
  <c r="BK93" i="1"/>
  <c r="BP93" i="1" s="1"/>
  <c r="O94" i="1"/>
  <c r="S94" i="1"/>
  <c r="AB94" i="1"/>
  <c r="AE94" i="1"/>
  <c r="AO94" i="1"/>
  <c r="AX94" i="1"/>
  <c r="BK94" i="1"/>
  <c r="BP94" i="1" s="1"/>
  <c r="O95" i="1"/>
  <c r="S95" i="1"/>
  <c r="AB95" i="1"/>
  <c r="AE95" i="1"/>
  <c r="AO95" i="1"/>
  <c r="AX95" i="1"/>
  <c r="BP95" i="1"/>
  <c r="O96" i="1"/>
  <c r="S96" i="1"/>
  <c r="AB96" i="1"/>
  <c r="AE96" i="1"/>
  <c r="AO96" i="1"/>
  <c r="AX96" i="1"/>
  <c r="BK96" i="1"/>
  <c r="BP96" i="1"/>
  <c r="O97" i="1"/>
  <c r="S97" i="1"/>
  <c r="AB97" i="1"/>
  <c r="AE97" i="1"/>
  <c r="AO97" i="1"/>
  <c r="AX97" i="1"/>
  <c r="BP97" i="1"/>
  <c r="O98" i="1"/>
  <c r="S98" i="1"/>
  <c r="AB98" i="1"/>
  <c r="AE98" i="1"/>
  <c r="AI98" i="1"/>
  <c r="AO98" i="1"/>
  <c r="AX98" i="1"/>
  <c r="BP98" i="1"/>
  <c r="O99" i="1"/>
  <c r="S99" i="1"/>
  <c r="AB99" i="1"/>
  <c r="AE99" i="1"/>
  <c r="AI99" i="1"/>
  <c r="AO99" i="1"/>
  <c r="AX99" i="1"/>
  <c r="BK99" i="1"/>
  <c r="BP99" i="1"/>
  <c r="O100" i="1"/>
  <c r="S100" i="1"/>
  <c r="AB100" i="1"/>
  <c r="AE100" i="1"/>
  <c r="AI100" i="1"/>
  <c r="AO100" i="1"/>
  <c r="AX100" i="1"/>
  <c r="BP100" i="1"/>
  <c r="O101" i="1"/>
  <c r="S101" i="1"/>
  <c r="AB101" i="1"/>
  <c r="AE101" i="1"/>
  <c r="AO101" i="1"/>
  <c r="AX101" i="1"/>
  <c r="BK101" i="1"/>
  <c r="BP101" i="1"/>
  <c r="O102" i="1"/>
  <c r="S102" i="1"/>
  <c r="AB102" i="1"/>
  <c r="AE102" i="1"/>
  <c r="AI102" i="1"/>
  <c r="AO102" i="1"/>
  <c r="AX102" i="1"/>
  <c r="BK102" i="1"/>
  <c r="BP102" i="1" s="1"/>
  <c r="O103" i="1"/>
  <c r="S103" i="1"/>
  <c r="AB103" i="1"/>
  <c r="AE103" i="1"/>
  <c r="AI103" i="1"/>
  <c r="AO103" i="1"/>
  <c r="AX103" i="1"/>
  <c r="BP103" i="1"/>
  <c r="O104" i="1"/>
  <c r="S104" i="1"/>
  <c r="AB104" i="1"/>
  <c r="AE104" i="1"/>
  <c r="AO104" i="1"/>
  <c r="AX104" i="1"/>
  <c r="BP104" i="1"/>
  <c r="O105" i="1"/>
  <c r="S105" i="1"/>
  <c r="AA105" i="1"/>
  <c r="AB105" i="1"/>
  <c r="AE105" i="1"/>
  <c r="AI105" i="1"/>
  <c r="AO105" i="1"/>
  <c r="AX105" i="1"/>
  <c r="BP105" i="1"/>
  <c r="O106" i="1"/>
  <c r="S106" i="1"/>
  <c r="AB106" i="1"/>
  <c r="AE106" i="1"/>
  <c r="AI106" i="1"/>
  <c r="AO106" i="1"/>
  <c r="AX106" i="1"/>
  <c r="BP106" i="1"/>
  <c r="O107" i="1"/>
  <c r="S107" i="1"/>
  <c r="AB107" i="1"/>
  <c r="AE107" i="1"/>
  <c r="AO107" i="1"/>
  <c r="AX107" i="1"/>
  <c r="BK107" i="1"/>
  <c r="BP107" i="1" s="1"/>
  <c r="O108" i="1"/>
  <c r="S108" i="1"/>
  <c r="AB108" i="1"/>
  <c r="AE108" i="1"/>
  <c r="AO108" i="1"/>
  <c r="AX108" i="1"/>
  <c r="BP108" i="1"/>
  <c r="O109" i="1"/>
  <c r="S109" i="1"/>
  <c r="AB109" i="1"/>
  <c r="AE109" i="1"/>
  <c r="AI109" i="1"/>
  <c r="AO109" i="1"/>
  <c r="AX109" i="1"/>
  <c r="BP109" i="1"/>
  <c r="O110" i="1"/>
  <c r="S110" i="1"/>
  <c r="AB110" i="1"/>
  <c r="AE110" i="1"/>
  <c r="AI110" i="1"/>
  <c r="AO110" i="1"/>
  <c r="AX110" i="1"/>
  <c r="BK110" i="1"/>
  <c r="BP110" i="1" s="1"/>
  <c r="O111" i="1"/>
  <c r="S111" i="1"/>
  <c r="AB111" i="1"/>
  <c r="AE111" i="1"/>
  <c r="AO111" i="1"/>
  <c r="AX111" i="1"/>
  <c r="BP111" i="1"/>
  <c r="O112" i="1"/>
  <c r="S112" i="1"/>
  <c r="AA112" i="1"/>
  <c r="AB112" i="1"/>
  <c r="AE112" i="1"/>
  <c r="AI112" i="1"/>
  <c r="AO112" i="1"/>
  <c r="AX112" i="1"/>
  <c r="BK112" i="1"/>
  <c r="BP112" i="1"/>
  <c r="O113" i="1"/>
  <c r="S113" i="1"/>
  <c r="AB113" i="1"/>
  <c r="AE113" i="1"/>
  <c r="AO113" i="1"/>
  <c r="AX113" i="1"/>
  <c r="BK113" i="1"/>
  <c r="BP113" i="1"/>
  <c r="O114" i="1"/>
  <c r="S114" i="1"/>
  <c r="AB114" i="1"/>
  <c r="AE114" i="1"/>
  <c r="AI114" i="1"/>
  <c r="AO114" i="1"/>
  <c r="AX114" i="1"/>
  <c r="BK114" i="1"/>
  <c r="BP114" i="1" s="1"/>
  <c r="O115" i="1"/>
  <c r="S115" i="1"/>
  <c r="AB115" i="1"/>
  <c r="AE115" i="1"/>
  <c r="AI115" i="1"/>
  <c r="AO115" i="1"/>
  <c r="AX115" i="1"/>
  <c r="BK115" i="1"/>
  <c r="BP115" i="1"/>
  <c r="O116" i="1"/>
  <c r="S116" i="1"/>
  <c r="AB116" i="1"/>
  <c r="AE116" i="1"/>
  <c r="AI116" i="1"/>
  <c r="AO116" i="1"/>
  <c r="AX116" i="1"/>
  <c r="BK116" i="1"/>
  <c r="BP116" i="1" s="1"/>
  <c r="O117" i="1"/>
  <c r="S117" i="1"/>
  <c r="AB117" i="1"/>
  <c r="AI117" i="1"/>
  <c r="AO117" i="1"/>
  <c r="AX117" i="1"/>
  <c r="BK117" i="1"/>
  <c r="BP117" i="1" s="1"/>
  <c r="O118" i="1"/>
  <c r="S118" i="1"/>
  <c r="AB118" i="1"/>
  <c r="AE118" i="1"/>
  <c r="AI118" i="1"/>
  <c r="AO118" i="1"/>
  <c r="AX118" i="1"/>
  <c r="BP118" i="1"/>
  <c r="O119" i="1"/>
  <c r="S119" i="1"/>
  <c r="AB119" i="1"/>
  <c r="AE119" i="1"/>
  <c r="AI119" i="1"/>
  <c r="AO119" i="1"/>
  <c r="AX119" i="1"/>
  <c r="BP119" i="1"/>
  <c r="O120" i="1"/>
  <c r="S120" i="1"/>
  <c r="AB120" i="1"/>
  <c r="AE120" i="1"/>
  <c r="AI120" i="1"/>
  <c r="AO120" i="1"/>
  <c r="AX120" i="1"/>
  <c r="BK120" i="1"/>
  <c r="BP120" i="1"/>
  <c r="O121" i="1"/>
  <c r="S121" i="1"/>
  <c r="AB121" i="1"/>
  <c r="AE121" i="1"/>
  <c r="AO121" i="1"/>
  <c r="AX121" i="1"/>
  <c r="BP121" i="1"/>
  <c r="O122" i="1"/>
  <c r="S122" i="1"/>
  <c r="AB122" i="1"/>
  <c r="AE122" i="1"/>
  <c r="AI122" i="1"/>
  <c r="AO122" i="1"/>
  <c r="AX122" i="1"/>
  <c r="BK122" i="1"/>
  <c r="BP122" i="1"/>
  <c r="O123" i="1"/>
  <c r="S123" i="1"/>
  <c r="AB123" i="1"/>
  <c r="AI123" i="1"/>
  <c r="AO123" i="1"/>
  <c r="AX123" i="1"/>
  <c r="BK123" i="1"/>
  <c r="BP123" i="1"/>
  <c r="O124" i="1"/>
  <c r="S124" i="1"/>
  <c r="AB124" i="1"/>
  <c r="AO124" i="1"/>
  <c r="AX124" i="1"/>
  <c r="BP124" i="1"/>
  <c r="O125" i="1"/>
  <c r="S125" i="1"/>
  <c r="AB125" i="1"/>
  <c r="AI125" i="1"/>
  <c r="AO125" i="1"/>
  <c r="AX125" i="1"/>
  <c r="BP125" i="1"/>
  <c r="O126" i="1"/>
  <c r="S126" i="1"/>
  <c r="AB126" i="1"/>
  <c r="AE126" i="1"/>
  <c r="AO126" i="1"/>
  <c r="AX126" i="1"/>
  <c r="BP126" i="1"/>
  <c r="O127" i="1"/>
  <c r="S127" i="1"/>
  <c r="AB127" i="1"/>
  <c r="AE127" i="1"/>
  <c r="AO127" i="1"/>
  <c r="AX127" i="1"/>
  <c r="BK127" i="1"/>
  <c r="BP127" i="1"/>
  <c r="O128" i="1"/>
  <c r="S128" i="1"/>
  <c r="AB128" i="1"/>
  <c r="AE128" i="1"/>
  <c r="AI128" i="1"/>
  <c r="AO128" i="1"/>
  <c r="AX128" i="1"/>
  <c r="BP128" i="1"/>
  <c r="O129" i="1"/>
  <c r="S129" i="1"/>
  <c r="AB129" i="1"/>
  <c r="AE129" i="1"/>
  <c r="AI129" i="1"/>
  <c r="AO129" i="1"/>
  <c r="AX129" i="1"/>
  <c r="BP129" i="1"/>
  <c r="O130" i="1"/>
  <c r="S130" i="1"/>
  <c r="AB130" i="1"/>
  <c r="AE130" i="1"/>
  <c r="AO130" i="1"/>
  <c r="AX130" i="1"/>
  <c r="BK130" i="1"/>
  <c r="BP130" i="1"/>
  <c r="O131" i="1"/>
  <c r="S131" i="1"/>
  <c r="AB131" i="1"/>
  <c r="AE131" i="1"/>
  <c r="AO131" i="1"/>
  <c r="AX131" i="1"/>
  <c r="BP131" i="1"/>
  <c r="O132" i="1"/>
  <c r="S132" i="1"/>
  <c r="AB132" i="1"/>
  <c r="AE132" i="1"/>
  <c r="AO132" i="1"/>
  <c r="AX132" i="1"/>
  <c r="BK132" i="1"/>
  <c r="BP132" i="1" s="1"/>
  <c r="O133" i="1"/>
  <c r="S133" i="1"/>
  <c r="AB133" i="1"/>
  <c r="AE133" i="1"/>
  <c r="AO133" i="1"/>
  <c r="AX133" i="1"/>
  <c r="BK133" i="1"/>
  <c r="BP133" i="1" s="1"/>
  <c r="O134" i="1"/>
  <c r="S134" i="1"/>
  <c r="AB134" i="1"/>
  <c r="AE134" i="1"/>
  <c r="AO134" i="1"/>
  <c r="AX134" i="1"/>
  <c r="BK134" i="1"/>
  <c r="BP134" i="1" s="1"/>
  <c r="O135" i="1"/>
  <c r="S135" i="1"/>
  <c r="AB135" i="1"/>
  <c r="AE135" i="1"/>
  <c r="AI135" i="1"/>
  <c r="AO135" i="1"/>
  <c r="AX135" i="1"/>
  <c r="BP135" i="1"/>
  <c r="O136" i="1"/>
  <c r="S136" i="1"/>
  <c r="AB136" i="1"/>
  <c r="AE136" i="1"/>
  <c r="AO136" i="1"/>
  <c r="AX136" i="1"/>
  <c r="BP136" i="1"/>
  <c r="O137" i="1"/>
  <c r="S137" i="1"/>
  <c r="AB137" i="1"/>
  <c r="AE137" i="1"/>
  <c r="AI137" i="1"/>
  <c r="AO137" i="1"/>
  <c r="AX137" i="1"/>
  <c r="BK137" i="1"/>
  <c r="BP137" i="1" s="1"/>
  <c r="O138" i="1"/>
  <c r="S138" i="1"/>
  <c r="AB138" i="1"/>
  <c r="AE138" i="1"/>
  <c r="AO138" i="1"/>
  <c r="AX138" i="1"/>
  <c r="BK138" i="1"/>
  <c r="BP138" i="1" s="1"/>
  <c r="O139" i="1"/>
  <c r="S139" i="1"/>
  <c r="AB139" i="1"/>
  <c r="AE139" i="1"/>
  <c r="AO139" i="1"/>
  <c r="AX139" i="1"/>
  <c r="BP139" i="1"/>
  <c r="O140" i="1"/>
  <c r="S140" i="1"/>
  <c r="AB140" i="1"/>
  <c r="AE140" i="1"/>
  <c r="AO140" i="1"/>
  <c r="AX140" i="1"/>
  <c r="BP140" i="1"/>
  <c r="O141" i="1"/>
  <c r="S141" i="1"/>
  <c r="AB141" i="1"/>
  <c r="AE141" i="1"/>
  <c r="AO141" i="1"/>
  <c r="AX141" i="1"/>
  <c r="BK141" i="1"/>
  <c r="BP141" i="1" s="1"/>
  <c r="O142" i="1"/>
  <c r="S142" i="1"/>
  <c r="AB142" i="1"/>
  <c r="AE142" i="1"/>
  <c r="AI142" i="1"/>
  <c r="AO142" i="1"/>
  <c r="AX142" i="1"/>
  <c r="BP142" i="1"/>
  <c r="O143" i="1"/>
  <c r="S143" i="1"/>
  <c r="AB143" i="1"/>
  <c r="AE143" i="1"/>
  <c r="AO143" i="1"/>
  <c r="AX143" i="1"/>
  <c r="BP143" i="1"/>
  <c r="O144" i="1"/>
  <c r="S144" i="1"/>
  <c r="AB144" i="1"/>
  <c r="AE144" i="1"/>
  <c r="AO144" i="1"/>
  <c r="AX144" i="1"/>
  <c r="BG144" i="1"/>
  <c r="BG9" i="1"/>
  <c r="BK144" i="1"/>
  <c r="O145" i="1"/>
  <c r="S145" i="1"/>
  <c r="AB145" i="1"/>
  <c r="AE145" i="1"/>
  <c r="AO145" i="1"/>
  <c r="AX145" i="1"/>
  <c r="BK145" i="1"/>
  <c r="BP145" i="1" s="1"/>
  <c r="O146" i="1"/>
  <c r="S146" i="1"/>
  <c r="AB146" i="1"/>
  <c r="AE146" i="1"/>
  <c r="AO146" i="1"/>
  <c r="AX146" i="1"/>
  <c r="BP146" i="1"/>
  <c r="O147" i="1"/>
  <c r="S147" i="1"/>
  <c r="AB147" i="1"/>
  <c r="AE147" i="1"/>
  <c r="AO147" i="1"/>
  <c r="AX147" i="1"/>
  <c r="BK147" i="1"/>
  <c r="BP147" i="1"/>
  <c r="O148" i="1"/>
  <c r="S148" i="1"/>
  <c r="AB148" i="1"/>
  <c r="AE148" i="1"/>
  <c r="AO148" i="1"/>
  <c r="AX148" i="1"/>
  <c r="BP148" i="1"/>
  <c r="O149" i="1"/>
  <c r="S149" i="1"/>
  <c r="AB149" i="1"/>
  <c r="AO149" i="1"/>
  <c r="AX149" i="1"/>
  <c r="BP149" i="1"/>
  <c r="O150" i="1"/>
  <c r="S150" i="1"/>
  <c r="AB150" i="1"/>
  <c r="AE150" i="1"/>
  <c r="AI150" i="1"/>
  <c r="AO150" i="1"/>
  <c r="AX150" i="1"/>
  <c r="BP150" i="1"/>
  <c r="O151" i="1"/>
  <c r="S151" i="1"/>
  <c r="AB151" i="1"/>
  <c r="AE151" i="1"/>
  <c r="AI151" i="1"/>
  <c r="AO151" i="1"/>
  <c r="AX151" i="1"/>
  <c r="BP151" i="1"/>
  <c r="O152" i="1"/>
  <c r="S152" i="1"/>
  <c r="AB152" i="1"/>
  <c r="AE152" i="1"/>
  <c r="AO152" i="1"/>
  <c r="AX152" i="1"/>
  <c r="BK152" i="1"/>
  <c r="BP152" i="1" s="1"/>
  <c r="O153" i="1"/>
  <c r="S153" i="1"/>
  <c r="AB153" i="1"/>
  <c r="AE153" i="1"/>
  <c r="AO153" i="1"/>
  <c r="AX153" i="1"/>
  <c r="BK153" i="1"/>
  <c r="BP153" i="1" s="1"/>
  <c r="O154" i="1"/>
  <c r="S154" i="1"/>
  <c r="AB154" i="1"/>
  <c r="AE154" i="1"/>
  <c r="AO154" i="1"/>
  <c r="AX154" i="1"/>
  <c r="BP154" i="1"/>
  <c r="O155" i="1"/>
  <c r="S155" i="1"/>
  <c r="AB155" i="1"/>
  <c r="AE155" i="1"/>
  <c r="AI155" i="1"/>
  <c r="AO155" i="1"/>
  <c r="AX155" i="1"/>
  <c r="BP155" i="1"/>
  <c r="O156" i="1"/>
  <c r="S156" i="1"/>
  <c r="AB156" i="1"/>
  <c r="AE156" i="1"/>
  <c r="AI156" i="1"/>
  <c r="AO156" i="1"/>
  <c r="AX156" i="1"/>
  <c r="BP156" i="1"/>
  <c r="O157" i="1"/>
  <c r="S157" i="1"/>
  <c r="AB157" i="1"/>
  <c r="AE157" i="1"/>
  <c r="AI157" i="1"/>
  <c r="AO157" i="1"/>
  <c r="AX157" i="1"/>
  <c r="BK157" i="1"/>
  <c r="BP157" i="1" s="1"/>
  <c r="O158" i="1"/>
  <c r="S158" i="1"/>
  <c r="AB158" i="1"/>
  <c r="AE158" i="1"/>
  <c r="AO158" i="1"/>
  <c r="AX158" i="1"/>
  <c r="BK158" i="1"/>
  <c r="BP158" i="1" s="1"/>
  <c r="O159" i="1"/>
  <c r="S159" i="1"/>
  <c r="AB159" i="1"/>
  <c r="AE159" i="1"/>
  <c r="AO159" i="1"/>
  <c r="AX159" i="1"/>
  <c r="BP159" i="1"/>
  <c r="O160" i="1"/>
  <c r="S160" i="1"/>
  <c r="AB160" i="1"/>
  <c r="AE160" i="1"/>
  <c r="AO160" i="1"/>
  <c r="AX160" i="1"/>
  <c r="BK160" i="1"/>
  <c r="BP160" i="1"/>
  <c r="O161" i="1"/>
  <c r="S161" i="1"/>
  <c r="AB161" i="1"/>
  <c r="AE161" i="1"/>
  <c r="AI161" i="1"/>
  <c r="AO161" i="1"/>
  <c r="AX161" i="1"/>
  <c r="BP161" i="1"/>
  <c r="O162" i="1"/>
  <c r="S162" i="1"/>
  <c r="AB162" i="1"/>
  <c r="AE162" i="1"/>
  <c r="AO162" i="1"/>
  <c r="AX162" i="1"/>
  <c r="BP162" i="1"/>
  <c r="O163" i="1"/>
  <c r="S163" i="1"/>
  <c r="AB163" i="1"/>
  <c r="AE163" i="1"/>
  <c r="AO163" i="1"/>
  <c r="AX163" i="1"/>
  <c r="BP163" i="1"/>
  <c r="O164" i="1"/>
  <c r="S164" i="1"/>
  <c r="AB164" i="1"/>
  <c r="AE164" i="1"/>
  <c r="AO164" i="1"/>
  <c r="AX164" i="1"/>
  <c r="BI164" i="1"/>
  <c r="BK164" i="1"/>
  <c r="O165" i="1"/>
  <c r="S165" i="1"/>
  <c r="AB165" i="1"/>
  <c r="AE165" i="1"/>
  <c r="AI165" i="1"/>
  <c r="AO165" i="1"/>
  <c r="AX165" i="1"/>
  <c r="BK165" i="1"/>
  <c r="BP165" i="1" s="1"/>
  <c r="O166" i="1"/>
  <c r="S166" i="1"/>
  <c r="AB166" i="1"/>
  <c r="AE166" i="1"/>
  <c r="AO166" i="1"/>
  <c r="AX166" i="1"/>
  <c r="BK166" i="1"/>
  <c r="BP166" i="1" s="1"/>
  <c r="O167" i="1"/>
  <c r="S167" i="1"/>
  <c r="AB167" i="1"/>
  <c r="AE167" i="1"/>
  <c r="AO167" i="1"/>
  <c r="AX167" i="1"/>
  <c r="BP167" i="1"/>
  <c r="O168" i="1"/>
  <c r="S168" i="1"/>
  <c r="AB168" i="1"/>
  <c r="AE168" i="1"/>
  <c r="AO168" i="1"/>
  <c r="AX168" i="1"/>
  <c r="BP168" i="1"/>
  <c r="O169" i="1"/>
  <c r="S169" i="1"/>
  <c r="AB169" i="1"/>
  <c r="AE169" i="1"/>
  <c r="AO169" i="1"/>
  <c r="AX169" i="1"/>
  <c r="BK169" i="1"/>
  <c r="BP169" i="1" s="1"/>
  <c r="O170" i="1"/>
  <c r="S170" i="1"/>
  <c r="AB170" i="1"/>
  <c r="AE170" i="1"/>
  <c r="AO170" i="1"/>
  <c r="AX170" i="1"/>
  <c r="BP170" i="1"/>
  <c r="O171" i="1"/>
  <c r="S171" i="1"/>
  <c r="AB171" i="1"/>
  <c r="AE171" i="1"/>
  <c r="AO171" i="1"/>
  <c r="AX171" i="1"/>
  <c r="BK171" i="1"/>
  <c r="BP171" i="1"/>
  <c r="O172" i="1"/>
  <c r="S172" i="1"/>
  <c r="AB172" i="1"/>
  <c r="AE172" i="1"/>
  <c r="AO172" i="1"/>
  <c r="AX172" i="1"/>
  <c r="BK172" i="1"/>
  <c r="BP172" i="1"/>
  <c r="O173" i="1"/>
  <c r="S173" i="1"/>
  <c r="AB173" i="1"/>
  <c r="AE173" i="1"/>
  <c r="AO173" i="1"/>
  <c r="AX173" i="1"/>
  <c r="BK173" i="1"/>
  <c r="BP173" i="1"/>
  <c r="O174" i="1"/>
  <c r="S174" i="1"/>
  <c r="AB174" i="1"/>
  <c r="AE174" i="1"/>
  <c r="AO174" i="1"/>
  <c r="AX174" i="1"/>
  <c r="BP174" i="1"/>
  <c r="O175" i="1"/>
  <c r="S175" i="1"/>
  <c r="AB175" i="1"/>
  <c r="AE175" i="1"/>
  <c r="AO175" i="1"/>
  <c r="AX175" i="1"/>
  <c r="BP175" i="1"/>
  <c r="O176" i="1"/>
  <c r="S176" i="1"/>
  <c r="AB176" i="1"/>
  <c r="AE176" i="1"/>
  <c r="AO176" i="1"/>
  <c r="AX176" i="1"/>
  <c r="BK176" i="1"/>
  <c r="BP176" i="1"/>
  <c r="O177" i="1"/>
  <c r="S177" i="1"/>
  <c r="AB177" i="1"/>
  <c r="AE177" i="1"/>
  <c r="AO177" i="1"/>
  <c r="AX177" i="1"/>
  <c r="BP177" i="1"/>
  <c r="O178" i="1"/>
  <c r="S178" i="1"/>
  <c r="AB178" i="1"/>
  <c r="AE178" i="1"/>
  <c r="AI178" i="1"/>
  <c r="AO178" i="1"/>
  <c r="AX178" i="1"/>
  <c r="AY178" i="1"/>
  <c r="AY9" i="1"/>
  <c r="BP178" i="1"/>
  <c r="O179" i="1"/>
  <c r="S179" i="1"/>
  <c r="AB179" i="1"/>
  <c r="AE179" i="1"/>
  <c r="AO179" i="1"/>
  <c r="AX179" i="1"/>
  <c r="BK179" i="1"/>
  <c r="BP179" i="1" s="1"/>
  <c r="O180" i="1"/>
  <c r="S180" i="1"/>
  <c r="AB180" i="1"/>
  <c r="AE180" i="1"/>
  <c r="AI180" i="1"/>
  <c r="AO180" i="1"/>
  <c r="AX180" i="1"/>
  <c r="BP180" i="1"/>
  <c r="O181" i="1"/>
  <c r="S181" i="1"/>
  <c r="AB181" i="1"/>
  <c r="AO181" i="1"/>
  <c r="AX181" i="1"/>
  <c r="BK181" i="1"/>
  <c r="BP181" i="1"/>
  <c r="O182" i="1"/>
  <c r="S182" i="1"/>
  <c r="AB182" i="1"/>
  <c r="AE182" i="1"/>
  <c r="AI182" i="1"/>
  <c r="AO182" i="1"/>
  <c r="AX182" i="1"/>
  <c r="BK182" i="1"/>
  <c r="BP182" i="1" s="1"/>
  <c r="O183" i="1"/>
  <c r="S183" i="1"/>
  <c r="AB183" i="1"/>
  <c r="AE183" i="1"/>
  <c r="AO183" i="1"/>
  <c r="AX183" i="1"/>
  <c r="BK183" i="1"/>
  <c r="BP183" i="1" s="1"/>
  <c r="O184" i="1"/>
  <c r="S184" i="1"/>
  <c r="AB184" i="1"/>
  <c r="AE184" i="1"/>
  <c r="AI184" i="1"/>
  <c r="AO184" i="1"/>
  <c r="AX184" i="1"/>
  <c r="BK184" i="1"/>
  <c r="BP184" i="1"/>
  <c r="O185" i="1"/>
  <c r="S185" i="1"/>
  <c r="AB185" i="1"/>
  <c r="AE185" i="1"/>
  <c r="AI185" i="1"/>
  <c r="AO185" i="1"/>
  <c r="AX185" i="1"/>
  <c r="BK185" i="1"/>
  <c r="BP185" i="1" s="1"/>
  <c r="O186" i="1"/>
  <c r="S186" i="1"/>
  <c r="AB186" i="1"/>
  <c r="AE186" i="1"/>
  <c r="AO186" i="1"/>
  <c r="AX186" i="1"/>
  <c r="BK186" i="1"/>
  <c r="BP186" i="1" s="1"/>
  <c r="O187" i="1"/>
  <c r="S187" i="1"/>
  <c r="AB187" i="1"/>
  <c r="AE187" i="1"/>
  <c r="AI187" i="1"/>
  <c r="AO187" i="1"/>
  <c r="AX187" i="1"/>
  <c r="BP187" i="1"/>
  <c r="O188" i="1"/>
  <c r="S188" i="1"/>
  <c r="AB188" i="1"/>
  <c r="AE188" i="1"/>
  <c r="AO188" i="1"/>
  <c r="AX188" i="1"/>
  <c r="BK188" i="1"/>
  <c r="BP188" i="1" s="1"/>
  <c r="O189" i="1"/>
  <c r="S189" i="1"/>
  <c r="AB189" i="1"/>
  <c r="AE189" i="1"/>
  <c r="AO189" i="1"/>
  <c r="AX189" i="1"/>
  <c r="BP189" i="1"/>
  <c r="O190" i="1"/>
  <c r="S190" i="1"/>
  <c r="AB190" i="1"/>
  <c r="AE190" i="1"/>
  <c r="AI190" i="1"/>
  <c r="AO190" i="1"/>
  <c r="AX190" i="1"/>
  <c r="BN190" i="1"/>
  <c r="BP190" i="1" s="1"/>
  <c r="O191" i="1"/>
  <c r="S191" i="1"/>
  <c r="AB191" i="1"/>
  <c r="AE191" i="1"/>
  <c r="AO191" i="1"/>
  <c r="AX191" i="1"/>
  <c r="BK191" i="1"/>
  <c r="BP191" i="1" s="1"/>
  <c r="O192" i="1"/>
  <c r="S192" i="1"/>
  <c r="AB192" i="1"/>
  <c r="AE192" i="1"/>
  <c r="AI192" i="1"/>
  <c r="AO192" i="1"/>
  <c r="AX192" i="1"/>
  <c r="BK192" i="1"/>
  <c r="BP192" i="1"/>
  <c r="O193" i="1"/>
  <c r="S193" i="1"/>
  <c r="AB193" i="1"/>
  <c r="AE193" i="1"/>
  <c r="AI193" i="1"/>
  <c r="AO193" i="1"/>
  <c r="AX193" i="1"/>
  <c r="BK193" i="1"/>
  <c r="BP193" i="1" s="1"/>
  <c r="O194" i="1"/>
  <c r="S194" i="1"/>
  <c r="AB194" i="1"/>
  <c r="AE194" i="1"/>
  <c r="AO194" i="1"/>
  <c r="AX194" i="1"/>
  <c r="BK194" i="1"/>
  <c r="BP194" i="1" s="1"/>
  <c r="O195" i="1"/>
  <c r="S195" i="1"/>
  <c r="AB195" i="1"/>
  <c r="AE195" i="1"/>
  <c r="AI195" i="1"/>
  <c r="AO195" i="1"/>
  <c r="AX195" i="1"/>
  <c r="BP195" i="1"/>
  <c r="BP164" i="1"/>
  <c r="BP144" i="1"/>
  <c r="AA9" i="1"/>
  <c r="AO9" i="1"/>
  <c r="O9" i="1"/>
  <c r="BI9" i="1"/>
  <c r="AI9" i="1"/>
  <c r="S9" i="1"/>
  <c r="BI10" i="1"/>
  <c r="BG10" i="1"/>
  <c r="AY10" i="1"/>
  <c r="S10" i="1"/>
  <c r="BN9" i="1"/>
  <c r="BP22" i="1"/>
  <c r="AO10" i="1"/>
  <c r="AE10" i="1"/>
  <c r="J10" i="1"/>
  <c r="BP18" i="1" l="1"/>
  <c r="BH9" i="1"/>
  <c r="BK10" i="1"/>
  <c r="BP33" i="1"/>
  <c r="BP10" i="1" l="1"/>
  <c r="BP9" i="1"/>
</calcChain>
</file>

<file path=xl/sharedStrings.xml><?xml version="1.0" encoding="utf-8"?>
<sst xmlns="http://schemas.openxmlformats.org/spreadsheetml/2006/main" count="1517" uniqueCount="860">
  <si>
    <t/>
  </si>
  <si>
    <t xml:space="preserve">            EMPLOYEE EXPENSES</t>
  </si>
  <si>
    <t xml:space="preserve">        SECURED </t>
  </si>
  <si>
    <t xml:space="preserve"> CHAPTER  13  STANDING TRUSTEE</t>
  </si>
  <si>
    <t xml:space="preserve"> Marion</t>
  </si>
  <si>
    <t xml:space="preserve"> PYMTS</t>
  </si>
  <si>
    <t>#CASES</t>
  </si>
  <si>
    <t>$ FEES</t>
  </si>
  <si>
    <t>% EXP.</t>
  </si>
  <si>
    <t>(b)/(a)</t>
  </si>
  <si>
    <t>(NON-UST)</t>
  </si>
  <si>
    <t>(optional)</t>
  </si>
  <si>
    <t>(UST)</t>
  </si>
  <si>
    <t>_NBSTARTMACRO</t>
  </si>
  <si>
    <t>{FILESAVE}</t>
  </si>
  <si>
    <t>&gt; 60 MOS.</t>
  </si>
  <si>
    <t>0%</t>
  </si>
  <si>
    <t>1-39%</t>
  </si>
  <si>
    <t>1ST FIRST UNION NAT'L BK</t>
  </si>
  <si>
    <t>1st Tennessee Bank</t>
  </si>
  <si>
    <t>40%-69%</t>
  </si>
  <si>
    <t>503(b)</t>
  </si>
  <si>
    <t>70% or more</t>
  </si>
  <si>
    <t>Aberdeen</t>
  </si>
  <si>
    <t>ACCTG</t>
  </si>
  <si>
    <t>ACCUM.</t>
  </si>
  <si>
    <t>ACTIVE</t>
  </si>
  <si>
    <t>ACTUAL</t>
  </si>
  <si>
    <t>ADJUST.</t>
  </si>
  <si>
    <t>Aikman</t>
  </si>
  <si>
    <t>AK</t>
  </si>
  <si>
    <t>Akron</t>
  </si>
  <si>
    <t>Alaska</t>
  </si>
  <si>
    <t>Albany</t>
  </si>
  <si>
    <t>Albert</t>
  </si>
  <si>
    <t>Albuquerque</t>
  </si>
  <si>
    <t>Alexandria</t>
  </si>
  <si>
    <t>ALL OTHER</t>
  </si>
  <si>
    <t>ALLOC.\</t>
  </si>
  <si>
    <t>AMERICAN BK</t>
  </si>
  <si>
    <t>American National Bank</t>
  </si>
  <si>
    <t>Amherst</t>
  </si>
  <si>
    <t>Amrane</t>
  </si>
  <si>
    <t>Anabelle</t>
  </si>
  <si>
    <t>Anchorage</t>
  </si>
  <si>
    <t>Anderson</t>
  </si>
  <si>
    <t>Andrea</t>
  </si>
  <si>
    <t>Andres'</t>
  </si>
  <si>
    <t>Ann</t>
  </si>
  <si>
    <t>Annette</t>
  </si>
  <si>
    <t>Anthony</t>
  </si>
  <si>
    <t>APPLIED</t>
  </si>
  <si>
    <t>APPROVED</t>
  </si>
  <si>
    <t>APPT.</t>
  </si>
  <si>
    <t>AR</t>
  </si>
  <si>
    <t>Arizona</t>
  </si>
  <si>
    <t>Arkansas</t>
  </si>
  <si>
    <t>ARREARAGES</t>
  </si>
  <si>
    <t>Atlanta</t>
  </si>
  <si>
    <t>ATTY'S</t>
  </si>
  <si>
    <t>AUDIT</t>
  </si>
  <si>
    <t>Augusta</t>
  </si>
  <si>
    <t>Austin</t>
  </si>
  <si>
    <t>AVG % FEE</t>
  </si>
  <si>
    <t>AWARDS</t>
  </si>
  <si>
    <t>AZ</t>
  </si>
  <si>
    <t xml:space="preserve">Babin </t>
  </si>
  <si>
    <t>BALANCE</t>
  </si>
  <si>
    <t>Balboa</t>
  </si>
  <si>
    <t>Baltimore</t>
  </si>
  <si>
    <t>BANCO SANTANDER</t>
  </si>
  <si>
    <t>BANK OF AMERICA</t>
  </si>
  <si>
    <t>Bank of MS/Bankcorp South</t>
  </si>
  <si>
    <t>Bank of Oklahoma</t>
  </si>
  <si>
    <t>Bank One</t>
  </si>
  <si>
    <t>BANK ONE</t>
  </si>
  <si>
    <t>BANKS</t>
  </si>
  <si>
    <t>Banks, Jr.</t>
  </si>
  <si>
    <t>Barkley</t>
  </si>
  <si>
    <t>Barkley, Jr.</t>
  </si>
  <si>
    <t>Barnee</t>
  </si>
  <si>
    <t>Barnesville</t>
  </si>
  <si>
    <t>Baton Rouge</t>
  </si>
  <si>
    <t>Baxter</t>
  </si>
  <si>
    <t>BB&amp;T</t>
  </si>
  <si>
    <t>Beaulieu</t>
  </si>
  <si>
    <t>BEFORE ADJ.</t>
  </si>
  <si>
    <t>Bekofske</t>
  </si>
  <si>
    <t>Bell</t>
  </si>
  <si>
    <t>Belleville</t>
  </si>
  <si>
    <t>BENEFITS</t>
  </si>
  <si>
    <t>Benton</t>
  </si>
  <si>
    <t>Bernie</t>
  </si>
  <si>
    <t>Beverly</t>
  </si>
  <si>
    <t>Billingslea, Jr.</t>
  </si>
  <si>
    <t>BK OF AMERICA</t>
  </si>
  <si>
    <t>Black, Jr.</t>
  </si>
  <si>
    <t>Boise</t>
  </si>
  <si>
    <t>Bone</t>
  </si>
  <si>
    <t>Bonney</t>
  </si>
  <si>
    <t>BOOKKEEP/</t>
  </si>
  <si>
    <t>Borel Bank</t>
  </si>
  <si>
    <t>Boston</t>
  </si>
  <si>
    <t>Boudloche</t>
  </si>
  <si>
    <t>Bowers</t>
  </si>
  <si>
    <t>Bowie</t>
  </si>
  <si>
    <t>Boyajian</t>
  </si>
  <si>
    <t>Bracher</t>
  </si>
  <si>
    <t>Bradenton</t>
  </si>
  <si>
    <t>Branigan</t>
  </si>
  <si>
    <t>Brett</t>
  </si>
  <si>
    <t>Bristol</t>
  </si>
  <si>
    <t>BROKEN OUT</t>
  </si>
  <si>
    <t>Bronitsky</t>
  </si>
  <si>
    <t>Brothers</t>
  </si>
  <si>
    <t>Brown</t>
  </si>
  <si>
    <t>Brunner</t>
  </si>
  <si>
    <t>Brunswick</t>
  </si>
  <si>
    <t>Buffalo</t>
  </si>
  <si>
    <t>Burchard, Jr.</t>
  </si>
  <si>
    <t>Burden</t>
  </si>
  <si>
    <t>Burks</t>
  </si>
  <si>
    <t xml:space="preserve">Burris </t>
  </si>
  <si>
    <t>C. Barry</t>
  </si>
  <si>
    <t>C. Kenneth</t>
  </si>
  <si>
    <t>CA</t>
  </si>
  <si>
    <t>CALC'D</t>
  </si>
  <si>
    <t>California</t>
  </si>
  <si>
    <t>Camille</t>
  </si>
  <si>
    <t>Campbell</t>
  </si>
  <si>
    <t xml:space="preserve">CANNOT BE </t>
  </si>
  <si>
    <t>Canton</t>
  </si>
  <si>
    <t>Capital City Bank</t>
  </si>
  <si>
    <t>Carl</t>
  </si>
  <si>
    <t>Carol</t>
  </si>
  <si>
    <t>CAROLINA FIRST</t>
  </si>
  <si>
    <t>Carrion</t>
  </si>
  <si>
    <t xml:space="preserve">Carroll </t>
  </si>
  <si>
    <t>CASES</t>
  </si>
  <si>
    <t>CASH TO</t>
  </si>
  <si>
    <t>Celli</t>
  </si>
  <si>
    <t>Centier Bank</t>
  </si>
  <si>
    <t>Central</t>
  </si>
  <si>
    <t>Chael</t>
  </si>
  <si>
    <t>Charles</t>
  </si>
  <si>
    <t>Charleston</t>
  </si>
  <si>
    <t>Charlottesville</t>
  </si>
  <si>
    <t xml:space="preserve">CHASE </t>
  </si>
  <si>
    <t>CHASE &amp; NBC</t>
  </si>
  <si>
    <t>CHASE BANK</t>
  </si>
  <si>
    <t>Chattanooga</t>
  </si>
  <si>
    <t>Chatterton</t>
  </si>
  <si>
    <t>Cherry Hill</t>
  </si>
  <si>
    <t>Cheyenne</t>
  </si>
  <si>
    <t>Chicago</t>
  </si>
  <si>
    <t>CHILD PMTS</t>
  </si>
  <si>
    <t>CHILD SUPPORT</t>
  </si>
  <si>
    <t>Cincinnati</t>
  </si>
  <si>
    <t>Cindy</t>
  </si>
  <si>
    <t>CITIBANK</t>
  </si>
  <si>
    <t>Citizens Bank</t>
  </si>
  <si>
    <t>CITY</t>
  </si>
  <si>
    <t>CLAIMS</t>
  </si>
  <si>
    <t>Clark</t>
  </si>
  <si>
    <t>Cleveland</t>
  </si>
  <si>
    <t>CLOSED</t>
  </si>
  <si>
    <t>CLOSURE OF</t>
  </si>
  <si>
    <t>CO</t>
  </si>
  <si>
    <t>Coeur d'Alene</t>
  </si>
  <si>
    <t>Cohen</t>
  </si>
  <si>
    <t>Colorado</t>
  </si>
  <si>
    <t>Columbia</t>
  </si>
  <si>
    <t>Columbus</t>
  </si>
  <si>
    <t>Comerica Bank</t>
  </si>
  <si>
    <t>COMPLETE</t>
  </si>
  <si>
    <t>COMP'N</t>
  </si>
  <si>
    <t>Compton</t>
  </si>
  <si>
    <t>COMPUTER</t>
  </si>
  <si>
    <t>CON-</t>
  </si>
  <si>
    <t>Connecticut</t>
  </si>
  <si>
    <t>Connelly</t>
  </si>
  <si>
    <t>CONSTR.</t>
  </si>
  <si>
    <t>CONTRIBUTION</t>
  </si>
  <si>
    <t>CONVERT.</t>
  </si>
  <si>
    <t>Coop</t>
  </si>
  <si>
    <t>Corpus Christi</t>
  </si>
  <si>
    <t>Cosby</t>
  </si>
  <si>
    <t>Countryman</t>
  </si>
  <si>
    <t>Crawford</t>
  </si>
  <si>
    <t>CRED'R</t>
  </si>
  <si>
    <t>CT</t>
  </si>
  <si>
    <t>Curry</t>
  </si>
  <si>
    <t>Cynthia</t>
  </si>
  <si>
    <t>Dale</t>
  </si>
  <si>
    <t>Dallas</t>
  </si>
  <si>
    <t>Daniel</t>
  </si>
  <si>
    <t>Danielson</t>
  </si>
  <si>
    <t>David</t>
  </si>
  <si>
    <t>Davidson</t>
  </si>
  <si>
    <t>Davis</t>
  </si>
  <si>
    <t>DC</t>
  </si>
  <si>
    <t>DE</t>
  </si>
  <si>
    <t>Debra</t>
  </si>
  <si>
    <t xml:space="preserve">DEBT </t>
  </si>
  <si>
    <t>DEBTOR</t>
  </si>
  <si>
    <t>Decker</t>
  </si>
  <si>
    <t>DEDUCT.</t>
  </si>
  <si>
    <t>DEFICIT</t>
  </si>
  <si>
    <t>DeHart, III</t>
  </si>
  <si>
    <t xml:space="preserve">DeLaney </t>
  </si>
  <si>
    <t>Delaware</t>
  </si>
  <si>
    <t>Denise</t>
  </si>
  <si>
    <t>Denver</t>
  </si>
  <si>
    <t>Derham-Burk</t>
  </si>
  <si>
    <t>DeRosa</t>
  </si>
  <si>
    <t>Des Moines</t>
  </si>
  <si>
    <t>Detroit</t>
  </si>
  <si>
    <t>Devin</t>
  </si>
  <si>
    <t>Dianne</t>
  </si>
  <si>
    <t>Diaz</t>
  </si>
  <si>
    <t>DiSalle</t>
  </si>
  <si>
    <t>DISBURS</t>
  </si>
  <si>
    <t>DISBURSE-</t>
  </si>
  <si>
    <t>DISBURSE.</t>
  </si>
  <si>
    <t>DISCHARGE</t>
  </si>
  <si>
    <t>DISMISS.</t>
  </si>
  <si>
    <t>DISTRICT</t>
  </si>
  <si>
    <t>District of Columbia</t>
  </si>
  <si>
    <t>Donald</t>
  </si>
  <si>
    <t>Doreen</t>
  </si>
  <si>
    <t>Dowell</t>
  </si>
  <si>
    <t xml:space="preserve">Drewes </t>
  </si>
  <si>
    <t>Drummond</t>
  </si>
  <si>
    <t>Dunbar</t>
  </si>
  <si>
    <t>Eastern</t>
  </si>
  <si>
    <t>Eastern and Western</t>
  </si>
  <si>
    <t>Eck</t>
  </si>
  <si>
    <t>Edgar County Bank &amp; Trust</t>
  </si>
  <si>
    <t>EDUCATION</t>
  </si>
  <si>
    <t>Edward</t>
  </si>
  <si>
    <t>Edwina</t>
  </si>
  <si>
    <t>El Paso</t>
  </si>
  <si>
    <t>Elizabeth</t>
  </si>
  <si>
    <t>Ellen</t>
  </si>
  <si>
    <t>Emerson, Jr.</t>
  </si>
  <si>
    <t>EMPLOYER</t>
  </si>
  <si>
    <t>END FY02</t>
  </si>
  <si>
    <t>ENDING</t>
  </si>
  <si>
    <t>Englewood</t>
  </si>
  <si>
    <t>Enmark</t>
  </si>
  <si>
    <t>EQUIP/</t>
  </si>
  <si>
    <t>Eugene</t>
  </si>
  <si>
    <t>Evansville</t>
  </si>
  <si>
    <t>EXCESS</t>
  </si>
  <si>
    <t xml:space="preserve">EXP. FUND </t>
  </si>
  <si>
    <t>EXPENSE</t>
  </si>
  <si>
    <t>EXPENSES</t>
  </si>
  <si>
    <t>Fairfield</t>
  </si>
  <si>
    <t>Fairway</t>
  </si>
  <si>
    <t>Fargo</t>
  </si>
  <si>
    <t>FARMERS &amp; MERCHANTS ST BK</t>
  </si>
  <si>
    <t>Farrell</t>
  </si>
  <si>
    <t>Fessenden</t>
  </si>
  <si>
    <t>Fifth Third Bank</t>
  </si>
  <si>
    <t>FILED</t>
  </si>
  <si>
    <t>Fink</t>
  </si>
  <si>
    <t>First Bank</t>
  </si>
  <si>
    <t>FIRST NAME</t>
  </si>
  <si>
    <t>FIRST UNION</t>
  </si>
  <si>
    <t>FIRST UNION NAT'L BK</t>
  </si>
  <si>
    <t>FIRSTAR</t>
  </si>
  <si>
    <t>Fitzgerald, K.M.</t>
  </si>
  <si>
    <t xml:space="preserve">Fitzgerald, L.D. </t>
  </si>
  <si>
    <t>FL</t>
  </si>
  <si>
    <t>Flint</t>
  </si>
  <si>
    <t>Florida</t>
  </si>
  <si>
    <t>Forsythe</t>
  </si>
  <si>
    <t>Fort Wayne</t>
  </si>
  <si>
    <t>Fort Worth</t>
  </si>
  <si>
    <t>Foster City</t>
  </si>
  <si>
    <t>Frank</t>
  </si>
  <si>
    <t>Fred</t>
  </si>
  <si>
    <t>Frederick</t>
  </si>
  <si>
    <t>Fresno</t>
  </si>
  <si>
    <t>FROST NAT'L BK</t>
  </si>
  <si>
    <t>FROST/1ST NATL</t>
  </si>
  <si>
    <t>Ft. Lauderdale</t>
  </si>
  <si>
    <t>FULTON BANK</t>
  </si>
  <si>
    <t>FURN</t>
  </si>
  <si>
    <t>FY  2002  AUDITED ANNUAL REPORTS</t>
  </si>
  <si>
    <t>GA</t>
  </si>
  <si>
    <t>Gallo</t>
  </si>
  <si>
    <t>Garden City</t>
  </si>
  <si>
    <t>Gary</t>
  </si>
  <si>
    <t>Geekie</t>
  </si>
  <si>
    <t>Gelberg</t>
  </si>
  <si>
    <t>George</t>
  </si>
  <si>
    <t>Georgia</t>
  </si>
  <si>
    <t>Gerald</t>
  </si>
  <si>
    <t>Germeraad</t>
  </si>
  <si>
    <t>Glen Burnie</t>
  </si>
  <si>
    <t>Glenn</t>
  </si>
  <si>
    <t xml:space="preserve">Goldberger </t>
  </si>
  <si>
    <t xml:space="preserve">Goldman </t>
  </si>
  <si>
    <t>Goodwin</t>
  </si>
  <si>
    <t>Grand Rapids</t>
  </si>
  <si>
    <t>Great Falls</t>
  </si>
  <si>
    <t>GREAT FALLS BK</t>
  </si>
  <si>
    <t>GREAT WESTERN BK</t>
  </si>
  <si>
    <t>Greenbelt</t>
  </si>
  <si>
    <t>Greenville</t>
  </si>
  <si>
    <t>Greer</t>
  </si>
  <si>
    <t>Griffin</t>
  </si>
  <si>
    <t>Grigsby Seven Months</t>
  </si>
  <si>
    <t>Gross</t>
  </si>
  <si>
    <t>GROSS</t>
  </si>
  <si>
    <t>Gulfport</t>
  </si>
  <si>
    <t>Gwendolyn</t>
  </si>
  <si>
    <t>H. Michael</t>
  </si>
  <si>
    <t>Hamilton</t>
  </si>
  <si>
    <t>Hamlin</t>
  </si>
  <si>
    <t>Hancock Bank</t>
  </si>
  <si>
    <t>Hardeman</t>
  </si>
  <si>
    <t>HARDSHIP</t>
  </si>
  <si>
    <t>Harold</t>
  </si>
  <si>
    <t>Hart</t>
  </si>
  <si>
    <t>Hartford</t>
  </si>
  <si>
    <t>Hattiesburg</t>
  </si>
  <si>
    <t>Hawaii</t>
  </si>
  <si>
    <t>HAWAII NATIONAL BK; FIRST HAWAIIAN BK</t>
  </si>
  <si>
    <t>Hayward</t>
  </si>
  <si>
    <t>Heitkamp</t>
  </si>
  <si>
    <t>Helen</t>
  </si>
  <si>
    <t>Hendren, Jr.</t>
  </si>
  <si>
    <t>Henley, Jr.</t>
  </si>
  <si>
    <t>Henry</t>
  </si>
  <si>
    <t>Heritage Bank of Commerce</t>
  </si>
  <si>
    <t>Herkert</t>
  </si>
  <si>
    <t>HI</t>
  </si>
  <si>
    <t>Hialeah</t>
  </si>
  <si>
    <t>Hildebrand, III</t>
  </si>
  <si>
    <t>Holub</t>
  </si>
  <si>
    <t>Honolulu</t>
  </si>
  <si>
    <t>Hope</t>
  </si>
  <si>
    <t>Horizon Bank</t>
  </si>
  <si>
    <t>Houston</t>
  </si>
  <si>
    <t>Howard</t>
  </si>
  <si>
    <t>Howe</t>
  </si>
  <si>
    <t>Hu</t>
  </si>
  <si>
    <t>HUDSON VALLEY NT'S BK</t>
  </si>
  <si>
    <t>Hummelstown</t>
  </si>
  <si>
    <t>Huntington</t>
  </si>
  <si>
    <t>Huntington National Bank</t>
  </si>
  <si>
    <t>Hyman</t>
  </si>
  <si>
    <t>I(a)</t>
  </si>
  <si>
    <t>I(e)</t>
  </si>
  <si>
    <t>IA</t>
  </si>
  <si>
    <t>ID</t>
  </si>
  <si>
    <t>Idaho</t>
  </si>
  <si>
    <t>II(c)</t>
  </si>
  <si>
    <t>III(a)(1)</t>
  </si>
  <si>
    <t>III(a)(2)</t>
  </si>
  <si>
    <t>III(a)(3)</t>
  </si>
  <si>
    <t>III(a)(4)</t>
  </si>
  <si>
    <t>III(b)(1)</t>
  </si>
  <si>
    <t>III(b)(2)</t>
  </si>
  <si>
    <t>III(b)(3)</t>
  </si>
  <si>
    <t>III(c)</t>
  </si>
  <si>
    <t>III(d)</t>
  </si>
  <si>
    <t>III(i)(i)</t>
  </si>
  <si>
    <t>III(i)(ii)</t>
  </si>
  <si>
    <t>III(j)</t>
  </si>
  <si>
    <t>IL</t>
  </si>
  <si>
    <t>Illinois</t>
  </si>
  <si>
    <t>IN</t>
  </si>
  <si>
    <t>IN EXCESS</t>
  </si>
  <si>
    <t>Indiana</t>
  </si>
  <si>
    <t>Indianapolis</t>
  </si>
  <si>
    <t>INSURANCE</t>
  </si>
  <si>
    <t>Integra</t>
  </si>
  <si>
    <t>INTEREST</t>
  </si>
  <si>
    <t>Iowa</t>
  </si>
  <si>
    <t>Isabel</t>
  </si>
  <si>
    <t>Ivy</t>
  </si>
  <si>
    <t>IX(c)(ii)</t>
  </si>
  <si>
    <t>IX(d)+IX(e)</t>
  </si>
  <si>
    <t>J.C.</t>
  </si>
  <si>
    <t>J.P. Morgan Chase/First American</t>
  </si>
  <si>
    <t>Jackson</t>
  </si>
  <si>
    <t>Jacksonville</t>
  </si>
  <si>
    <t>James</t>
  </si>
  <si>
    <t>Jan</t>
  </si>
  <si>
    <t>Janna</t>
  </si>
  <si>
    <t>Jasmine</t>
  </si>
  <si>
    <t>Jeffrey</t>
  </si>
  <si>
    <t>Jerome</t>
  </si>
  <si>
    <t>Jo</t>
  </si>
  <si>
    <t>JoAnn</t>
  </si>
  <si>
    <t>Joel</t>
  </si>
  <si>
    <t>John</t>
  </si>
  <si>
    <t>Johnson</t>
  </si>
  <si>
    <t xml:space="preserve">Johnson </t>
  </si>
  <si>
    <t>Jones</t>
  </si>
  <si>
    <t>Jose</t>
  </si>
  <si>
    <t>Joseph</t>
  </si>
  <si>
    <t>Joy</t>
  </si>
  <si>
    <t>Joyce</t>
  </si>
  <si>
    <t>K. Michael</t>
  </si>
  <si>
    <t>Kalamazoo</t>
  </si>
  <si>
    <t>Kansas</t>
  </si>
  <si>
    <t>Kansas City</t>
  </si>
  <si>
    <t>Karla</t>
  </si>
  <si>
    <t>Kathleen</t>
  </si>
  <si>
    <t>Kearney</t>
  </si>
  <si>
    <t>Keith</t>
  </si>
  <si>
    <t>Keller</t>
  </si>
  <si>
    <t>Kelley</t>
  </si>
  <si>
    <t xml:space="preserve">Kellner </t>
  </si>
  <si>
    <t>Kentucky</t>
  </si>
  <si>
    <t>Kerney</t>
  </si>
  <si>
    <t>Kerns</t>
  </si>
  <si>
    <t>Kevin</t>
  </si>
  <si>
    <t>KEY BK OF IDAHO</t>
  </si>
  <si>
    <t>King</t>
  </si>
  <si>
    <t>Knoxville</t>
  </si>
  <si>
    <t>Krispen</t>
  </si>
  <si>
    <t>Kristen</t>
  </si>
  <si>
    <t>Krommenhoek</t>
  </si>
  <si>
    <t>KS</t>
  </si>
  <si>
    <t>KY</t>
  </si>
  <si>
    <t>L.D.</t>
  </si>
  <si>
    <t>LA</t>
  </si>
  <si>
    <t>LaBarge, Jr.</t>
  </si>
  <si>
    <t>Lackey - Five Months</t>
  </si>
  <si>
    <t>Lafayette</t>
  </si>
  <si>
    <t>Laporte</t>
  </si>
  <si>
    <t>Larry</t>
  </si>
  <si>
    <t>Las Vegas</t>
  </si>
  <si>
    <t>LASALLE NAT'L</t>
  </si>
  <si>
    <t>LAST NAME</t>
  </si>
  <si>
    <t>Laughlin</t>
  </si>
  <si>
    <t>Laurel</t>
  </si>
  <si>
    <t>Laurie</t>
  </si>
  <si>
    <t>Lawrence</t>
  </si>
  <si>
    <t>Leigh</t>
  </si>
  <si>
    <t>Lexington</t>
  </si>
  <si>
    <t>Lisle</t>
  </si>
  <si>
    <t>Little Rock</t>
  </si>
  <si>
    <t>Locke</t>
  </si>
  <si>
    <t>Loheit</t>
  </si>
  <si>
    <t>Long</t>
  </si>
  <si>
    <t>Lonnie</t>
  </si>
  <si>
    <t>Lopez/Oliveras-Rivera</t>
  </si>
  <si>
    <t>Los Angeles</t>
  </si>
  <si>
    <t>Louis</t>
  </si>
  <si>
    <t>Louisiana</t>
  </si>
  <si>
    <t>Louisville</t>
  </si>
  <si>
    <t>Lubbock</t>
  </si>
  <si>
    <t>LUBBOCK NATL BK</t>
  </si>
  <si>
    <t>Lydia</t>
  </si>
  <si>
    <t>M. Nelson</t>
  </si>
  <si>
    <t>M. Terre</t>
  </si>
  <si>
    <t>MA</t>
  </si>
  <si>
    <t>Macco</t>
  </si>
  <si>
    <t>Macon</t>
  </si>
  <si>
    <t>Madison</t>
  </si>
  <si>
    <t>Maine</t>
  </si>
  <si>
    <t>Maine Bank &amp; Trust</t>
  </si>
  <si>
    <t>Mamie</t>
  </si>
  <si>
    <t>Manasquan</t>
  </si>
  <si>
    <t>Margaret</t>
  </si>
  <si>
    <t>Marianne</t>
  </si>
  <si>
    <t>Marilyn</t>
  </si>
  <si>
    <t>Mark</t>
  </si>
  <si>
    <t xml:space="preserve">Marshall </t>
  </si>
  <si>
    <t>Martha</t>
  </si>
  <si>
    <t>Mary</t>
  </si>
  <si>
    <t>Maryland</t>
  </si>
  <si>
    <t>Massachusetts</t>
  </si>
  <si>
    <t>McDonald</t>
  </si>
  <si>
    <t>McDonald, Jr.</t>
  </si>
  <si>
    <t>McRoberts</t>
  </si>
  <si>
    <t>MD</t>
  </si>
  <si>
    <t>ME</t>
  </si>
  <si>
    <t>Mellon 1st Business Bank</t>
  </si>
  <si>
    <t>Mellon Bank</t>
  </si>
  <si>
    <t>Memphis</t>
  </si>
  <si>
    <t>MENTS</t>
  </si>
  <si>
    <t>Merrillville</t>
  </si>
  <si>
    <t>Metairie</t>
  </si>
  <si>
    <t>METROPOLITAN NTL BK</t>
  </si>
  <si>
    <t>Meyer</t>
  </si>
  <si>
    <t>MI</t>
  </si>
  <si>
    <t>Michael</t>
  </si>
  <si>
    <t>Michigan</t>
  </si>
  <si>
    <t>Michigan City</t>
  </si>
  <si>
    <t>Middle</t>
  </si>
  <si>
    <t>Midland</t>
  </si>
  <si>
    <t>Miller</t>
  </si>
  <si>
    <t>Milwaukee</t>
  </si>
  <si>
    <t>Mineola</t>
  </si>
  <si>
    <t>Minneapolis</t>
  </si>
  <si>
    <t>Minnesota</t>
  </si>
  <si>
    <t>MIS-</t>
  </si>
  <si>
    <t>Mishler</t>
  </si>
  <si>
    <t>Mississippi</t>
  </si>
  <si>
    <t>Missouri</t>
  </si>
  <si>
    <t>MN</t>
  </si>
  <si>
    <t>MO</t>
  </si>
  <si>
    <t>Modesto</t>
  </si>
  <si>
    <t>Mogavero</t>
  </si>
  <si>
    <t>Molly</t>
  </si>
  <si>
    <t>Montana</t>
  </si>
  <si>
    <t>Morris</t>
  </si>
  <si>
    <t>MORTGAGE</t>
  </si>
  <si>
    <t>MORTGAGE/</t>
  </si>
  <si>
    <t>MS</t>
  </si>
  <si>
    <t>MT</t>
  </si>
  <si>
    <t>Musgrave, II</t>
  </si>
  <si>
    <t>Muskogee</t>
  </si>
  <si>
    <t>Myron</t>
  </si>
  <si>
    <t>N.A.</t>
  </si>
  <si>
    <t>NA</t>
  </si>
  <si>
    <t>NAMES OF</t>
  </si>
  <si>
    <t>Nancy</t>
  </si>
  <si>
    <t>Nashville</t>
  </si>
  <si>
    <t>NATIONAL AVGS.</t>
  </si>
  <si>
    <t>National Bank of Petersburg</t>
  </si>
  <si>
    <t>NATIONAL BK</t>
  </si>
  <si>
    <t>National City Bank</t>
  </si>
  <si>
    <t>NATIONAL TOTALS</t>
  </si>
  <si>
    <t>NBC</t>
  </si>
  <si>
    <t>NBC/AmSouth</t>
  </si>
  <si>
    <t>ND</t>
  </si>
  <si>
    <t>NE</t>
  </si>
  <si>
    <t>Neal</t>
  </si>
  <si>
    <t>Nebraska</t>
  </si>
  <si>
    <t>Nevada</t>
  </si>
  <si>
    <t>NEW</t>
  </si>
  <si>
    <t>New Hampshire</t>
  </si>
  <si>
    <t>New Jersey</t>
  </si>
  <si>
    <t>New Mexico</t>
  </si>
  <si>
    <t>New York</t>
  </si>
  <si>
    <t>NH</t>
  </si>
  <si>
    <t>Niklas</t>
  </si>
  <si>
    <t>NJ</t>
  </si>
  <si>
    <t>NM</t>
  </si>
  <si>
    <t>NO</t>
  </si>
  <si>
    <t>NON-FEE</t>
  </si>
  <si>
    <t>North Dakota and Minnesota</t>
  </si>
  <si>
    <t>North Little Rock</t>
  </si>
  <si>
    <t>Northern</t>
  </si>
  <si>
    <t>Northern and Southern</t>
  </si>
  <si>
    <t>NORTHRIM BK</t>
  </si>
  <si>
    <t>Norwood</t>
  </si>
  <si>
    <t>NOTICING</t>
  </si>
  <si>
    <t>NV</t>
  </si>
  <si>
    <t>NY</t>
  </si>
  <si>
    <t>OCEAN FIRST BK</t>
  </si>
  <si>
    <t>O'Cheskey</t>
  </si>
  <si>
    <t>O'Connell</t>
  </si>
  <si>
    <t>O'Donnell</t>
  </si>
  <si>
    <t>OF 17%</t>
  </si>
  <si>
    <t>OFFICE</t>
  </si>
  <si>
    <t>OH</t>
  </si>
  <si>
    <t>Ohio</t>
  </si>
  <si>
    <t>OK</t>
  </si>
  <si>
    <t>Oklahoma</t>
  </si>
  <si>
    <t>Oklahoma City</t>
  </si>
  <si>
    <t>Olson</t>
  </si>
  <si>
    <t>Omaha</t>
  </si>
  <si>
    <t xml:space="preserve">ONGOING </t>
  </si>
  <si>
    <t>OPER.</t>
  </si>
  <si>
    <t>OR</t>
  </si>
  <si>
    <t>or IX(f)</t>
  </si>
  <si>
    <t>Orange</t>
  </si>
  <si>
    <t>Oregon</t>
  </si>
  <si>
    <t>Orlando</t>
  </si>
  <si>
    <t>Oshkosh</t>
  </si>
  <si>
    <t>OTHER</t>
  </si>
  <si>
    <t>PA</t>
  </si>
  <si>
    <t>Pappalardo</t>
  </si>
  <si>
    <t>Paris</t>
  </si>
  <si>
    <t>Parrish</t>
  </si>
  <si>
    <t>Paul</t>
  </si>
  <si>
    <t>PAYABLE</t>
  </si>
  <si>
    <t>PAYMENTS</t>
  </si>
  <si>
    <t>PAYOUT TO NONPRIORITY UNSECUREDS - CONVERT</t>
  </si>
  <si>
    <t>PAYOUT TO NONPRIORITY UNSECUREDS - DISMISS</t>
  </si>
  <si>
    <t>PAYOUT TO NONPRIORITY UNSECUREDS - PLAN COMPLETE</t>
  </si>
  <si>
    <t>Peake</t>
  </si>
  <si>
    <t>Pees</t>
  </si>
  <si>
    <t>Pendleton</t>
  </si>
  <si>
    <t>Pennsylvania</t>
  </si>
  <si>
    <t>Peoria</t>
  </si>
  <si>
    <t>Peter</t>
  </si>
  <si>
    <t>Petersburg</t>
  </si>
  <si>
    <t>Philadelphia</t>
  </si>
  <si>
    <t>Phoenix</t>
  </si>
  <si>
    <t>Phyllis</t>
  </si>
  <si>
    <t>Pittsburgh</t>
  </si>
  <si>
    <t>PLAN</t>
  </si>
  <si>
    <t>Plano</t>
  </si>
  <si>
    <t>PNC</t>
  </si>
  <si>
    <t>Pocatello</t>
  </si>
  <si>
    <t>Portland</t>
  </si>
  <si>
    <t>Portsmouth</t>
  </si>
  <si>
    <t>POSTAGE/</t>
  </si>
  <si>
    <t>Powers</t>
  </si>
  <si>
    <t>PR</t>
  </si>
  <si>
    <t>PRIORITY</t>
  </si>
  <si>
    <t>PRIORITY DEBT</t>
  </si>
  <si>
    <t>Providence</t>
  </si>
  <si>
    <t xml:space="preserve">Puerto Rico </t>
  </si>
  <si>
    <t>Puerto Rico &amp; Virgin Islands</t>
  </si>
  <si>
    <t>PURCHASE</t>
  </si>
  <si>
    <t>PYMTS.</t>
  </si>
  <si>
    <t>Rakozy</t>
  </si>
  <si>
    <t>Ralph</t>
  </si>
  <si>
    <t>Ramon</t>
  </si>
  <si>
    <t>RATIO</t>
  </si>
  <si>
    <t>Ray</t>
  </si>
  <si>
    <t>Raymond</t>
  </si>
  <si>
    <t>Reading</t>
  </si>
  <si>
    <t>Rebecca</t>
  </si>
  <si>
    <t>RECEIPTS</t>
  </si>
  <si>
    <t>REFUNDS</t>
  </si>
  <si>
    <t>REG</t>
  </si>
  <si>
    <t>Regina</t>
  </si>
  <si>
    <t>Reiber</t>
  </si>
  <si>
    <t>Reigle</t>
  </si>
  <si>
    <t>RELATE/</t>
  </si>
  <si>
    <t>RELATED</t>
  </si>
  <si>
    <t>Reno</t>
  </si>
  <si>
    <t>RENT AND</t>
  </si>
  <si>
    <t>RENTAL</t>
  </si>
  <si>
    <t>REOPEN.</t>
  </si>
  <si>
    <t>REOPENED</t>
  </si>
  <si>
    <t>Rhode Island</t>
  </si>
  <si>
    <t>RI</t>
  </si>
  <si>
    <t>Richard</t>
  </si>
  <si>
    <t>Richmond</t>
  </si>
  <si>
    <t>Rick</t>
  </si>
  <si>
    <t xml:space="preserve">Ridgway </t>
  </si>
  <si>
    <t>Riverside</t>
  </si>
  <si>
    <t>Roanoke</t>
  </si>
  <si>
    <t>Robert</t>
  </si>
  <si>
    <t>Robin</t>
  </si>
  <si>
    <t>Rochester</t>
  </si>
  <si>
    <t>Rock Island</t>
  </si>
  <si>
    <t>Rockford</t>
  </si>
  <si>
    <t>Rodgers</t>
  </si>
  <si>
    <t>Rodney</t>
  </si>
  <si>
    <t>Rodriguez</t>
  </si>
  <si>
    <t>Rojas</t>
  </si>
  <si>
    <t>Ronda</t>
  </si>
  <si>
    <t>Rosen</t>
  </si>
  <si>
    <t>Rosenthal</t>
  </si>
  <si>
    <t>Ruskin</t>
  </si>
  <si>
    <t>Russell</t>
  </si>
  <si>
    <t>Sacramento</t>
  </si>
  <si>
    <t>Saginaw</t>
  </si>
  <si>
    <t>SALARIES</t>
  </si>
  <si>
    <t>Sally</t>
  </si>
  <si>
    <t>Salt Lake City</t>
  </si>
  <si>
    <t>San Antonio</t>
  </si>
  <si>
    <t>San Diego</t>
  </si>
  <si>
    <t>San Juan</t>
  </si>
  <si>
    <t>Santa Rosa</t>
  </si>
  <si>
    <t>Santoro</t>
  </si>
  <si>
    <t>Sapir</t>
  </si>
  <si>
    <t>Savage (9 mos.)</t>
  </si>
  <si>
    <t>Savannah</t>
  </si>
  <si>
    <t>SC</t>
  </si>
  <si>
    <t>Scura</t>
  </si>
  <si>
    <t>SD</t>
  </si>
  <si>
    <t>Seattle</t>
  </si>
  <si>
    <t>SECURED</t>
  </si>
  <si>
    <t>SECURED DEBT</t>
  </si>
  <si>
    <t>Sensenich</t>
  </si>
  <si>
    <t>SERVICES</t>
  </si>
  <si>
    <t>Seymour</t>
  </si>
  <si>
    <t>Shreveport</t>
  </si>
  <si>
    <t>Simmons</t>
  </si>
  <si>
    <t>Skehen</t>
  </si>
  <si>
    <t>Skelton</t>
  </si>
  <si>
    <t>Smith (Kristin)</t>
  </si>
  <si>
    <t>Smith (Terry)</t>
  </si>
  <si>
    <t>Society Bank</t>
  </si>
  <si>
    <t>Solomon</t>
  </si>
  <si>
    <t>South Bend</t>
  </si>
  <si>
    <t>South Carolina</t>
  </si>
  <si>
    <t>South Dakota</t>
  </si>
  <si>
    <t>Southern</t>
  </si>
  <si>
    <t>Southfield</t>
  </si>
  <si>
    <t>SOUTHSIDE BK</t>
  </si>
  <si>
    <t>SOUTHTRUST</t>
  </si>
  <si>
    <t>Sparkman</t>
  </si>
  <si>
    <t>Spokane</t>
  </si>
  <si>
    <t>St. Louis</t>
  </si>
  <si>
    <t>Standard Federal</t>
  </si>
  <si>
    <t>START '02</t>
  </si>
  <si>
    <t>STATE</t>
  </si>
  <si>
    <t>STATE NATL BK</t>
  </si>
  <si>
    <t>Stearns</t>
  </si>
  <si>
    <t>Stephenson, Jr.</t>
  </si>
  <si>
    <t>Sterling</t>
  </si>
  <si>
    <t>Stevenson</t>
  </si>
  <si>
    <t>Stewart</t>
  </si>
  <si>
    <t>Still</t>
  </si>
  <si>
    <t>Stuart</t>
  </si>
  <si>
    <t>SULTING</t>
  </si>
  <si>
    <t>Sumski</t>
  </si>
  <si>
    <t>SUNTRUST BANK</t>
  </si>
  <si>
    <t>SUPPLIES</t>
  </si>
  <si>
    <t>Swimelar</t>
  </si>
  <si>
    <t>Sylvia</t>
  </si>
  <si>
    <t>Syracuse</t>
  </si>
  <si>
    <t>Tacoma</t>
  </si>
  <si>
    <t>Tallahassee</t>
  </si>
  <si>
    <t>Tammy</t>
  </si>
  <si>
    <t>Tedd</t>
  </si>
  <si>
    <t>TELEPH/</t>
  </si>
  <si>
    <t>Tennessee</t>
  </si>
  <si>
    <t>Terre Haute</t>
  </si>
  <si>
    <t>Terry</t>
  </si>
  <si>
    <t xml:space="preserve">Terry </t>
  </si>
  <si>
    <t>Texas</t>
  </si>
  <si>
    <t>TEXAS CAPITAL BK</t>
  </si>
  <si>
    <t>Thomas</t>
  </si>
  <si>
    <t>Tim</t>
  </si>
  <si>
    <t>Timothy</t>
  </si>
  <si>
    <t>TN</t>
  </si>
  <si>
    <t>TO ANTHR</t>
  </si>
  <si>
    <t>TO USTP</t>
  </si>
  <si>
    <t>Toby</t>
  </si>
  <si>
    <t>Toledo</t>
  </si>
  <si>
    <t>Topeka</t>
  </si>
  <si>
    <t>TOTAL</t>
  </si>
  <si>
    <t xml:space="preserve">TOTAL </t>
  </si>
  <si>
    <t>TRAINING</t>
  </si>
  <si>
    <t>TRANSFERRED</t>
  </si>
  <si>
    <t>Truman</t>
  </si>
  <si>
    <t>TRUST FUND</t>
  </si>
  <si>
    <t>TRUSTEE</t>
  </si>
  <si>
    <t>Tucson</t>
  </si>
  <si>
    <t>Tulsa</t>
  </si>
  <si>
    <t>Twin Lakes Bank</t>
  </si>
  <si>
    <t>TX</t>
  </si>
  <si>
    <t>Tyler</t>
  </si>
  <si>
    <t>U S BANK</t>
  </si>
  <si>
    <t>U.S. Bank</t>
  </si>
  <si>
    <t>UMB Bank</t>
  </si>
  <si>
    <t>Union Planter Bank</t>
  </si>
  <si>
    <t>UNSEC'D</t>
  </si>
  <si>
    <t>US BANK</t>
  </si>
  <si>
    <t>US Bank/Wells Fargo</t>
  </si>
  <si>
    <t>UT</t>
  </si>
  <si>
    <t>Utah</t>
  </si>
  <si>
    <t>UTILS</t>
  </si>
  <si>
    <t>V(a&amp;b),XI(j)</t>
  </si>
  <si>
    <t>VA</t>
  </si>
  <si>
    <t>Valley State Bank</t>
  </si>
  <si>
    <t>Van Meter</t>
  </si>
  <si>
    <t>Vancouver</t>
  </si>
  <si>
    <t>Vardaman</t>
  </si>
  <si>
    <t>Vaughn</t>
  </si>
  <si>
    <t>Vermont</t>
  </si>
  <si>
    <t>VII</t>
  </si>
  <si>
    <t>VIII(d)</t>
  </si>
  <si>
    <t>VIII(f)(ii)</t>
  </si>
  <si>
    <t>VIII(f)(iv)</t>
  </si>
  <si>
    <t>Virginia</t>
  </si>
  <si>
    <t>VT</t>
  </si>
  <si>
    <t>WA</t>
  </si>
  <si>
    <t>Walter</t>
  </si>
  <si>
    <t>Warford</t>
  </si>
  <si>
    <t>Washington</t>
  </si>
  <si>
    <t>Wasserman</t>
  </si>
  <si>
    <t>Waterloo</t>
  </si>
  <si>
    <t>Wayne</t>
  </si>
  <si>
    <t>Weatherford</t>
  </si>
  <si>
    <t>Wein</t>
  </si>
  <si>
    <t>Weiner</t>
  </si>
  <si>
    <t>Wells Fargo</t>
  </si>
  <si>
    <t>WELLS FARGO</t>
  </si>
  <si>
    <t>West Virginia</t>
  </si>
  <si>
    <t>Western</t>
  </si>
  <si>
    <t>White Plains</t>
  </si>
  <si>
    <t>White River Jct</t>
  </si>
  <si>
    <t>Whiton</t>
  </si>
  <si>
    <t>WI</t>
  </si>
  <si>
    <t>Wichita</t>
  </si>
  <si>
    <t>Widener</t>
  </si>
  <si>
    <t>William</t>
  </si>
  <si>
    <t>Williams</t>
  </si>
  <si>
    <t>Willie</t>
  </si>
  <si>
    <t>Wilmington</t>
  </si>
  <si>
    <t>Wilson</t>
  </si>
  <si>
    <t>Winnecour</t>
  </si>
  <si>
    <t>Wisconsin</t>
  </si>
  <si>
    <t>Wood</t>
  </si>
  <si>
    <t>Worcester</t>
  </si>
  <si>
    <t>Worthington</t>
  </si>
  <si>
    <t>WV</t>
  </si>
  <si>
    <t>WY</t>
  </si>
  <si>
    <t>Wyoming</t>
  </si>
  <si>
    <t>X(a)</t>
  </si>
  <si>
    <t>X(ab)</t>
  </si>
  <si>
    <t>X(b)</t>
  </si>
  <si>
    <t>X(c)</t>
  </si>
  <si>
    <t>X(d+e)</t>
  </si>
  <si>
    <t>X(f)</t>
  </si>
  <si>
    <t>X(g)</t>
  </si>
  <si>
    <t>X(h)</t>
  </si>
  <si>
    <t>X(i)</t>
  </si>
  <si>
    <t>X(j)</t>
  </si>
  <si>
    <t>X(k+l+m)</t>
  </si>
  <si>
    <t>X(r)</t>
  </si>
  <si>
    <t>X(s)</t>
  </si>
  <si>
    <t>X(t)</t>
  </si>
  <si>
    <t>X(x)</t>
  </si>
  <si>
    <t>X(y)</t>
  </si>
  <si>
    <t>XI(d)(i)+XI(h)</t>
  </si>
  <si>
    <t>XI(d)(ii)</t>
  </si>
  <si>
    <t>XIV(f)</t>
  </si>
  <si>
    <t>XIV(h)</t>
  </si>
  <si>
    <t>XIX(a)</t>
  </si>
  <si>
    <t>XIX(b)</t>
  </si>
  <si>
    <t>XIX(c)</t>
  </si>
  <si>
    <t>XIX(d)</t>
  </si>
  <si>
    <t>XIX(e)(i-iii)</t>
  </si>
  <si>
    <t>XIX(e)(iv)</t>
  </si>
  <si>
    <t>XIX(e)(v)</t>
  </si>
  <si>
    <t>XIX(f)</t>
  </si>
  <si>
    <t>XIX(g)</t>
  </si>
  <si>
    <t>XIX(i)</t>
  </si>
  <si>
    <t>XV(a)</t>
  </si>
  <si>
    <t>XV(d)</t>
  </si>
  <si>
    <t>XVI(c)</t>
  </si>
  <si>
    <t>XVII(f)</t>
  </si>
  <si>
    <t>XX(a)</t>
  </si>
  <si>
    <t>XX(b)</t>
  </si>
  <si>
    <t>XX(c)</t>
  </si>
  <si>
    <t>XX(d)</t>
  </si>
  <si>
    <t>XX(e)</t>
  </si>
  <si>
    <t>XXI(a)</t>
  </si>
  <si>
    <t>XXI(b)</t>
  </si>
  <si>
    <t>XXI(c)</t>
  </si>
  <si>
    <t>XXI(d)</t>
  </si>
  <si>
    <t>XXI(e)</t>
  </si>
  <si>
    <t>XXII(a)</t>
  </si>
  <si>
    <t>XXII(b)</t>
  </si>
  <si>
    <t>XXII(c)</t>
  </si>
  <si>
    <t>XXII(d)</t>
  </si>
  <si>
    <t>XXII(e)</t>
  </si>
  <si>
    <t>Yarnall</t>
  </si>
  <si>
    <t>Youngstown</t>
  </si>
  <si>
    <t>Zeman</t>
  </si>
  <si>
    <t>Zimmerman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</si>
</sst>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\ #,##0"/>
    <numFmt numFmtId="165" formatCode="0.0%"/>
    <numFmt numFmtId="166" formatCode="\_x0004_;;;"/>
  </numFmts>
  <fonts count="5" x14ac:knownFonts="1">
    <font>
      <sz val="12"/>
      <name val="Arial"/>
    </font>
    <font>
      <sz val="10"/>
      <name val="Times New Roman"/>
    </font>
    <font>
      <sz val="10"/>
      <name val="Arial"/>
    </font>
    <font>
      <b/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/>
  </cellStyleXfs>
  <cellXfs count="61">
    <xf numFmtId="3" fontId="0" fillId="2" borderId="0" xfId="0" applyNumberFormat="1" applyFill="1"/>
    <xf numFmtId="0" fontId="2" fillId="2" borderId="1" xfId="0" applyFont="1" applyFill="1" applyBorder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165" fontId="2" fillId="2" borderId="0" xfId="0" applyNumberFormat="1" applyFont="1" applyFill="1"/>
    <xf numFmtId="1" fontId="2" fillId="2" borderId="1" xfId="0" applyNumberFormat="1" applyFont="1" applyFill="1" applyBorder="1"/>
    <xf numFmtId="22" fontId="4" fillId="2" borderId="0" xfId="0" applyNumberFormat="1" applyFont="1" applyFill="1"/>
    <xf numFmtId="22" fontId="1" fillId="2" borderId="0" xfId="0" applyNumberFormat="1" applyFont="1" applyFill="1"/>
    <xf numFmtId="15" fontId="2" fillId="2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3" borderId="8" xfId="0" applyFont="1" applyFill="1" applyBorder="1"/>
    <xf numFmtId="3" fontId="2" fillId="2" borderId="9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3" fontId="2" fillId="2" borderId="4" xfId="0" applyNumberFormat="1" applyFont="1" applyFill="1" applyBorder="1"/>
    <xf numFmtId="165" fontId="2" fillId="2" borderId="4" xfId="0" applyNumberFormat="1" applyFont="1" applyFill="1" applyBorder="1"/>
    <xf numFmtId="10" fontId="2" fillId="2" borderId="0" xfId="0" applyNumberFormat="1" applyFont="1" applyFill="1"/>
    <xf numFmtId="0" fontId="2" fillId="2" borderId="8" xfId="0" applyFont="1" applyFill="1" applyBorder="1"/>
    <xf numFmtId="0" fontId="2" fillId="2" borderId="9" xfId="0" applyFont="1" applyFill="1" applyBorder="1"/>
    <xf numFmtId="3" fontId="2" fillId="2" borderId="5" xfId="0" applyNumberFormat="1" applyFont="1" applyFill="1" applyBorder="1"/>
    <xf numFmtId="165" fontId="1" fillId="2" borderId="0" xfId="0" applyNumberFormat="1" applyFont="1" applyFill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2" xfId="0" applyNumberFormat="1" applyFont="1" applyFill="1" applyBorder="1"/>
    <xf numFmtId="0" fontId="2" fillId="4" borderId="13" xfId="0" applyFont="1" applyFill="1" applyBorder="1"/>
    <xf numFmtId="0" fontId="2" fillId="4" borderId="8" xfId="0" applyFont="1" applyFill="1" applyBorder="1"/>
    <xf numFmtId="3" fontId="2" fillId="4" borderId="8" xfId="0" applyNumberFormat="1" applyFont="1" applyFill="1" applyBorder="1"/>
    <xf numFmtId="3" fontId="2" fillId="4" borderId="1" xfId="0" applyNumberFormat="1" applyFont="1" applyFill="1" applyBorder="1"/>
    <xf numFmtId="165" fontId="2" fillId="4" borderId="1" xfId="0" applyNumberFormat="1" applyFont="1" applyFill="1" applyBorder="1"/>
    <xf numFmtId="3" fontId="3" fillId="2" borderId="0" xfId="0" applyNumberFormat="1" applyFont="1" applyFill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3" fontId="0" fillId="2" borderId="2" xfId="0" applyNumberFormat="1" applyFill="1" applyBorder="1"/>
    <xf numFmtId="3" fontId="2" fillId="4" borderId="9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1" xfId="0" applyFont="1" applyFill="1" applyBorder="1"/>
    <xf numFmtId="3" fontId="2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469"/>
  <sheetViews>
    <sheetView showGridLines="0" tabSelected="1" workbookViewId="0">
      <pane xSplit="2" ySplit="11" topLeftCell="D12" activePane="bottomRight" state="frozenSplit"/>
      <selection pane="topRight"/>
      <selection pane="bottomLeft"/>
      <selection pane="bottomRight" activeCell="D12" sqref="D12"/>
    </sheetView>
  </sheetViews>
  <sheetFormatPr defaultColWidth="8.26953125" defaultRowHeight="15" x14ac:dyDescent="0.25"/>
  <cols>
    <col min="1" max="1" width="5.08984375" customWidth="1"/>
    <col min="2" max="2" width="18.1796875" customWidth="1"/>
    <col min="3" max="3" width="10.453125" hidden="1" customWidth="1"/>
    <col min="4" max="4" width="12.26953125" customWidth="1"/>
    <col min="5" max="5" width="5.90625" customWidth="1"/>
    <col min="6" max="6" width="17.1796875" customWidth="1"/>
    <col min="7" max="7" width="16.7265625" customWidth="1"/>
    <col min="8" max="8" width="14.08984375" customWidth="1"/>
    <col min="9" max="9" width="13.7265625" customWidth="1"/>
    <col min="10" max="10" width="11.90625" customWidth="1"/>
    <col min="11" max="11" width="14.08984375" customWidth="1"/>
    <col min="12" max="12" width="9.36328125" customWidth="1"/>
    <col min="13" max="14" width="9.90625" customWidth="1"/>
    <col min="15" max="15" width="0.90625" hidden="1" customWidth="1"/>
    <col min="16" max="16" width="12.453125" style="2" customWidth="1"/>
    <col min="17" max="18" width="12.1796875" style="2" customWidth="1"/>
    <col min="19" max="19" width="12.36328125" style="2" hidden="1" customWidth="1"/>
    <col min="20" max="20" width="13.26953125" style="3" customWidth="1"/>
    <col min="21" max="21" width="12.6328125" style="3" customWidth="1"/>
    <col min="22" max="23" width="10.54296875" style="3" customWidth="1"/>
    <col min="24" max="25" width="12.453125" style="3" customWidth="1"/>
    <col min="26" max="26" width="11.54296875" style="14" customWidth="1"/>
    <col min="27" max="27" width="10.54296875" style="3" customWidth="1"/>
    <col min="28" max="28" width="14.08984375" style="14" customWidth="1"/>
    <col min="29" max="29" width="11.54296875" style="3" customWidth="1"/>
    <col min="30" max="30" width="10.90625" style="3" customWidth="1"/>
    <col min="31" max="31" width="11.7265625" style="3" customWidth="1"/>
    <col min="32" max="32" width="11.54296875" style="3" customWidth="1"/>
    <col min="33" max="33" width="12.1796875" style="3" customWidth="1"/>
    <col min="34" max="34" width="10" style="3" customWidth="1"/>
    <col min="35" max="35" width="11" style="3" customWidth="1"/>
    <col min="36" max="36" width="10.54296875" style="3" customWidth="1"/>
    <col min="37" max="37" width="12.6328125" style="3" customWidth="1"/>
    <col min="38" max="38" width="10.36328125" style="3" customWidth="1"/>
    <col min="39" max="39" width="10.453125" style="3" customWidth="1"/>
    <col min="40" max="40" width="9.26953125" style="3" customWidth="1"/>
    <col min="41" max="41" width="11.7265625" style="3" customWidth="1"/>
    <col min="42" max="42" width="11.08984375" style="3" customWidth="1"/>
    <col min="43" max="43" width="8.6328125" style="3" customWidth="1"/>
    <col min="44" max="44" width="9" style="3" customWidth="1"/>
    <col min="45" max="45" width="11.26953125" style="3" customWidth="1"/>
    <col min="46" max="46" width="11.54296875" style="3" customWidth="1"/>
    <col min="47" max="47" width="8.81640625" style="3" customWidth="1"/>
    <col min="48" max="48" width="11.54296875" style="3" customWidth="1"/>
    <col min="49" max="49" width="11.26953125" style="3" customWidth="1"/>
    <col min="50" max="50" width="11.7265625" style="3" customWidth="1"/>
    <col min="51" max="52" width="10.6328125" style="3" customWidth="1"/>
    <col min="53" max="53" width="9.1796875" style="3" customWidth="1"/>
    <col min="54" max="54" width="8.81640625" style="3" customWidth="1"/>
    <col min="55" max="55" width="10.81640625" style="3" customWidth="1"/>
    <col min="56" max="56" width="9.54296875" style="3" customWidth="1"/>
    <col min="57" max="58" width="9.08984375" style="3" customWidth="1"/>
    <col min="59" max="59" width="9.1796875" style="3" customWidth="1"/>
    <col min="60" max="61" width="8.26953125" style="3" customWidth="1"/>
    <col min="62" max="62" width="11" style="3" customWidth="1"/>
    <col min="63" max="63" width="8.26953125" style="3" customWidth="1"/>
    <col min="64" max="64" width="10.81640625" style="3" customWidth="1"/>
    <col min="65" max="65" width="9.54296875" style="3" customWidth="1"/>
    <col min="66" max="66" width="9.1796875" style="3" customWidth="1"/>
    <col min="67" max="67" width="9.90625" style="3" customWidth="1"/>
    <col min="68" max="68" width="10.6328125" style="3" customWidth="1"/>
    <col min="69" max="69" width="7.6328125" style="3" customWidth="1"/>
    <col min="70" max="70" width="9.453125" style="3" customWidth="1"/>
    <col min="71" max="71" width="8.7265625" style="3" customWidth="1"/>
    <col min="72" max="72" width="9.26953125" style="3" customWidth="1"/>
    <col min="73" max="73" width="9.08984375" style="3" customWidth="1"/>
    <col min="74" max="74" width="8.26953125" style="3" customWidth="1"/>
    <col min="75" max="75" width="9.6328125" style="3" customWidth="1"/>
    <col min="76" max="76" width="8.26953125" style="3" customWidth="1"/>
    <col min="77" max="77" width="6.453125" style="3" customWidth="1"/>
    <col min="78" max="78" width="6.36328125" style="3" customWidth="1"/>
    <col min="79" max="79" width="9.08984375" style="3" customWidth="1"/>
    <col min="80" max="80" width="9.7265625" style="3" customWidth="1"/>
    <col min="81" max="81" width="8.26953125" style="3" customWidth="1"/>
    <col min="82" max="82" width="7.26953125" style="3" customWidth="1"/>
    <col min="83" max="83" width="6.36328125" style="3" customWidth="1"/>
    <col min="84" max="231" width="8.26953125" style="3" customWidth="1"/>
  </cols>
  <sheetData>
    <row r="1" spans="1:84" x14ac:dyDescent="0.25">
      <c r="A1" s="13"/>
      <c r="D1" s="19" t="s">
        <v>3</v>
      </c>
      <c r="G1" s="45"/>
      <c r="AA1" s="19"/>
      <c r="AB1" s="35"/>
      <c r="AD1" s="19"/>
      <c r="AP1" s="17"/>
      <c r="AT1" s="19"/>
      <c r="AU1" s="19"/>
      <c r="BH1" s="17"/>
      <c r="BP1" s="19"/>
    </row>
    <row r="2" spans="1:84" x14ac:dyDescent="0.25">
      <c r="A2" s="19"/>
      <c r="D2" s="19" t="s">
        <v>289</v>
      </c>
      <c r="G2" s="45"/>
      <c r="H2" s="3"/>
      <c r="V2" s="17"/>
      <c r="AA2" s="19"/>
      <c r="AC2" s="19"/>
      <c r="AD2" s="19"/>
      <c r="AE2" s="19"/>
      <c r="AF2" s="20"/>
      <c r="AT2" s="19"/>
      <c r="AU2" s="19"/>
      <c r="BP2" s="19"/>
    </row>
    <row r="3" spans="1:84" x14ac:dyDescent="0.25">
      <c r="A3" s="3"/>
      <c r="D3" s="3"/>
      <c r="G3" s="3"/>
      <c r="H3" s="3"/>
      <c r="K3" s="51"/>
      <c r="L3" s="55" t="s">
        <v>2</v>
      </c>
      <c r="M3" s="55"/>
      <c r="N3" s="55"/>
      <c r="O3" s="10"/>
      <c r="P3" s="51"/>
      <c r="Q3" s="55" t="s">
        <v>610</v>
      </c>
      <c r="R3" s="55"/>
      <c r="S3" s="10"/>
      <c r="W3" s="3" t="s">
        <v>370</v>
      </c>
      <c r="AB3" s="14" t="s">
        <v>770</v>
      </c>
      <c r="BJ3" s="3" t="s">
        <v>11</v>
      </c>
      <c r="BR3" s="37" t="s">
        <v>589</v>
      </c>
      <c r="BS3" s="38"/>
      <c r="BT3" s="38"/>
      <c r="BU3" s="38"/>
      <c r="BV3" s="39"/>
      <c r="BW3" s="37" t="s">
        <v>587</v>
      </c>
      <c r="BX3" s="38"/>
      <c r="BY3" s="38"/>
      <c r="BZ3" s="38"/>
      <c r="CA3" s="39"/>
      <c r="CB3" s="37" t="s">
        <v>588</v>
      </c>
      <c r="CC3" s="38"/>
      <c r="CD3" s="38"/>
      <c r="CE3" s="38"/>
      <c r="CF3" s="39"/>
    </row>
    <row r="4" spans="1:84" x14ac:dyDescent="0.25">
      <c r="A4" s="3"/>
      <c r="C4" s="18" t="s">
        <v>0</v>
      </c>
      <c r="D4" s="16"/>
      <c r="G4" s="3"/>
      <c r="H4" s="3" t="s">
        <v>354</v>
      </c>
      <c r="I4" s="3" t="s">
        <v>355</v>
      </c>
      <c r="J4" s="3" t="s">
        <v>359</v>
      </c>
      <c r="K4" s="52" t="s">
        <v>360</v>
      </c>
      <c r="L4" s="52" t="s">
        <v>361</v>
      </c>
      <c r="M4" s="56" t="s">
        <v>362</v>
      </c>
      <c r="N4" s="56" t="s">
        <v>363</v>
      </c>
      <c r="O4" s="3" t="s">
        <v>126</v>
      </c>
      <c r="P4" s="52" t="s">
        <v>364</v>
      </c>
      <c r="Q4" s="56" t="s">
        <v>365</v>
      </c>
      <c r="R4" s="56" t="s">
        <v>366</v>
      </c>
      <c r="S4" s="9" t="s">
        <v>126</v>
      </c>
      <c r="T4" s="3" t="s">
        <v>367</v>
      </c>
      <c r="U4" s="3" t="s">
        <v>368</v>
      </c>
      <c r="V4" s="3" t="s">
        <v>369</v>
      </c>
      <c r="W4" s="3" t="s">
        <v>574</v>
      </c>
      <c r="X4" s="3" t="s">
        <v>371</v>
      </c>
      <c r="Y4" s="3" t="s">
        <v>760</v>
      </c>
      <c r="Z4" s="14" t="s">
        <v>768</v>
      </c>
      <c r="AA4" s="3" t="s">
        <v>769</v>
      </c>
      <c r="AB4" s="14" t="s">
        <v>9</v>
      </c>
      <c r="AC4" s="3" t="s">
        <v>771</v>
      </c>
      <c r="AD4" s="3" t="s">
        <v>384</v>
      </c>
      <c r="AE4" s="3" t="s">
        <v>385</v>
      </c>
      <c r="AF4" s="3" t="s">
        <v>807</v>
      </c>
      <c r="AG4" s="3" t="s">
        <v>809</v>
      </c>
      <c r="AH4" s="3" t="s">
        <v>810</v>
      </c>
      <c r="AI4" s="3" t="s">
        <v>811</v>
      </c>
      <c r="AJ4" s="3" t="s">
        <v>812</v>
      </c>
      <c r="AK4" s="3" t="s">
        <v>813</v>
      </c>
      <c r="AL4" s="3" t="s">
        <v>814</v>
      </c>
      <c r="AM4" s="3" t="s">
        <v>815</v>
      </c>
      <c r="AN4" s="3" t="s">
        <v>816</v>
      </c>
      <c r="AO4" s="3" t="s">
        <v>817</v>
      </c>
      <c r="AP4" s="3" t="s">
        <v>818</v>
      </c>
      <c r="AQ4" s="3" t="s">
        <v>819</v>
      </c>
      <c r="AR4" s="3" t="s">
        <v>820</v>
      </c>
      <c r="AS4" s="3" t="s">
        <v>821</v>
      </c>
      <c r="AT4" s="3" t="s">
        <v>822</v>
      </c>
      <c r="AU4" s="3" t="s">
        <v>808</v>
      </c>
      <c r="AV4" s="3" t="s">
        <v>808</v>
      </c>
      <c r="AW4" s="3" t="s">
        <v>808</v>
      </c>
      <c r="AX4" s="3" t="s">
        <v>126</v>
      </c>
      <c r="AY4" s="3" t="s">
        <v>823</v>
      </c>
      <c r="AZ4" s="3" t="s">
        <v>824</v>
      </c>
      <c r="BA4" s="3" t="s">
        <v>825</v>
      </c>
      <c r="BB4" s="3" t="s">
        <v>826</v>
      </c>
      <c r="BC4" s="3" t="s">
        <v>837</v>
      </c>
      <c r="BD4" s="3" t="s">
        <v>838</v>
      </c>
      <c r="BE4" s="3" t="s">
        <v>839</v>
      </c>
      <c r="BF4" s="3" t="s">
        <v>840</v>
      </c>
      <c r="BG4" s="3" t="s">
        <v>827</v>
      </c>
      <c r="BH4" s="3" t="s">
        <v>828</v>
      </c>
      <c r="BI4" s="3" t="s">
        <v>829</v>
      </c>
      <c r="BJ4" s="3" t="s">
        <v>830</v>
      </c>
      <c r="BK4" s="3" t="s">
        <v>831</v>
      </c>
      <c r="BL4" s="3" t="s">
        <v>832</v>
      </c>
      <c r="BM4" s="3" t="s">
        <v>833</v>
      </c>
      <c r="BN4" s="3" t="s">
        <v>834</v>
      </c>
      <c r="BO4" s="3" t="s">
        <v>835</v>
      </c>
      <c r="BP4" s="3" t="s">
        <v>126</v>
      </c>
      <c r="BQ4" s="3" t="s">
        <v>836</v>
      </c>
      <c r="BR4" s="36" t="s">
        <v>841</v>
      </c>
      <c r="BS4" s="3" t="s">
        <v>842</v>
      </c>
      <c r="BT4" s="3" t="s">
        <v>843</v>
      </c>
      <c r="BU4" s="3" t="s">
        <v>844</v>
      </c>
      <c r="BV4" s="9" t="s">
        <v>845</v>
      </c>
      <c r="BW4" s="36" t="s">
        <v>846</v>
      </c>
      <c r="BX4" s="3" t="s">
        <v>847</v>
      </c>
      <c r="BY4" s="3" t="s">
        <v>848</v>
      </c>
      <c r="BZ4" s="3" t="s">
        <v>849</v>
      </c>
      <c r="CA4" s="9" t="s">
        <v>850</v>
      </c>
      <c r="CB4" s="36" t="s">
        <v>851</v>
      </c>
      <c r="CC4" s="3" t="s">
        <v>852</v>
      </c>
      <c r="CD4" s="3" t="s">
        <v>853</v>
      </c>
      <c r="CE4" s="3" t="s">
        <v>854</v>
      </c>
      <c r="CF4" s="9" t="s">
        <v>855</v>
      </c>
    </row>
    <row r="5" spans="1:84" x14ac:dyDescent="0.25">
      <c r="A5" s="21"/>
      <c r="B5" s="4"/>
      <c r="C5" s="4"/>
      <c r="D5" s="4"/>
      <c r="E5" s="4"/>
      <c r="F5" s="4"/>
      <c r="G5" s="4"/>
      <c r="H5" s="4" t="s">
        <v>315</v>
      </c>
      <c r="I5" s="4" t="s">
        <v>739</v>
      </c>
      <c r="J5" s="4"/>
      <c r="K5" s="46" t="s">
        <v>571</v>
      </c>
      <c r="L5" s="46"/>
      <c r="M5" s="46"/>
      <c r="N5" s="46" t="s">
        <v>203</v>
      </c>
      <c r="O5" s="46"/>
      <c r="P5" s="46" t="s">
        <v>571</v>
      </c>
      <c r="Q5" s="46"/>
      <c r="R5" s="46" t="s">
        <v>203</v>
      </c>
      <c r="S5" s="4"/>
      <c r="T5" s="4" t="s">
        <v>754</v>
      </c>
      <c r="U5" s="4"/>
      <c r="V5" s="4"/>
      <c r="W5" s="4"/>
      <c r="X5" s="4" t="s">
        <v>738</v>
      </c>
      <c r="Y5" s="4"/>
      <c r="Z5" s="27" t="s">
        <v>139</v>
      </c>
      <c r="AA5" s="4" t="s">
        <v>548</v>
      </c>
      <c r="AB5" s="27" t="s">
        <v>63</v>
      </c>
      <c r="AC5" s="4"/>
      <c r="AD5" s="4"/>
      <c r="AE5" s="4"/>
      <c r="AF5" s="32" t="s">
        <v>1</v>
      </c>
      <c r="AG5" s="32"/>
      <c r="AH5" s="33"/>
      <c r="AI5" s="4" t="s">
        <v>563</v>
      </c>
      <c r="AJ5" s="4" t="s">
        <v>100</v>
      </c>
      <c r="AK5" s="4"/>
      <c r="AL5" s="4"/>
      <c r="AM5" s="4" t="s">
        <v>178</v>
      </c>
      <c r="AN5" s="4"/>
      <c r="AO5" s="4" t="s">
        <v>722</v>
      </c>
      <c r="AP5" s="49"/>
      <c r="AQ5" s="49"/>
      <c r="AR5" s="49"/>
      <c r="AS5" s="4" t="s">
        <v>250</v>
      </c>
      <c r="AT5" s="4" t="s">
        <v>250</v>
      </c>
      <c r="AU5" s="4" t="s">
        <v>738</v>
      </c>
      <c r="AV5" s="4" t="s">
        <v>738</v>
      </c>
      <c r="AW5" s="4" t="s">
        <v>738</v>
      </c>
      <c r="AX5" s="4"/>
      <c r="AY5" s="4"/>
      <c r="AZ5" s="4"/>
      <c r="BA5" s="4"/>
      <c r="BB5" s="4"/>
      <c r="BC5" s="4" t="s">
        <v>247</v>
      </c>
      <c r="BD5" s="4" t="s">
        <v>254</v>
      </c>
      <c r="BE5" s="4" t="s">
        <v>253</v>
      </c>
      <c r="BF5" s="4" t="s">
        <v>25</v>
      </c>
      <c r="BG5" s="4" t="s">
        <v>138</v>
      </c>
      <c r="BH5" s="4" t="s">
        <v>538</v>
      </c>
      <c r="BI5" s="4"/>
      <c r="BJ5" s="4" t="s">
        <v>166</v>
      </c>
      <c r="BK5" s="39"/>
      <c r="BL5" s="39" t="s">
        <v>138</v>
      </c>
      <c r="BM5" s="39"/>
      <c r="BN5" s="39" t="s">
        <v>165</v>
      </c>
      <c r="BO5" s="39" t="s">
        <v>165</v>
      </c>
      <c r="BP5" s="4"/>
      <c r="BQ5" s="21"/>
      <c r="BR5" s="4"/>
      <c r="BS5" s="4"/>
      <c r="BT5" s="4"/>
      <c r="BU5" s="4"/>
      <c r="BV5" s="4" t="s">
        <v>547</v>
      </c>
      <c r="BW5" s="4"/>
      <c r="BX5" s="4"/>
      <c r="BY5" s="4"/>
      <c r="BZ5" s="4"/>
      <c r="CA5" s="4" t="s">
        <v>547</v>
      </c>
      <c r="CB5" s="4"/>
      <c r="CC5" s="4"/>
      <c r="CD5" s="4"/>
      <c r="CE5" s="4"/>
      <c r="CF5" s="4" t="s">
        <v>547</v>
      </c>
    </row>
    <row r="6" spans="1:84" x14ac:dyDescent="0.25">
      <c r="A6" s="22"/>
      <c r="B6" s="5" t="s">
        <v>744</v>
      </c>
      <c r="C6" s="5" t="s">
        <v>744</v>
      </c>
      <c r="D6" s="5"/>
      <c r="E6" s="5"/>
      <c r="F6" s="5" t="s">
        <v>226</v>
      </c>
      <c r="G6" s="5" t="s">
        <v>702</v>
      </c>
      <c r="H6" s="5" t="s">
        <v>204</v>
      </c>
      <c r="I6" s="5" t="s">
        <v>743</v>
      </c>
      <c r="J6" s="5"/>
      <c r="K6" s="47" t="s">
        <v>514</v>
      </c>
      <c r="L6" s="47" t="s">
        <v>514</v>
      </c>
      <c r="M6" s="47" t="s">
        <v>37</v>
      </c>
      <c r="N6" s="47" t="s">
        <v>130</v>
      </c>
      <c r="O6" s="47" t="s">
        <v>738</v>
      </c>
      <c r="P6" s="47" t="s">
        <v>156</v>
      </c>
      <c r="Q6" s="47" t="s">
        <v>37</v>
      </c>
      <c r="R6" s="47" t="s">
        <v>130</v>
      </c>
      <c r="S6" s="47" t="s">
        <v>738</v>
      </c>
      <c r="T6" s="5" t="s">
        <v>189</v>
      </c>
      <c r="U6" s="5" t="s">
        <v>204</v>
      </c>
      <c r="V6" s="5" t="s">
        <v>21</v>
      </c>
      <c r="W6" s="5"/>
      <c r="X6" s="5" t="s">
        <v>222</v>
      </c>
      <c r="Y6" s="5" t="s">
        <v>523</v>
      </c>
      <c r="Z6" s="28" t="s">
        <v>625</v>
      </c>
      <c r="AA6" s="5" t="s">
        <v>515</v>
      </c>
      <c r="AB6" s="28" t="s">
        <v>51</v>
      </c>
      <c r="AC6" s="5" t="s">
        <v>7</v>
      </c>
      <c r="AD6" s="5" t="s">
        <v>181</v>
      </c>
      <c r="AE6" s="5"/>
      <c r="AF6" s="5"/>
      <c r="AG6" s="5" t="s">
        <v>245</v>
      </c>
      <c r="AH6" s="5"/>
      <c r="AI6" s="5" t="s">
        <v>634</v>
      </c>
      <c r="AJ6" s="5" t="s">
        <v>24</v>
      </c>
      <c r="AK6" s="5" t="s">
        <v>177</v>
      </c>
      <c r="AL6" s="5" t="s">
        <v>60</v>
      </c>
      <c r="AM6" s="5" t="s">
        <v>711</v>
      </c>
      <c r="AN6" s="5" t="s">
        <v>555</v>
      </c>
      <c r="AO6" s="5" t="s">
        <v>607</v>
      </c>
      <c r="AP6" s="5" t="s">
        <v>740</v>
      </c>
      <c r="AQ6" s="5" t="s">
        <v>740</v>
      </c>
      <c r="AR6" s="5" t="s">
        <v>204</v>
      </c>
      <c r="AS6" s="5" t="s">
        <v>288</v>
      </c>
      <c r="AT6" s="5" t="s">
        <v>288</v>
      </c>
      <c r="AU6" s="5" t="s">
        <v>38</v>
      </c>
      <c r="AV6" s="5" t="s">
        <v>27</v>
      </c>
      <c r="AW6" s="5" t="s">
        <v>52</v>
      </c>
      <c r="AX6" s="5" t="s">
        <v>631</v>
      </c>
      <c r="AY6" s="5" t="s">
        <v>503</v>
      </c>
      <c r="AZ6" s="5" t="s">
        <v>378</v>
      </c>
      <c r="BA6" s="5" t="s">
        <v>27</v>
      </c>
      <c r="BB6" s="5" t="s">
        <v>253</v>
      </c>
      <c r="BC6" s="5" t="s">
        <v>254</v>
      </c>
      <c r="BD6" s="5" t="s">
        <v>375</v>
      </c>
      <c r="BE6" s="5" t="s">
        <v>585</v>
      </c>
      <c r="BF6" s="5" t="s">
        <v>572</v>
      </c>
      <c r="BG6" s="5" t="s">
        <v>26</v>
      </c>
      <c r="BH6" s="5" t="s">
        <v>138</v>
      </c>
      <c r="BI6" s="5" t="s">
        <v>138</v>
      </c>
      <c r="BJ6" s="5" t="s">
        <v>637</v>
      </c>
      <c r="BK6" s="9" t="s">
        <v>579</v>
      </c>
      <c r="BL6" s="9" t="s">
        <v>183</v>
      </c>
      <c r="BM6" s="9" t="s">
        <v>138</v>
      </c>
      <c r="BN6" s="9" t="s">
        <v>174</v>
      </c>
      <c r="BO6" s="9" t="s">
        <v>323</v>
      </c>
      <c r="BP6" s="5" t="s">
        <v>6</v>
      </c>
      <c r="BQ6" s="22" t="s">
        <v>138</v>
      </c>
      <c r="BR6" s="5"/>
      <c r="BS6" s="5"/>
      <c r="BT6" s="5"/>
      <c r="BU6" s="5"/>
      <c r="BV6" s="5" t="s">
        <v>754</v>
      </c>
      <c r="BW6" s="5"/>
      <c r="BX6" s="5"/>
      <c r="BY6" s="5"/>
      <c r="BZ6" s="5"/>
      <c r="CA6" s="5" t="s">
        <v>754</v>
      </c>
      <c r="CB6" s="5"/>
      <c r="CC6" s="5"/>
      <c r="CD6" s="5"/>
      <c r="CE6" s="5"/>
      <c r="CF6" s="5" t="s">
        <v>754</v>
      </c>
    </row>
    <row r="7" spans="1:84" x14ac:dyDescent="0.25">
      <c r="A7" s="23" t="s">
        <v>627</v>
      </c>
      <c r="B7" s="6" t="s">
        <v>439</v>
      </c>
      <c r="C7" s="6" t="s">
        <v>267</v>
      </c>
      <c r="D7" s="6" t="s">
        <v>161</v>
      </c>
      <c r="E7" s="6" t="s">
        <v>702</v>
      </c>
      <c r="F7" s="6" t="s">
        <v>53</v>
      </c>
      <c r="G7" s="6" t="s">
        <v>53</v>
      </c>
      <c r="H7" s="6" t="s">
        <v>586</v>
      </c>
      <c r="I7" s="6" t="s">
        <v>625</v>
      </c>
      <c r="J7" s="6" t="s">
        <v>626</v>
      </c>
      <c r="K7" s="48" t="s">
        <v>5</v>
      </c>
      <c r="L7" s="48" t="s">
        <v>57</v>
      </c>
      <c r="M7" s="48" t="s">
        <v>678</v>
      </c>
      <c r="N7" s="48" t="s">
        <v>112</v>
      </c>
      <c r="O7" s="48" t="s">
        <v>677</v>
      </c>
      <c r="P7" s="48" t="s">
        <v>616</v>
      </c>
      <c r="Q7" s="48" t="s">
        <v>611</v>
      </c>
      <c r="R7" s="48" t="s">
        <v>112</v>
      </c>
      <c r="S7" s="48" t="s">
        <v>610</v>
      </c>
      <c r="T7" s="6" t="s">
        <v>221</v>
      </c>
      <c r="U7" s="6" t="s">
        <v>59</v>
      </c>
      <c r="V7" s="6" t="s">
        <v>64</v>
      </c>
      <c r="W7" s="6" t="s">
        <v>555</v>
      </c>
      <c r="X7" s="6" t="s">
        <v>487</v>
      </c>
      <c r="Y7" s="6" t="s">
        <v>76</v>
      </c>
      <c r="Z7" s="30" t="s">
        <v>620</v>
      </c>
      <c r="AA7" s="6" t="s">
        <v>155</v>
      </c>
      <c r="AB7" s="30" t="s">
        <v>86</v>
      </c>
      <c r="AC7" s="6" t="s">
        <v>741</v>
      </c>
      <c r="AD7" s="6" t="s">
        <v>625</v>
      </c>
      <c r="AE7" s="6" t="s">
        <v>380</v>
      </c>
      <c r="AF7" s="6" t="s">
        <v>662</v>
      </c>
      <c r="AG7" s="6" t="s">
        <v>182</v>
      </c>
      <c r="AH7" s="6" t="s">
        <v>90</v>
      </c>
      <c r="AI7" s="6" t="s">
        <v>759</v>
      </c>
      <c r="AJ7" s="6" t="s">
        <v>680</v>
      </c>
      <c r="AK7" s="6" t="s">
        <v>680</v>
      </c>
      <c r="AL7" s="6" t="s">
        <v>680</v>
      </c>
      <c r="AM7" s="6" t="s">
        <v>680</v>
      </c>
      <c r="AN7" s="6" t="s">
        <v>255</v>
      </c>
      <c r="AO7" s="6" t="s">
        <v>714</v>
      </c>
      <c r="AP7" s="6" t="s">
        <v>10</v>
      </c>
      <c r="AQ7" s="6" t="s">
        <v>12</v>
      </c>
      <c r="AR7" s="6" t="s">
        <v>238</v>
      </c>
      <c r="AS7" s="6" t="s">
        <v>635</v>
      </c>
      <c r="AT7" s="6" t="s">
        <v>615</v>
      </c>
      <c r="AU7" s="6" t="s">
        <v>632</v>
      </c>
      <c r="AV7" s="6" t="s">
        <v>256</v>
      </c>
      <c r="AW7" s="6" t="s">
        <v>256</v>
      </c>
      <c r="AX7" s="6" t="s">
        <v>8</v>
      </c>
      <c r="AY7" s="6" t="s">
        <v>223</v>
      </c>
      <c r="AZ7" s="6" t="s">
        <v>206</v>
      </c>
      <c r="BA7" s="6" t="s">
        <v>175</v>
      </c>
      <c r="BB7" s="6" t="s">
        <v>175</v>
      </c>
      <c r="BC7" s="6" t="s">
        <v>67</v>
      </c>
      <c r="BD7" s="6" t="s">
        <v>562</v>
      </c>
      <c r="BE7" s="6" t="s">
        <v>734</v>
      </c>
      <c r="BF7" s="6" t="s">
        <v>207</v>
      </c>
      <c r="BG7" s="6" t="s">
        <v>701</v>
      </c>
      <c r="BH7" s="6" t="s">
        <v>264</v>
      </c>
      <c r="BI7" s="6" t="s">
        <v>636</v>
      </c>
      <c r="BJ7" s="6" t="s">
        <v>138</v>
      </c>
      <c r="BK7" s="29" t="s">
        <v>28</v>
      </c>
      <c r="BL7" s="29" t="s">
        <v>733</v>
      </c>
      <c r="BM7" s="29" t="s">
        <v>225</v>
      </c>
      <c r="BN7" s="29" t="s">
        <v>601</v>
      </c>
      <c r="BO7" s="29" t="s">
        <v>224</v>
      </c>
      <c r="BP7" s="6" t="s">
        <v>246</v>
      </c>
      <c r="BQ7" s="22" t="s">
        <v>15</v>
      </c>
      <c r="BR7" s="5" t="s">
        <v>22</v>
      </c>
      <c r="BS7" s="5" t="s">
        <v>20</v>
      </c>
      <c r="BT7" s="5" t="s">
        <v>17</v>
      </c>
      <c r="BU7" s="5" t="s">
        <v>16</v>
      </c>
      <c r="BV7" s="5" t="s">
        <v>162</v>
      </c>
      <c r="BW7" s="5" t="s">
        <v>22</v>
      </c>
      <c r="BX7" s="5" t="s">
        <v>20</v>
      </c>
      <c r="BY7" s="5" t="s">
        <v>17</v>
      </c>
      <c r="BZ7" s="5" t="s">
        <v>16</v>
      </c>
      <c r="CA7" s="5" t="s">
        <v>162</v>
      </c>
      <c r="CB7" s="5" t="s">
        <v>22</v>
      </c>
      <c r="CC7" s="5" t="s">
        <v>20</v>
      </c>
      <c r="CD7" s="5" t="s">
        <v>17</v>
      </c>
      <c r="CE7" s="5" t="s">
        <v>16</v>
      </c>
      <c r="CF7" s="5" t="s">
        <v>162</v>
      </c>
    </row>
    <row r="8" spans="1:84" x14ac:dyDescent="0.25">
      <c r="A8" s="22"/>
      <c r="B8" s="5"/>
      <c r="C8" s="5"/>
      <c r="D8" s="5"/>
      <c r="E8" s="5"/>
      <c r="F8" s="5"/>
      <c r="G8" s="5"/>
      <c r="H8" s="5"/>
      <c r="I8" s="5"/>
      <c r="J8" s="5"/>
      <c r="K8" s="47"/>
      <c r="L8" s="47"/>
      <c r="M8" s="47"/>
      <c r="N8" s="47"/>
      <c r="O8" s="47"/>
      <c r="P8" s="47"/>
      <c r="Q8" s="47"/>
      <c r="R8" s="47"/>
      <c r="S8" s="47"/>
      <c r="T8" s="5"/>
      <c r="U8" s="5"/>
      <c r="V8" s="5"/>
      <c r="W8" s="5"/>
      <c r="X8" s="5"/>
      <c r="Y8" s="5"/>
      <c r="Z8" s="28"/>
      <c r="AA8" s="9"/>
      <c r="AB8" s="28"/>
      <c r="AC8" s="9"/>
      <c r="AD8" s="9"/>
      <c r="AE8" s="5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34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x14ac:dyDescent="0.25">
      <c r="A9" s="40"/>
      <c r="B9" s="41" t="s">
        <v>526</v>
      </c>
      <c r="C9" s="24"/>
      <c r="D9" s="41"/>
      <c r="E9" s="42"/>
      <c r="F9" s="42"/>
      <c r="G9" s="42"/>
      <c r="H9" s="43">
        <f>AVERAGE(H12:H195)</f>
        <v>22329727.548913043</v>
      </c>
      <c r="I9" s="43">
        <f>AVERAGE(I12:I191)</f>
        <v>21541025.661111113</v>
      </c>
      <c r="J9" s="43">
        <f t="shared" ref="J9:X9" si="0">AVERAGE(J12:J195)</f>
        <v>1021953.4130434783</v>
      </c>
      <c r="K9" s="53">
        <f t="shared" si="0"/>
        <v>3053376.9293478262</v>
      </c>
      <c r="L9" s="53">
        <f t="shared" si="0"/>
        <v>1819733.5108695652</v>
      </c>
      <c r="M9" s="53">
        <f t="shared" si="0"/>
        <v>5409255.0543478262</v>
      </c>
      <c r="N9" s="53">
        <f t="shared" si="0"/>
        <v>1749491.218579235</v>
      </c>
      <c r="O9" s="50">
        <f t="shared" si="0"/>
        <v>12022348.608695652</v>
      </c>
      <c r="P9" s="53">
        <f t="shared" si="0"/>
        <v>40938.842391304344</v>
      </c>
      <c r="Q9" s="53">
        <f t="shared" si="0"/>
        <v>1071041.4619565217</v>
      </c>
      <c r="R9" s="53">
        <f t="shared" si="0"/>
        <v>285503.71823204419</v>
      </c>
      <c r="S9" s="53">
        <f t="shared" si="0"/>
        <v>1392829.0706521738</v>
      </c>
      <c r="T9" s="43">
        <f t="shared" si="0"/>
        <v>4572664.9891304346</v>
      </c>
      <c r="U9" s="43">
        <f t="shared" si="0"/>
        <v>1668162.1576086956</v>
      </c>
      <c r="V9" s="43">
        <f t="shared" si="0"/>
        <v>13038.54347826087</v>
      </c>
      <c r="W9" s="43">
        <f t="shared" si="0"/>
        <v>11626.565217391304</v>
      </c>
      <c r="X9" s="43">
        <f t="shared" si="0"/>
        <v>20973273.141304348</v>
      </c>
      <c r="Y9" s="43" t="s">
        <v>521</v>
      </c>
      <c r="Z9" s="44">
        <f t="shared" ref="Z9:AW9" si="1">AVERAGE(Z12:Z195)</f>
        <v>0.11617866847826085</v>
      </c>
      <c r="AA9" s="43">
        <f t="shared" si="1"/>
        <v>1231409.6358695652</v>
      </c>
      <c r="AB9" s="44">
        <f t="shared" si="1"/>
        <v>6.997360321853871E-2</v>
      </c>
      <c r="AC9" s="43">
        <f t="shared" si="1"/>
        <v>1157336.6793478262</v>
      </c>
      <c r="AD9" s="43">
        <f t="shared" si="1"/>
        <v>2105.913043478261</v>
      </c>
      <c r="AE9" s="43">
        <f t="shared" si="1"/>
        <v>27273.58695652174</v>
      </c>
      <c r="AF9" s="43">
        <f t="shared" si="1"/>
        <v>521861.22826086957</v>
      </c>
      <c r="AG9" s="43">
        <f t="shared" si="1"/>
        <v>42377.396739130432</v>
      </c>
      <c r="AH9" s="43">
        <f t="shared" si="1"/>
        <v>107945.65217391304</v>
      </c>
      <c r="AI9" s="43">
        <f t="shared" si="1"/>
        <v>95893.266304347824</v>
      </c>
      <c r="AJ9" s="43">
        <f t="shared" si="1"/>
        <v>10396.579234972678</v>
      </c>
      <c r="AK9" s="43">
        <f t="shared" si="1"/>
        <v>37436.815217391304</v>
      </c>
      <c r="AL9" s="43">
        <f t="shared" si="1"/>
        <v>9426.2717391304341</v>
      </c>
      <c r="AM9" s="43">
        <f t="shared" si="1"/>
        <v>9757.58152173913</v>
      </c>
      <c r="AN9" s="43">
        <f t="shared" si="1"/>
        <v>21124.875</v>
      </c>
      <c r="AO9" s="43">
        <f t="shared" si="1"/>
        <v>73017.679347826081</v>
      </c>
      <c r="AP9" s="43">
        <f t="shared" si="1"/>
        <v>11120.119565217392</v>
      </c>
      <c r="AQ9" s="43">
        <f t="shared" si="1"/>
        <v>580.60326086956525</v>
      </c>
      <c r="AR9" s="43">
        <f t="shared" si="1"/>
        <v>3415.3315217391305</v>
      </c>
      <c r="AS9" s="43">
        <f t="shared" si="1"/>
        <v>9450.048913043478</v>
      </c>
      <c r="AT9" s="43">
        <f t="shared" si="1"/>
        <v>32371.717391304348</v>
      </c>
      <c r="AU9" s="43">
        <f t="shared" si="1"/>
        <v>9202.7880434782601</v>
      </c>
      <c r="AV9" s="43">
        <f t="shared" si="1"/>
        <v>1056807.7554347827</v>
      </c>
      <c r="AW9" s="43">
        <f t="shared" si="1"/>
        <v>1097019.9021739131</v>
      </c>
      <c r="AX9" s="44">
        <f>AU10/AV10</f>
        <v>8.7081004053496287E-3</v>
      </c>
      <c r="AY9" s="43">
        <f t="shared" ref="AY9:CF9" si="2">AVERAGE(AY12:AY195)</f>
        <v>1441.5749456521737</v>
      </c>
      <c r="AZ9" s="43">
        <f t="shared" si="2"/>
        <v>43.478260869565219</v>
      </c>
      <c r="BA9" s="43">
        <f t="shared" si="2"/>
        <v>143074.24456521738</v>
      </c>
      <c r="BB9" s="43">
        <f t="shared" si="2"/>
        <v>31.255434782608695</v>
      </c>
      <c r="BC9" s="43">
        <f t="shared" si="2"/>
        <v>129578</v>
      </c>
      <c r="BD9" s="43">
        <f t="shared" si="2"/>
        <v>3139.396739130435</v>
      </c>
      <c r="BE9" s="43">
        <f t="shared" si="2"/>
        <v>147.84239130434781</v>
      </c>
      <c r="BF9" s="43">
        <f t="shared" si="2"/>
        <v>0</v>
      </c>
      <c r="BG9" s="43">
        <f t="shared" si="2"/>
        <v>4286.880434782609</v>
      </c>
      <c r="BH9" s="43">
        <f t="shared" si="2"/>
        <v>2228.4945652173915</v>
      </c>
      <c r="BI9" s="43">
        <f t="shared" si="2"/>
        <v>66.619565217391298</v>
      </c>
      <c r="BJ9" s="43">
        <f t="shared" si="2"/>
        <v>-2.4222222222222221</v>
      </c>
      <c r="BK9" s="43">
        <f t="shared" si="2"/>
        <v>-11.978260869565217</v>
      </c>
      <c r="BL9" s="43">
        <f t="shared" si="2"/>
        <v>-248.75271739130434</v>
      </c>
      <c r="BM9" s="43">
        <f t="shared" si="2"/>
        <v>-1200.4266304347825</v>
      </c>
      <c r="BN9" s="43">
        <f t="shared" si="2"/>
        <v>-675.88043478260875</v>
      </c>
      <c r="BO9" s="43">
        <f t="shared" si="2"/>
        <v>-3.6684782608695654</v>
      </c>
      <c r="BP9" s="43">
        <f t="shared" si="2"/>
        <v>4440.695652173913</v>
      </c>
      <c r="BQ9" s="43">
        <f t="shared" si="2"/>
        <v>22.423913043478262</v>
      </c>
      <c r="BR9" s="43">
        <f t="shared" si="2"/>
        <v>194.24456521739131</v>
      </c>
      <c r="BS9" s="43">
        <f t="shared" si="2"/>
        <v>71.581521739130437</v>
      </c>
      <c r="BT9" s="43">
        <f t="shared" si="2"/>
        <v>327.88586956521738</v>
      </c>
      <c r="BU9" s="43">
        <f t="shared" si="2"/>
        <v>42.016304347826086</v>
      </c>
      <c r="BV9" s="43">
        <f t="shared" si="2"/>
        <v>27.771739130434781</v>
      </c>
      <c r="BW9" s="43">
        <f t="shared" si="2"/>
        <v>11.168478260869565</v>
      </c>
      <c r="BX9" s="43">
        <f t="shared" si="2"/>
        <v>5.9510869565217392</v>
      </c>
      <c r="BY9" s="43">
        <f t="shared" si="2"/>
        <v>41.573369565217391</v>
      </c>
      <c r="BZ9" s="43">
        <f t="shared" si="2"/>
        <v>94.076086956521735</v>
      </c>
      <c r="CA9" s="43">
        <f t="shared" si="2"/>
        <v>18.798913043478262</v>
      </c>
      <c r="CB9" s="43">
        <f t="shared" si="2"/>
        <v>54.548913043478258</v>
      </c>
      <c r="CC9" s="43">
        <f t="shared" si="2"/>
        <v>19.038043478260871</v>
      </c>
      <c r="CD9" s="43">
        <f t="shared" si="2"/>
        <v>131.25271739130434</v>
      </c>
      <c r="CE9" s="43">
        <f t="shared" si="2"/>
        <v>378.33695652173913</v>
      </c>
      <c r="CF9" s="43">
        <f t="shared" si="2"/>
        <v>98.940217391304344</v>
      </c>
    </row>
    <row r="10" spans="1:84" x14ac:dyDescent="0.25">
      <c r="A10" s="40"/>
      <c r="B10" s="41" t="s">
        <v>530</v>
      </c>
      <c r="C10" s="24"/>
      <c r="D10" s="41"/>
      <c r="E10" s="42"/>
      <c r="F10" s="42"/>
      <c r="G10" s="42"/>
      <c r="H10" s="43">
        <f>SUM(H12:H195)</f>
        <v>4108669869</v>
      </c>
      <c r="I10" s="43">
        <f>SUM(I12:I191)</f>
        <v>3877384619</v>
      </c>
      <c r="J10" s="43">
        <f t="shared" ref="J10:X10" si="3">SUM(J12:J195)</f>
        <v>188039428</v>
      </c>
      <c r="K10" s="53">
        <f t="shared" si="3"/>
        <v>561821355</v>
      </c>
      <c r="L10" s="53">
        <f t="shared" si="3"/>
        <v>334830966</v>
      </c>
      <c r="M10" s="53">
        <f t="shared" si="3"/>
        <v>995302930</v>
      </c>
      <c r="N10" s="53">
        <f t="shared" si="3"/>
        <v>320156893</v>
      </c>
      <c r="O10" s="50">
        <f t="shared" si="3"/>
        <v>2212112144</v>
      </c>
      <c r="P10" s="53">
        <f t="shared" si="3"/>
        <v>7532747</v>
      </c>
      <c r="Q10" s="53">
        <f t="shared" si="3"/>
        <v>197071629</v>
      </c>
      <c r="R10" s="53">
        <f t="shared" si="3"/>
        <v>51676173</v>
      </c>
      <c r="S10" s="53">
        <f t="shared" si="3"/>
        <v>256280549</v>
      </c>
      <c r="T10" s="43">
        <f t="shared" si="3"/>
        <v>841370358</v>
      </c>
      <c r="U10" s="43">
        <f t="shared" si="3"/>
        <v>306941837</v>
      </c>
      <c r="V10" s="43">
        <f t="shared" si="3"/>
        <v>2399092</v>
      </c>
      <c r="W10" s="43">
        <f t="shared" si="3"/>
        <v>2139288</v>
      </c>
      <c r="X10" s="43">
        <f t="shared" si="3"/>
        <v>3859082258</v>
      </c>
      <c r="Y10" s="43" t="s">
        <v>521</v>
      </c>
      <c r="Z10" s="44" t="s">
        <v>521</v>
      </c>
      <c r="AA10" s="43">
        <f>SUM(AA12:AA195)</f>
        <v>226579373</v>
      </c>
      <c r="AB10" s="44" t="s">
        <v>521</v>
      </c>
      <c r="AC10" s="43">
        <f t="shared" ref="AC10:AW10" si="4">SUM(AC12:AC195)</f>
        <v>212949949</v>
      </c>
      <c r="AD10" s="43">
        <f t="shared" si="4"/>
        <v>387488</v>
      </c>
      <c r="AE10" s="43">
        <f t="shared" si="4"/>
        <v>5018340</v>
      </c>
      <c r="AF10" s="43">
        <f t="shared" si="4"/>
        <v>96022466</v>
      </c>
      <c r="AG10" s="43">
        <f t="shared" si="4"/>
        <v>7797441</v>
      </c>
      <c r="AH10" s="43">
        <f t="shared" si="4"/>
        <v>19862000</v>
      </c>
      <c r="AI10" s="43">
        <f t="shared" si="4"/>
        <v>17644361</v>
      </c>
      <c r="AJ10" s="43">
        <f t="shared" si="4"/>
        <v>1902574</v>
      </c>
      <c r="AK10" s="43">
        <f t="shared" si="4"/>
        <v>6888374</v>
      </c>
      <c r="AL10" s="43">
        <f t="shared" si="4"/>
        <v>1734434</v>
      </c>
      <c r="AM10" s="43">
        <f t="shared" si="4"/>
        <v>1795395</v>
      </c>
      <c r="AN10" s="43">
        <f t="shared" si="4"/>
        <v>3886977</v>
      </c>
      <c r="AO10" s="43">
        <f t="shared" si="4"/>
        <v>13435253</v>
      </c>
      <c r="AP10" s="43">
        <f t="shared" si="4"/>
        <v>2046102</v>
      </c>
      <c r="AQ10" s="43">
        <f t="shared" si="4"/>
        <v>106831</v>
      </c>
      <c r="AR10" s="43">
        <f t="shared" si="4"/>
        <v>628421</v>
      </c>
      <c r="AS10" s="43">
        <f t="shared" si="4"/>
        <v>1738809</v>
      </c>
      <c r="AT10" s="43">
        <f t="shared" si="4"/>
        <v>5956396</v>
      </c>
      <c r="AU10" s="43">
        <f t="shared" si="4"/>
        <v>1693313</v>
      </c>
      <c r="AV10" s="43">
        <f t="shared" si="4"/>
        <v>194452627</v>
      </c>
      <c r="AW10" s="43">
        <f t="shared" si="4"/>
        <v>201851662</v>
      </c>
      <c r="AX10" s="43" t="s">
        <v>521</v>
      </c>
      <c r="AY10" s="43">
        <f t="shared" ref="AY10:CF10" si="5">SUM(AY12:AY195)</f>
        <v>265249.78999999998</v>
      </c>
      <c r="AZ10" s="43">
        <f t="shared" si="5"/>
        <v>8000</v>
      </c>
      <c r="BA10" s="43">
        <f t="shared" si="5"/>
        <v>26325661</v>
      </c>
      <c r="BB10" s="43">
        <f t="shared" si="5"/>
        <v>5751</v>
      </c>
      <c r="BC10" s="43">
        <f t="shared" si="5"/>
        <v>23842352</v>
      </c>
      <c r="BD10" s="43">
        <f t="shared" si="5"/>
        <v>577649</v>
      </c>
      <c r="BE10" s="43">
        <f t="shared" si="5"/>
        <v>27203</v>
      </c>
      <c r="BF10" s="43">
        <f t="shared" si="5"/>
        <v>0</v>
      </c>
      <c r="BG10" s="43">
        <f t="shared" si="5"/>
        <v>788786</v>
      </c>
      <c r="BH10" s="43">
        <f t="shared" si="5"/>
        <v>410043</v>
      </c>
      <c r="BI10" s="43">
        <f t="shared" si="5"/>
        <v>12258</v>
      </c>
      <c r="BJ10" s="43">
        <f t="shared" si="5"/>
        <v>-109</v>
      </c>
      <c r="BK10" s="43">
        <f t="shared" si="5"/>
        <v>-2204</v>
      </c>
      <c r="BL10" s="43">
        <f t="shared" si="5"/>
        <v>-45770.5</v>
      </c>
      <c r="BM10" s="43">
        <f t="shared" si="5"/>
        <v>-220878.5</v>
      </c>
      <c r="BN10" s="43">
        <f t="shared" si="5"/>
        <v>-124362</v>
      </c>
      <c r="BO10" s="43">
        <f t="shared" si="5"/>
        <v>-675</v>
      </c>
      <c r="BP10" s="43">
        <f t="shared" si="5"/>
        <v>817088</v>
      </c>
      <c r="BQ10" s="43">
        <f t="shared" si="5"/>
        <v>4126</v>
      </c>
      <c r="BR10" s="43">
        <f t="shared" si="5"/>
        <v>35741</v>
      </c>
      <c r="BS10" s="43">
        <f t="shared" si="5"/>
        <v>13171</v>
      </c>
      <c r="BT10" s="43">
        <f t="shared" si="5"/>
        <v>60331</v>
      </c>
      <c r="BU10" s="43">
        <f t="shared" si="5"/>
        <v>7731</v>
      </c>
      <c r="BV10" s="43">
        <f t="shared" si="5"/>
        <v>5110</v>
      </c>
      <c r="BW10" s="43">
        <f t="shared" si="5"/>
        <v>2055</v>
      </c>
      <c r="BX10" s="43">
        <f t="shared" si="5"/>
        <v>1095</v>
      </c>
      <c r="BY10" s="43">
        <f t="shared" si="5"/>
        <v>7649.5</v>
      </c>
      <c r="BZ10" s="43">
        <f t="shared" si="5"/>
        <v>17310</v>
      </c>
      <c r="CA10" s="43">
        <f t="shared" si="5"/>
        <v>3459</v>
      </c>
      <c r="CB10" s="43">
        <f t="shared" si="5"/>
        <v>10037</v>
      </c>
      <c r="CC10" s="43">
        <f t="shared" si="5"/>
        <v>3503</v>
      </c>
      <c r="CD10" s="43">
        <f t="shared" si="5"/>
        <v>24150.5</v>
      </c>
      <c r="CE10" s="43">
        <f t="shared" si="5"/>
        <v>69614</v>
      </c>
      <c r="CF10" s="43">
        <f t="shared" si="5"/>
        <v>18205</v>
      </c>
    </row>
    <row r="11" spans="1:84" x14ac:dyDescent="0.25">
      <c r="A11" s="22"/>
      <c r="B11" s="5"/>
      <c r="C11" s="5"/>
      <c r="D11" s="9"/>
      <c r="E11" s="5"/>
      <c r="F11" s="5"/>
      <c r="G11" s="5"/>
      <c r="H11" s="9"/>
      <c r="I11" s="9"/>
      <c r="J11" s="9"/>
      <c r="K11" s="54"/>
      <c r="L11" s="54"/>
      <c r="M11" s="54"/>
      <c r="N11" s="54"/>
      <c r="O11" s="54"/>
      <c r="P11" s="54"/>
      <c r="Q11" s="54"/>
      <c r="R11" s="54"/>
      <c r="S11" s="54"/>
      <c r="T11" s="7"/>
      <c r="U11" s="7"/>
      <c r="V11" s="7"/>
      <c r="W11" s="7"/>
      <c r="X11" s="7"/>
      <c r="Y11" s="7"/>
      <c r="Z11" s="26"/>
      <c r="AA11" s="7" t="s">
        <v>0</v>
      </c>
      <c r="AB11" s="2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22"/>
      <c r="BR11" s="9"/>
      <c r="BS11" s="9"/>
      <c r="BT11" s="9"/>
      <c r="BU11" s="9"/>
      <c r="BV11" s="9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x14ac:dyDescent="0.25">
      <c r="A12" s="15">
        <v>1</v>
      </c>
      <c r="B12" s="8" t="s">
        <v>106</v>
      </c>
      <c r="C12" s="57" t="s">
        <v>399</v>
      </c>
      <c r="D12" s="8" t="s">
        <v>612</v>
      </c>
      <c r="E12" s="8" t="s">
        <v>639</v>
      </c>
      <c r="F12" s="8"/>
      <c r="G12" s="8" t="s">
        <v>638</v>
      </c>
      <c r="H12" s="7">
        <v>4663045</v>
      </c>
      <c r="I12" s="7">
        <v>4670271</v>
      </c>
      <c r="J12" s="7">
        <v>266227</v>
      </c>
      <c r="K12" s="12">
        <v>60218</v>
      </c>
      <c r="L12" s="12">
        <v>1016815</v>
      </c>
      <c r="M12" s="12">
        <v>306841</v>
      </c>
      <c r="N12" s="12">
        <v>0</v>
      </c>
      <c r="O12" s="25">
        <f t="shared" ref="O12:O43" si="6">SUM(K12:N12)</f>
        <v>1383874</v>
      </c>
      <c r="P12" s="12">
        <v>2471</v>
      </c>
      <c r="Q12" s="12">
        <v>659917</v>
      </c>
      <c r="R12" s="12">
        <v>0</v>
      </c>
      <c r="S12" s="12">
        <f t="shared" ref="S12:S43" si="7">SUM(P12:R12)</f>
        <v>662388</v>
      </c>
      <c r="T12" s="7">
        <v>1492111</v>
      </c>
      <c r="U12" s="7">
        <v>175903</v>
      </c>
      <c r="V12" s="7">
        <v>0</v>
      </c>
      <c r="W12" s="7">
        <v>0</v>
      </c>
      <c r="X12" s="7">
        <v>4090468</v>
      </c>
      <c r="Y12" s="7" t="s">
        <v>160</v>
      </c>
      <c r="Z12" s="26">
        <v>0.13320000000000001</v>
      </c>
      <c r="AA12" s="7">
        <v>0</v>
      </c>
      <c r="AB12" s="26">
        <f>319057/4090468</f>
        <v>7.8000121257518706E-2</v>
      </c>
      <c r="AC12" s="7">
        <v>318313</v>
      </c>
      <c r="AD12" s="7">
        <v>0</v>
      </c>
      <c r="AE12" s="7">
        <f>6682+694+87</f>
        <v>7463</v>
      </c>
      <c r="AF12" s="7">
        <v>85714</v>
      </c>
      <c r="AG12" s="7">
        <v>7558</v>
      </c>
      <c r="AH12" s="7">
        <v>13607</v>
      </c>
      <c r="AI12" s="7">
        <v>0</v>
      </c>
      <c r="AJ12" s="7">
        <v>3886</v>
      </c>
      <c r="AK12" s="7">
        <v>6966</v>
      </c>
      <c r="AL12" s="7">
        <v>8400</v>
      </c>
      <c r="AM12" s="7">
        <v>0</v>
      </c>
      <c r="AN12" s="7">
        <v>0</v>
      </c>
      <c r="AO12" s="7">
        <f>2523+5756+7427</f>
        <v>15706</v>
      </c>
      <c r="AP12" s="7">
        <v>1069</v>
      </c>
      <c r="AQ12" s="7">
        <v>0</v>
      </c>
      <c r="AR12" s="7">
        <v>0</v>
      </c>
      <c r="AS12" s="7">
        <v>2428</v>
      </c>
      <c r="AT12" s="7">
        <v>6287</v>
      </c>
      <c r="AU12" s="7">
        <v>0</v>
      </c>
      <c r="AV12" s="7">
        <v>158852</v>
      </c>
      <c r="AW12" s="7">
        <v>168297</v>
      </c>
      <c r="AX12" s="26">
        <f t="shared" ref="AX12:AX34" si="8">AU12/AV12</f>
        <v>0</v>
      </c>
      <c r="AY12" s="7">
        <v>1</v>
      </c>
      <c r="AZ12" s="7">
        <v>0</v>
      </c>
      <c r="BA12" s="7">
        <v>148368</v>
      </c>
      <c r="BB12" s="7">
        <v>0</v>
      </c>
      <c r="BC12" s="7">
        <v>19674</v>
      </c>
      <c r="BD12" s="7">
        <v>0</v>
      </c>
      <c r="BE12" s="7">
        <v>0</v>
      </c>
      <c r="BF12" s="7">
        <v>0</v>
      </c>
      <c r="BG12" s="7">
        <v>711</v>
      </c>
      <c r="BH12" s="7">
        <v>388</v>
      </c>
      <c r="BI12" s="7">
        <v>26</v>
      </c>
      <c r="BJ12" s="7"/>
      <c r="BK12" s="7">
        <v>9</v>
      </c>
      <c r="BL12" s="7">
        <v>-72</v>
      </c>
      <c r="BM12" s="7">
        <v>-185</v>
      </c>
      <c r="BN12" s="7">
        <v>-102</v>
      </c>
      <c r="BO12" s="7">
        <v>0</v>
      </c>
      <c r="BP12" s="7">
        <f t="shared" ref="BP12:BP43" si="9">SUM(BG12:BO12)</f>
        <v>775</v>
      </c>
      <c r="BQ12" s="1">
        <v>5</v>
      </c>
      <c r="BR12" s="7">
        <v>51</v>
      </c>
      <c r="BS12" s="7">
        <v>18</v>
      </c>
      <c r="BT12" s="7">
        <v>39</v>
      </c>
      <c r="BU12" s="7">
        <v>2</v>
      </c>
      <c r="BV12" s="7">
        <v>3</v>
      </c>
      <c r="BW12" s="7">
        <v>0</v>
      </c>
      <c r="BX12" s="7">
        <v>0</v>
      </c>
      <c r="BY12" s="7">
        <v>10</v>
      </c>
      <c r="BZ12" s="7">
        <v>33</v>
      </c>
      <c r="CA12" s="7">
        <v>2</v>
      </c>
      <c r="CB12" s="7">
        <v>0</v>
      </c>
      <c r="CC12" s="7">
        <v>1</v>
      </c>
      <c r="CD12" s="7">
        <v>14</v>
      </c>
      <c r="CE12" s="7">
        <v>62</v>
      </c>
      <c r="CF12" s="7">
        <v>13</v>
      </c>
    </row>
    <row r="13" spans="1:84" x14ac:dyDescent="0.25">
      <c r="A13" s="15">
        <v>1</v>
      </c>
      <c r="B13" s="8" t="s">
        <v>262</v>
      </c>
      <c r="C13" s="57" t="s">
        <v>595</v>
      </c>
      <c r="D13" s="8" t="s">
        <v>117</v>
      </c>
      <c r="E13" s="8" t="s">
        <v>483</v>
      </c>
      <c r="F13" s="8"/>
      <c r="G13" s="8" t="s">
        <v>466</v>
      </c>
      <c r="H13" s="7">
        <v>5384064</v>
      </c>
      <c r="I13" s="7">
        <v>5421982</v>
      </c>
      <c r="J13" s="7">
        <v>221197</v>
      </c>
      <c r="K13" s="12">
        <v>22117</v>
      </c>
      <c r="L13" s="12">
        <v>643824</v>
      </c>
      <c r="M13" s="12">
        <v>1071306</v>
      </c>
      <c r="N13" s="12">
        <v>683234</v>
      </c>
      <c r="O13" s="25">
        <f t="shared" si="6"/>
        <v>2420481</v>
      </c>
      <c r="P13" s="12">
        <v>0</v>
      </c>
      <c r="Q13" s="12">
        <v>528150</v>
      </c>
      <c r="R13" s="12">
        <v>0</v>
      </c>
      <c r="S13" s="12">
        <f t="shared" si="7"/>
        <v>528150</v>
      </c>
      <c r="T13" s="7">
        <v>1195839</v>
      </c>
      <c r="U13" s="7">
        <v>477715</v>
      </c>
      <c r="V13" s="7">
        <v>0</v>
      </c>
      <c r="W13" s="7">
        <v>0</v>
      </c>
      <c r="X13" s="7">
        <v>5091390</v>
      </c>
      <c r="Y13" s="7" t="s">
        <v>467</v>
      </c>
      <c r="Z13" s="26">
        <v>0.28000000000000003</v>
      </c>
      <c r="AA13" s="7">
        <v>0</v>
      </c>
      <c r="AB13" s="26">
        <f>402721/4974160</f>
        <v>8.0962614793251522E-2</v>
      </c>
      <c r="AC13" s="7">
        <v>402948</v>
      </c>
      <c r="AD13" s="7">
        <v>0</v>
      </c>
      <c r="AE13" s="7">
        <f>5085+430+252</f>
        <v>5767</v>
      </c>
      <c r="AF13" s="7">
        <v>89042</v>
      </c>
      <c r="AG13" s="7">
        <v>8264</v>
      </c>
      <c r="AH13" s="7">
        <v>15162</v>
      </c>
      <c r="AI13" s="7">
        <f>25308+2499</f>
        <v>27807</v>
      </c>
      <c r="AJ13" s="7">
        <v>0</v>
      </c>
      <c r="AK13" s="7">
        <v>13864</v>
      </c>
      <c r="AL13" s="7">
        <v>7875</v>
      </c>
      <c r="AM13" s="7">
        <v>0</v>
      </c>
      <c r="AN13" s="7">
        <v>0</v>
      </c>
      <c r="AO13" s="7">
        <f>5964+11522+7620</f>
        <v>25106</v>
      </c>
      <c r="AP13" s="7">
        <v>5029</v>
      </c>
      <c r="AQ13" s="7">
        <v>0</v>
      </c>
      <c r="AR13" s="7">
        <v>3349</v>
      </c>
      <c r="AS13" s="7">
        <v>0</v>
      </c>
      <c r="AT13" s="7">
        <v>33816</v>
      </c>
      <c r="AU13" s="7">
        <v>0</v>
      </c>
      <c r="AV13" s="7">
        <v>251881</v>
      </c>
      <c r="AW13" s="7">
        <v>251911</v>
      </c>
      <c r="AX13" s="26">
        <f t="shared" si="8"/>
        <v>0</v>
      </c>
      <c r="AY13" s="7">
        <v>0</v>
      </c>
      <c r="AZ13" s="7">
        <v>0</v>
      </c>
      <c r="BA13" s="7">
        <v>148368</v>
      </c>
      <c r="BB13" s="7">
        <v>0</v>
      </c>
      <c r="BC13" s="7">
        <v>32906</v>
      </c>
      <c r="BD13" s="7">
        <v>0</v>
      </c>
      <c r="BE13" s="7">
        <v>0</v>
      </c>
      <c r="BF13" s="7">
        <v>0</v>
      </c>
      <c r="BG13" s="7">
        <v>856</v>
      </c>
      <c r="BH13" s="7">
        <v>385</v>
      </c>
      <c r="BI13" s="7">
        <v>0</v>
      </c>
      <c r="BJ13" s="7"/>
      <c r="BK13" s="7">
        <v>11</v>
      </c>
      <c r="BL13" s="7">
        <v>-67</v>
      </c>
      <c r="BM13" s="7">
        <v>-96</v>
      </c>
      <c r="BN13" s="7">
        <v>-181</v>
      </c>
      <c r="BO13" s="7">
        <v>-2</v>
      </c>
      <c r="BP13" s="7">
        <f t="shared" si="9"/>
        <v>906</v>
      </c>
      <c r="BQ13" s="1">
        <v>0</v>
      </c>
      <c r="BR13" s="7">
        <v>23</v>
      </c>
      <c r="BS13" s="7">
        <v>17</v>
      </c>
      <c r="BT13" s="7">
        <v>140</v>
      </c>
      <c r="BU13" s="7">
        <v>0</v>
      </c>
      <c r="BV13" s="7">
        <v>1</v>
      </c>
      <c r="BW13" s="7">
        <v>0</v>
      </c>
      <c r="BX13" s="7">
        <v>0</v>
      </c>
      <c r="BY13" s="7">
        <v>11</v>
      </c>
      <c r="BZ13" s="7">
        <v>13</v>
      </c>
      <c r="CA13" s="7">
        <v>18</v>
      </c>
      <c r="CB13" s="7">
        <v>1</v>
      </c>
      <c r="CC13" s="7">
        <v>2</v>
      </c>
      <c r="CD13" s="7">
        <v>6</v>
      </c>
      <c r="CE13" s="7">
        <v>21</v>
      </c>
      <c r="CF13" s="7">
        <v>15</v>
      </c>
    </row>
    <row r="14" spans="1:84" x14ac:dyDescent="0.25">
      <c r="A14" s="15">
        <v>1</v>
      </c>
      <c r="B14" s="8" t="s">
        <v>581</v>
      </c>
      <c r="C14" s="57" t="s">
        <v>211</v>
      </c>
      <c r="D14" s="8" t="s">
        <v>802</v>
      </c>
      <c r="E14" s="8" t="s">
        <v>462</v>
      </c>
      <c r="F14" s="8"/>
      <c r="G14" s="8" t="s">
        <v>478</v>
      </c>
      <c r="H14" s="7">
        <v>8421988</v>
      </c>
      <c r="I14" s="7">
        <v>8439528</v>
      </c>
      <c r="J14" s="7">
        <v>555228</v>
      </c>
      <c r="K14" s="12">
        <v>0</v>
      </c>
      <c r="L14" s="12">
        <v>435052</v>
      </c>
      <c r="M14" s="12">
        <v>318529</v>
      </c>
      <c r="N14" s="12">
        <v>2779707</v>
      </c>
      <c r="O14" s="25">
        <f t="shared" si="6"/>
        <v>3533288</v>
      </c>
      <c r="P14" s="12">
        <v>0</v>
      </c>
      <c r="Q14" s="12">
        <v>394881</v>
      </c>
      <c r="R14" s="12">
        <v>539935</v>
      </c>
      <c r="S14" s="12">
        <f t="shared" si="7"/>
        <v>934816</v>
      </c>
      <c r="T14" s="7">
        <v>2479077</v>
      </c>
      <c r="U14" s="7">
        <v>515233</v>
      </c>
      <c r="V14" s="7">
        <v>43460</v>
      </c>
      <c r="W14" s="7">
        <v>0</v>
      </c>
      <c r="X14" s="7">
        <v>8171288</v>
      </c>
      <c r="Y14" s="7" t="s">
        <v>531</v>
      </c>
      <c r="Z14" s="26">
        <v>0.15740000000000001</v>
      </c>
      <c r="AA14" s="7">
        <v>0</v>
      </c>
      <c r="AB14" s="26">
        <f>633971/8127828</f>
        <v>7.8000051182185448E-2</v>
      </c>
      <c r="AC14" s="7">
        <v>629533</v>
      </c>
      <c r="AD14" s="7">
        <v>0</v>
      </c>
      <c r="AE14" s="7">
        <f>17540+680+237</f>
        <v>18457</v>
      </c>
      <c r="AF14" s="7">
        <v>269689</v>
      </c>
      <c r="AG14" s="7">
        <v>23136</v>
      </c>
      <c r="AH14" s="7">
        <v>33798</v>
      </c>
      <c r="AI14" s="7">
        <v>24759</v>
      </c>
      <c r="AJ14" s="7">
        <v>10299</v>
      </c>
      <c r="AK14" s="7">
        <v>76505</v>
      </c>
      <c r="AL14" s="7">
        <v>8400</v>
      </c>
      <c r="AM14" s="7">
        <v>1215</v>
      </c>
      <c r="AN14" s="7">
        <v>0</v>
      </c>
      <c r="AO14" s="7">
        <f>5381+14923+8297</f>
        <v>28601</v>
      </c>
      <c r="AP14" s="7">
        <v>6681</v>
      </c>
      <c r="AQ14" s="7">
        <v>54</v>
      </c>
      <c r="AR14" s="7">
        <v>0</v>
      </c>
      <c r="AS14" s="7">
        <v>2576</v>
      </c>
      <c r="AT14" s="7">
        <v>161</v>
      </c>
      <c r="AU14" s="7">
        <v>0</v>
      </c>
      <c r="AV14" s="7">
        <v>525366</v>
      </c>
      <c r="AW14" s="7">
        <v>557436</v>
      </c>
      <c r="AX14" s="26">
        <f t="shared" si="8"/>
        <v>0</v>
      </c>
      <c r="AY14" s="7">
        <v>105</v>
      </c>
      <c r="AZ14" s="7">
        <v>0</v>
      </c>
      <c r="BA14" s="7">
        <v>148368</v>
      </c>
      <c r="BB14" s="7">
        <v>0</v>
      </c>
      <c r="BC14" s="7">
        <v>88828</v>
      </c>
      <c r="BD14" s="7">
        <v>0</v>
      </c>
      <c r="BE14" s="7">
        <v>0</v>
      </c>
      <c r="BF14" s="7">
        <v>0</v>
      </c>
      <c r="BG14" s="7">
        <v>1861</v>
      </c>
      <c r="BH14" s="7">
        <v>1177</v>
      </c>
      <c r="BI14" s="7">
        <v>454</v>
      </c>
      <c r="BJ14" s="7"/>
      <c r="BK14" s="7">
        <v>0</v>
      </c>
      <c r="BL14" s="7">
        <v>-168</v>
      </c>
      <c r="BM14" s="7">
        <v>-1020</v>
      </c>
      <c r="BN14" s="7">
        <v>-529</v>
      </c>
      <c r="BO14" s="7">
        <v>-2</v>
      </c>
      <c r="BP14" s="7">
        <f t="shared" si="9"/>
        <v>1773</v>
      </c>
      <c r="BQ14" s="1">
        <v>7</v>
      </c>
      <c r="BR14" s="7">
        <v>326</v>
      </c>
      <c r="BS14" s="7">
        <v>9</v>
      </c>
      <c r="BT14" s="7">
        <v>25</v>
      </c>
      <c r="BU14" s="7">
        <v>9</v>
      </c>
      <c r="BV14" s="7">
        <v>18</v>
      </c>
      <c r="BW14" s="7">
        <v>4</v>
      </c>
      <c r="BX14" s="7">
        <v>5</v>
      </c>
      <c r="BY14" s="7">
        <v>9</v>
      </c>
      <c r="BZ14" s="7">
        <v>40</v>
      </c>
      <c r="CA14" s="7">
        <v>24</v>
      </c>
      <c r="CB14" s="7">
        <v>37</v>
      </c>
      <c r="CC14" s="7">
        <v>17</v>
      </c>
      <c r="CD14" s="7">
        <v>55</v>
      </c>
      <c r="CE14" s="7">
        <v>172</v>
      </c>
      <c r="CF14" s="7">
        <v>217</v>
      </c>
    </row>
    <row r="15" spans="1:84" x14ac:dyDescent="0.25">
      <c r="A15" s="15">
        <v>1</v>
      </c>
      <c r="B15" s="4" t="s">
        <v>689</v>
      </c>
      <c r="C15" s="58" t="s">
        <v>229</v>
      </c>
      <c r="D15" s="4" t="s">
        <v>102</v>
      </c>
      <c r="E15" s="4" t="s">
        <v>462</v>
      </c>
      <c r="F15" s="8"/>
      <c r="G15" s="8" t="s">
        <v>478</v>
      </c>
      <c r="H15" s="7">
        <v>13545947</v>
      </c>
      <c r="I15" s="7">
        <v>13595296</v>
      </c>
      <c r="J15" s="7">
        <v>1633167</v>
      </c>
      <c r="K15" s="12">
        <v>0</v>
      </c>
      <c r="L15" s="12">
        <v>1507817</v>
      </c>
      <c r="M15" s="12">
        <v>0</v>
      </c>
      <c r="N15" s="12">
        <v>3263020</v>
      </c>
      <c r="O15" s="25">
        <f t="shared" si="6"/>
        <v>4770837</v>
      </c>
      <c r="P15" s="12">
        <v>0</v>
      </c>
      <c r="Q15" s="12">
        <v>0</v>
      </c>
      <c r="R15" s="12">
        <v>1590128</v>
      </c>
      <c r="S15" s="12">
        <f t="shared" si="7"/>
        <v>1590128</v>
      </c>
      <c r="T15" s="7">
        <v>4587787</v>
      </c>
      <c r="U15" s="7">
        <v>487765</v>
      </c>
      <c r="V15" s="7">
        <v>60268</v>
      </c>
      <c r="W15" s="7">
        <v>0</v>
      </c>
      <c r="X15" s="7">
        <v>12701391</v>
      </c>
      <c r="Y15" s="7" t="s">
        <v>531</v>
      </c>
      <c r="Z15" s="26">
        <v>0.25779999999999997</v>
      </c>
      <c r="AA15" s="7">
        <v>0</v>
      </c>
      <c r="AB15" s="26">
        <f>977040/12641123</f>
        <v>7.7290601475834067E-2</v>
      </c>
      <c r="AC15" s="7">
        <v>974700</v>
      </c>
      <c r="AD15" s="7">
        <v>0</v>
      </c>
      <c r="AE15" s="7">
        <f>49349+794</f>
        <v>50143</v>
      </c>
      <c r="AF15" s="7">
        <v>534556</v>
      </c>
      <c r="AG15" s="7">
        <v>43725</v>
      </c>
      <c r="AH15" s="7">
        <v>95507</v>
      </c>
      <c r="AI15" s="7">
        <f>143086+8168</f>
        <v>151254</v>
      </c>
      <c r="AJ15" s="7">
        <v>2581</v>
      </c>
      <c r="AK15" s="7">
        <v>132578</v>
      </c>
      <c r="AL15" s="7">
        <v>13125</v>
      </c>
      <c r="AM15" s="7">
        <v>2390</v>
      </c>
      <c r="AN15" s="7">
        <v>0</v>
      </c>
      <c r="AO15" s="7">
        <f>9332+19876+12244</f>
        <v>41452</v>
      </c>
      <c r="AP15" s="7">
        <v>10464</v>
      </c>
      <c r="AQ15" s="7">
        <v>0</v>
      </c>
      <c r="AR15" s="7">
        <v>0</v>
      </c>
      <c r="AS15" s="7">
        <v>10193</v>
      </c>
      <c r="AT15" s="7">
        <v>3552</v>
      </c>
      <c r="AU15" s="7">
        <v>0</v>
      </c>
      <c r="AV15" s="7">
        <v>1078153</v>
      </c>
      <c r="AW15" s="7">
        <v>1124732</v>
      </c>
      <c r="AX15" s="26">
        <f t="shared" si="8"/>
        <v>0</v>
      </c>
      <c r="AY15" s="7">
        <v>852</v>
      </c>
      <c r="AZ15" s="7">
        <v>0</v>
      </c>
      <c r="BA15" s="7">
        <v>148368</v>
      </c>
      <c r="BB15" s="7">
        <v>0</v>
      </c>
      <c r="BC15" s="7">
        <v>74202</v>
      </c>
      <c r="BD15" s="7">
        <v>0</v>
      </c>
      <c r="BE15" s="7">
        <v>0</v>
      </c>
      <c r="BF15" s="7">
        <v>0</v>
      </c>
      <c r="BG15" s="7">
        <v>2995</v>
      </c>
      <c r="BH15" s="7">
        <v>1416</v>
      </c>
      <c r="BI15" s="7">
        <v>419</v>
      </c>
      <c r="BJ15" s="7"/>
      <c r="BK15" s="7">
        <v>-4</v>
      </c>
      <c r="BL15" s="7">
        <v>-66</v>
      </c>
      <c r="BM15" s="7">
        <v>-1551</v>
      </c>
      <c r="BN15" s="7">
        <v>-647</v>
      </c>
      <c r="BO15" s="7">
        <v>-8</v>
      </c>
      <c r="BP15" s="7">
        <f t="shared" si="9"/>
        <v>2554</v>
      </c>
      <c r="BQ15" s="1">
        <v>149</v>
      </c>
      <c r="BR15" s="7">
        <v>139</v>
      </c>
      <c r="BS15" s="7">
        <v>64</v>
      </c>
      <c r="BT15" s="7">
        <v>404</v>
      </c>
      <c r="BU15" s="7">
        <v>9</v>
      </c>
      <c r="BV15" s="7">
        <v>31</v>
      </c>
      <c r="BW15" s="7">
        <v>4</v>
      </c>
      <c r="BX15" s="7">
        <v>4</v>
      </c>
      <c r="BY15" s="7">
        <v>10</v>
      </c>
      <c r="BZ15" s="7">
        <v>18</v>
      </c>
      <c r="CA15" s="7">
        <v>16</v>
      </c>
      <c r="CB15" s="7">
        <v>133</v>
      </c>
      <c r="CC15" s="7">
        <v>31</v>
      </c>
      <c r="CD15" s="7">
        <v>67</v>
      </c>
      <c r="CE15" s="7">
        <v>226</v>
      </c>
      <c r="CF15" s="7">
        <v>276</v>
      </c>
    </row>
    <row r="16" spans="1:84" x14ac:dyDescent="0.25">
      <c r="A16" s="15">
        <v>1</v>
      </c>
      <c r="B16" s="8" t="s">
        <v>712</v>
      </c>
      <c r="C16" s="57" t="s">
        <v>443</v>
      </c>
      <c r="D16" s="8" t="s">
        <v>41</v>
      </c>
      <c r="E16" s="8" t="s">
        <v>543</v>
      </c>
      <c r="F16" s="8"/>
      <c r="G16" s="8" t="s">
        <v>539</v>
      </c>
      <c r="H16" s="7">
        <v>4804599</v>
      </c>
      <c r="I16" s="7">
        <v>4808302</v>
      </c>
      <c r="J16" s="7">
        <v>1196987</v>
      </c>
      <c r="K16" s="12">
        <v>153847</v>
      </c>
      <c r="L16" s="12">
        <v>1166309</v>
      </c>
      <c r="M16" s="12">
        <v>0</v>
      </c>
      <c r="N16" s="12">
        <v>0</v>
      </c>
      <c r="O16" s="25">
        <f t="shared" si="6"/>
        <v>1320156</v>
      </c>
      <c r="P16" s="12">
        <v>0</v>
      </c>
      <c r="Q16" s="12">
        <v>770144</v>
      </c>
      <c r="R16" s="12">
        <v>0</v>
      </c>
      <c r="S16" s="12">
        <f t="shared" si="7"/>
        <v>770144</v>
      </c>
      <c r="T16" s="7">
        <v>1122057</v>
      </c>
      <c r="U16" s="7">
        <v>118536</v>
      </c>
      <c r="V16" s="7">
        <v>0</v>
      </c>
      <c r="W16" s="7">
        <v>0</v>
      </c>
      <c r="X16" s="7">
        <v>3620978</v>
      </c>
      <c r="Y16" s="7" t="s">
        <v>531</v>
      </c>
      <c r="Z16" s="26">
        <v>0.1439</v>
      </c>
      <c r="AA16" s="7">
        <v>0</v>
      </c>
      <c r="AB16" s="26">
        <f>295095/3620978</f>
        <v>8.1495938390125547E-2</v>
      </c>
      <c r="AC16" s="7">
        <v>288300</v>
      </c>
      <c r="AD16" s="7">
        <v>0</v>
      </c>
      <c r="AE16" s="7">
        <f>3703+455+59</f>
        <v>4217</v>
      </c>
      <c r="AF16" s="7">
        <v>55119</v>
      </c>
      <c r="AG16" s="7">
        <v>4395</v>
      </c>
      <c r="AH16" s="7">
        <v>6786</v>
      </c>
      <c r="AI16" s="7">
        <f>13130+2086</f>
        <v>15216</v>
      </c>
      <c r="AJ16" s="7">
        <v>0</v>
      </c>
      <c r="AK16" s="7">
        <v>9633</v>
      </c>
      <c r="AL16" s="7">
        <v>7350</v>
      </c>
      <c r="AM16" s="7">
        <v>3750</v>
      </c>
      <c r="AN16" s="7">
        <v>0</v>
      </c>
      <c r="AO16" s="7">
        <f>3692+8891+4594</f>
        <v>17177</v>
      </c>
      <c r="AP16" s="7">
        <v>4172</v>
      </c>
      <c r="AQ16" s="7">
        <v>0</v>
      </c>
      <c r="AR16" s="7">
        <v>300</v>
      </c>
      <c r="AS16" s="7">
        <v>0</v>
      </c>
      <c r="AT16" s="7">
        <v>3823</v>
      </c>
      <c r="AU16" s="7">
        <v>0</v>
      </c>
      <c r="AV16" s="7">
        <v>133860</v>
      </c>
      <c r="AW16" s="7">
        <v>136579</v>
      </c>
      <c r="AX16" s="26">
        <f t="shared" si="8"/>
        <v>0</v>
      </c>
      <c r="AY16" s="7">
        <v>0</v>
      </c>
      <c r="AZ16" s="7">
        <v>0</v>
      </c>
      <c r="BA16" s="7">
        <v>148368</v>
      </c>
      <c r="BB16" s="7">
        <v>0</v>
      </c>
      <c r="BC16" s="7">
        <v>17991</v>
      </c>
      <c r="BD16" s="7">
        <v>0</v>
      </c>
      <c r="BE16" s="7">
        <v>0</v>
      </c>
      <c r="BF16" s="7">
        <v>0</v>
      </c>
      <c r="BG16" s="7">
        <v>669</v>
      </c>
      <c r="BH16" s="7">
        <v>365</v>
      </c>
      <c r="BI16" s="7">
        <v>0</v>
      </c>
      <c r="BJ16" s="7"/>
      <c r="BK16" s="7">
        <v>0</v>
      </c>
      <c r="BL16" s="7">
        <v>-80</v>
      </c>
      <c r="BM16" s="7">
        <v>-134</v>
      </c>
      <c r="BN16" s="7">
        <v>-137</v>
      </c>
      <c r="BO16" s="7">
        <v>0</v>
      </c>
      <c r="BP16" s="7">
        <f t="shared" si="9"/>
        <v>683</v>
      </c>
      <c r="BQ16" s="1">
        <v>0</v>
      </c>
      <c r="BR16" s="7">
        <v>43</v>
      </c>
      <c r="BS16" s="7">
        <v>7</v>
      </c>
      <c r="BT16" s="7">
        <v>87</v>
      </c>
      <c r="BU16" s="7">
        <v>0</v>
      </c>
      <c r="BV16" s="7">
        <v>0</v>
      </c>
      <c r="BW16" s="7">
        <v>0</v>
      </c>
      <c r="BX16" s="7">
        <v>1</v>
      </c>
      <c r="BY16" s="7">
        <v>17</v>
      </c>
      <c r="BZ16" s="7">
        <v>0</v>
      </c>
      <c r="CA16" s="7">
        <v>0</v>
      </c>
      <c r="CB16" s="7">
        <v>6</v>
      </c>
      <c r="CC16" s="7">
        <v>4</v>
      </c>
      <c r="CD16" s="7">
        <v>17</v>
      </c>
      <c r="CE16" s="7">
        <v>4</v>
      </c>
      <c r="CF16" s="7">
        <v>4</v>
      </c>
    </row>
    <row r="17" spans="1:84" x14ac:dyDescent="0.25">
      <c r="A17" s="15">
        <v>2</v>
      </c>
      <c r="B17" s="8" t="s">
        <v>140</v>
      </c>
      <c r="C17" s="57" t="s">
        <v>46</v>
      </c>
      <c r="D17" s="8" t="s">
        <v>33</v>
      </c>
      <c r="E17" s="8" t="s">
        <v>557</v>
      </c>
      <c r="F17" s="8" t="s">
        <v>551</v>
      </c>
      <c r="G17" s="8" t="s">
        <v>542</v>
      </c>
      <c r="H17" s="7">
        <v>21834718</v>
      </c>
      <c r="I17" s="7">
        <v>21906618</v>
      </c>
      <c r="J17" s="7">
        <v>1251164</v>
      </c>
      <c r="K17" s="12">
        <v>0</v>
      </c>
      <c r="L17" s="12">
        <v>0</v>
      </c>
      <c r="M17" s="12">
        <v>0</v>
      </c>
      <c r="N17" s="12">
        <v>7920948</v>
      </c>
      <c r="O17" s="25">
        <f t="shared" si="6"/>
        <v>7920948</v>
      </c>
      <c r="P17" s="12">
        <v>0</v>
      </c>
      <c r="Q17" s="12">
        <v>0</v>
      </c>
      <c r="R17" s="12">
        <v>1462654</v>
      </c>
      <c r="S17" s="12">
        <f t="shared" si="7"/>
        <v>1462654</v>
      </c>
      <c r="T17" s="7">
        <v>10064470</v>
      </c>
      <c r="U17" s="7">
        <v>1751587</v>
      </c>
      <c r="V17" s="7">
        <v>0</v>
      </c>
      <c r="W17" s="7">
        <v>0</v>
      </c>
      <c r="X17" s="7">
        <v>22314739</v>
      </c>
      <c r="Y17" s="7" t="s">
        <v>531</v>
      </c>
      <c r="Z17" s="26">
        <v>0.32</v>
      </c>
      <c r="AA17" s="7">
        <v>0</v>
      </c>
      <c r="AB17" s="26">
        <f>1110464/22228794</f>
        <v>4.995610648063048E-2</v>
      </c>
      <c r="AC17" s="7">
        <v>1115205</v>
      </c>
      <c r="AD17" s="7">
        <v>0</v>
      </c>
      <c r="AE17" s="7">
        <f>71900+663</f>
        <v>72563</v>
      </c>
      <c r="AF17" s="7">
        <v>504004</v>
      </c>
      <c r="AG17" s="7">
        <v>41415</v>
      </c>
      <c r="AH17" s="7">
        <v>129350</v>
      </c>
      <c r="AI17" s="7">
        <f>81896+4808</f>
        <v>86704</v>
      </c>
      <c r="AJ17" s="7">
        <v>13974</v>
      </c>
      <c r="AK17" s="7">
        <v>22768</v>
      </c>
      <c r="AL17" s="7">
        <v>10425</v>
      </c>
      <c r="AM17" s="7">
        <v>2018</v>
      </c>
      <c r="AN17" s="7">
        <v>0</v>
      </c>
      <c r="AO17" s="7">
        <f>16674+33639+33479</f>
        <v>83792</v>
      </c>
      <c r="AP17" s="7">
        <v>10724</v>
      </c>
      <c r="AQ17" s="7">
        <v>1999</v>
      </c>
      <c r="AR17" s="7">
        <v>0</v>
      </c>
      <c r="AS17" s="7">
        <v>5935</v>
      </c>
      <c r="AT17" s="7">
        <v>12684</v>
      </c>
      <c r="AU17" s="7">
        <v>0</v>
      </c>
      <c r="AV17" s="7">
        <v>991543</v>
      </c>
      <c r="AW17" s="7">
        <v>1035188</v>
      </c>
      <c r="AX17" s="26">
        <f t="shared" si="8"/>
        <v>0</v>
      </c>
      <c r="AY17" s="7">
        <v>0</v>
      </c>
      <c r="AZ17" s="7">
        <v>0</v>
      </c>
      <c r="BA17" s="7">
        <v>148368</v>
      </c>
      <c r="BB17" s="7">
        <v>0</v>
      </c>
      <c r="BC17" s="7">
        <v>148110</v>
      </c>
      <c r="BD17" s="7">
        <v>0</v>
      </c>
      <c r="BE17" s="7">
        <v>0</v>
      </c>
      <c r="BF17" s="7">
        <v>0</v>
      </c>
      <c r="BG17" s="7">
        <v>5112</v>
      </c>
      <c r="BH17" s="7">
        <v>2020</v>
      </c>
      <c r="BI17" s="7">
        <v>55</v>
      </c>
      <c r="BJ17" s="7">
        <v>0</v>
      </c>
      <c r="BK17" s="7">
        <v>-1</v>
      </c>
      <c r="BL17" s="7">
        <v>-231</v>
      </c>
      <c r="BM17" s="7">
        <v>-639</v>
      </c>
      <c r="BN17" s="7">
        <v>-943</v>
      </c>
      <c r="BO17" s="7">
        <v>-4</v>
      </c>
      <c r="BP17" s="7">
        <f t="shared" si="9"/>
        <v>5369</v>
      </c>
      <c r="BQ17" s="1">
        <v>48</v>
      </c>
      <c r="BR17" s="7">
        <v>194</v>
      </c>
      <c r="BS17" s="7">
        <v>130</v>
      </c>
      <c r="BT17" s="7">
        <v>528</v>
      </c>
      <c r="BU17" s="7">
        <v>4</v>
      </c>
      <c r="BV17" s="7">
        <v>87</v>
      </c>
      <c r="BW17" s="7">
        <v>1</v>
      </c>
      <c r="BX17" s="7">
        <v>4</v>
      </c>
      <c r="BY17" s="7">
        <v>38</v>
      </c>
      <c r="BZ17" s="7">
        <v>139</v>
      </c>
      <c r="CA17" s="7">
        <v>0</v>
      </c>
      <c r="CB17" s="7">
        <v>3</v>
      </c>
      <c r="CC17" s="7">
        <v>4</v>
      </c>
      <c r="CD17" s="7">
        <v>63</v>
      </c>
      <c r="CE17" s="7">
        <v>322</v>
      </c>
      <c r="CF17" s="7">
        <v>0</v>
      </c>
    </row>
    <row r="18" spans="1:84" x14ac:dyDescent="0.25">
      <c r="A18" s="15">
        <v>2</v>
      </c>
      <c r="B18" s="8" t="s">
        <v>214</v>
      </c>
      <c r="C18" s="57" t="s">
        <v>471</v>
      </c>
      <c r="D18" s="8" t="s">
        <v>500</v>
      </c>
      <c r="E18" s="8" t="s">
        <v>557</v>
      </c>
      <c r="F18" s="8" t="s">
        <v>234</v>
      </c>
      <c r="G18" s="8" t="s">
        <v>542</v>
      </c>
      <c r="H18" s="7">
        <v>17711962</v>
      </c>
      <c r="I18" s="7">
        <v>17740279</v>
      </c>
      <c r="J18" s="7">
        <v>1268874</v>
      </c>
      <c r="K18" s="12">
        <v>0</v>
      </c>
      <c r="L18" s="12">
        <v>4393331</v>
      </c>
      <c r="M18" s="12">
        <v>2788914</v>
      </c>
      <c r="N18" s="12">
        <v>2336189</v>
      </c>
      <c r="O18" s="25">
        <f t="shared" si="6"/>
        <v>9518434</v>
      </c>
      <c r="P18" s="12">
        <v>0</v>
      </c>
      <c r="Q18" s="12">
        <v>711102</v>
      </c>
      <c r="R18" s="12">
        <v>66586</v>
      </c>
      <c r="S18" s="12">
        <f t="shared" si="7"/>
        <v>777688</v>
      </c>
      <c r="T18" s="7">
        <v>4496823</v>
      </c>
      <c r="U18" s="7">
        <v>435353</v>
      </c>
      <c r="V18" s="7">
        <v>736</v>
      </c>
      <c r="W18" s="7">
        <v>0</v>
      </c>
      <c r="X18" s="7">
        <v>16233481</v>
      </c>
      <c r="Y18" s="7" t="s">
        <v>531</v>
      </c>
      <c r="Z18" s="26">
        <v>0.13900000000000001</v>
      </c>
      <c r="AA18" s="7">
        <v>0</v>
      </c>
      <c r="AB18" s="26">
        <f>1013901/16232745</f>
        <v>6.2460230848202201E-2</v>
      </c>
      <c r="AC18" s="7">
        <v>1004447</v>
      </c>
      <c r="AD18" s="7">
        <v>0</v>
      </c>
      <c r="AE18" s="7">
        <f>28317+415</f>
        <v>28732</v>
      </c>
      <c r="AF18" s="7">
        <v>408991</v>
      </c>
      <c r="AG18" s="7">
        <v>33959</v>
      </c>
      <c r="AH18" s="7">
        <v>83207</v>
      </c>
      <c r="AI18" s="7">
        <f>110981+0</f>
        <v>110981</v>
      </c>
      <c r="AJ18" s="7">
        <v>31200</v>
      </c>
      <c r="AK18" s="7">
        <v>101648</v>
      </c>
      <c r="AL18" s="7">
        <v>8000</v>
      </c>
      <c r="AM18" s="7">
        <v>1800</v>
      </c>
      <c r="AN18" s="7">
        <v>0</v>
      </c>
      <c r="AO18" s="7">
        <f>8914+15524+9489</f>
        <v>33927</v>
      </c>
      <c r="AP18" s="7">
        <v>8916</v>
      </c>
      <c r="AQ18" s="7">
        <v>0</v>
      </c>
      <c r="AR18" s="7">
        <v>0</v>
      </c>
      <c r="AS18" s="7">
        <v>18258</v>
      </c>
      <c r="AT18" s="7">
        <v>27517</v>
      </c>
      <c r="AU18" s="7">
        <v>0</v>
      </c>
      <c r="AV18" s="7">
        <v>896218</v>
      </c>
      <c r="AW18" s="7">
        <v>1022131</v>
      </c>
      <c r="AX18" s="26">
        <f t="shared" si="8"/>
        <v>0</v>
      </c>
      <c r="AY18" s="7">
        <v>0</v>
      </c>
      <c r="AZ18" s="7">
        <v>0</v>
      </c>
      <c r="BA18" s="7">
        <v>148368</v>
      </c>
      <c r="BB18" s="7">
        <v>0</v>
      </c>
      <c r="BC18" s="7">
        <v>82299</v>
      </c>
      <c r="BD18" s="7">
        <v>0</v>
      </c>
      <c r="BE18" s="7">
        <v>0</v>
      </c>
      <c r="BF18" s="7">
        <v>0</v>
      </c>
      <c r="BG18" s="7">
        <v>2429</v>
      </c>
      <c r="BH18" s="7">
        <v>2019</v>
      </c>
      <c r="BI18" s="7">
        <v>607</v>
      </c>
      <c r="BJ18" s="7"/>
      <c r="BK18" s="7">
        <v>-5</v>
      </c>
      <c r="BL18" s="7">
        <v>-37</v>
      </c>
      <c r="BM18" s="7">
        <v>-1907</v>
      </c>
      <c r="BN18" s="7">
        <f>-577-0</f>
        <v>-577</v>
      </c>
      <c r="BO18" s="7">
        <v>0</v>
      </c>
      <c r="BP18" s="7">
        <f t="shared" si="9"/>
        <v>2529</v>
      </c>
      <c r="BQ18" s="1">
        <v>0</v>
      </c>
      <c r="BR18" s="7">
        <v>173</v>
      </c>
      <c r="BS18" s="7">
        <v>31</v>
      </c>
      <c r="BT18" s="7">
        <v>189</v>
      </c>
      <c r="BU18" s="7">
        <v>6</v>
      </c>
      <c r="BV18" s="7">
        <v>38</v>
      </c>
      <c r="BW18" s="7">
        <v>7</v>
      </c>
      <c r="BX18" s="7">
        <v>0</v>
      </c>
      <c r="BY18" s="7">
        <v>5</v>
      </c>
      <c r="BZ18" s="7">
        <v>16</v>
      </c>
      <c r="CA18" s="7">
        <v>302</v>
      </c>
      <c r="CB18" s="7">
        <v>274</v>
      </c>
      <c r="CC18" s="7">
        <v>4</v>
      </c>
      <c r="CD18" s="7">
        <v>33</v>
      </c>
      <c r="CE18" s="7">
        <v>128</v>
      </c>
      <c r="CF18" s="7">
        <v>124</v>
      </c>
    </row>
    <row r="19" spans="1:84" x14ac:dyDescent="0.25">
      <c r="A19" s="15">
        <v>2</v>
      </c>
      <c r="B19" s="8" t="s">
        <v>295</v>
      </c>
      <c r="C19" s="57" t="s">
        <v>710</v>
      </c>
      <c r="D19" s="8" t="s">
        <v>292</v>
      </c>
      <c r="E19" s="8" t="s">
        <v>557</v>
      </c>
      <c r="F19" s="8" t="s">
        <v>234</v>
      </c>
      <c r="G19" s="8" t="s">
        <v>542</v>
      </c>
      <c r="H19" s="7">
        <v>7748280</v>
      </c>
      <c r="I19" s="7">
        <v>7757179</v>
      </c>
      <c r="J19" s="7">
        <v>1341999</v>
      </c>
      <c r="K19" s="12">
        <v>0</v>
      </c>
      <c r="L19" s="12">
        <v>2683386</v>
      </c>
      <c r="M19" s="12">
        <v>1177161</v>
      </c>
      <c r="N19" s="12">
        <v>0</v>
      </c>
      <c r="O19" s="25">
        <f t="shared" si="6"/>
        <v>3860547</v>
      </c>
      <c r="P19" s="12">
        <v>0</v>
      </c>
      <c r="Q19" s="12">
        <v>135391</v>
      </c>
      <c r="R19" s="12">
        <v>0</v>
      </c>
      <c r="S19" s="12">
        <f t="shared" si="7"/>
        <v>135391</v>
      </c>
      <c r="T19" s="7">
        <v>1670648</v>
      </c>
      <c r="U19" s="7">
        <v>131508</v>
      </c>
      <c r="V19" s="7">
        <v>26289</v>
      </c>
      <c r="W19" s="7">
        <v>0</v>
      </c>
      <c r="X19" s="7">
        <v>6368128</v>
      </c>
      <c r="Y19" s="7" t="s">
        <v>531</v>
      </c>
      <c r="Z19" s="26">
        <v>0.14000000000000001</v>
      </c>
      <c r="AA19" s="7">
        <v>0</v>
      </c>
      <c r="AB19" s="26">
        <f>543438/6038201</f>
        <v>8.9999985094898302E-2</v>
      </c>
      <c r="AC19" s="7">
        <v>543345</v>
      </c>
      <c r="AD19" s="7">
        <v>0</v>
      </c>
      <c r="AE19" s="7">
        <f>8652+842+128</f>
        <v>9622</v>
      </c>
      <c r="AF19" s="7">
        <v>200331</v>
      </c>
      <c r="AG19" s="7">
        <v>16569</v>
      </c>
      <c r="AH19" s="7">
        <v>36943</v>
      </c>
      <c r="AI19" s="7">
        <v>53790</v>
      </c>
      <c r="AJ19" s="7">
        <v>18525</v>
      </c>
      <c r="AK19" s="7">
        <v>16184</v>
      </c>
      <c r="AL19" s="7">
        <v>7500</v>
      </c>
      <c r="AM19" s="7">
        <v>9582</v>
      </c>
      <c r="AN19" s="7">
        <v>0</v>
      </c>
      <c r="AO19" s="7">
        <f>7765+15168+11923</f>
        <v>34856</v>
      </c>
      <c r="AP19" s="7">
        <v>10048</v>
      </c>
      <c r="AQ19" s="7">
        <v>0</v>
      </c>
      <c r="AR19" s="7">
        <v>0</v>
      </c>
      <c r="AS19" s="7">
        <v>12871</v>
      </c>
      <c r="AT19" s="7">
        <v>3232</v>
      </c>
      <c r="AU19" s="7">
        <v>0</v>
      </c>
      <c r="AV19" s="7">
        <v>445523</v>
      </c>
      <c r="AW19" s="7">
        <v>486315</v>
      </c>
      <c r="AX19" s="26">
        <f t="shared" si="8"/>
        <v>0</v>
      </c>
      <c r="AY19" s="7">
        <v>0</v>
      </c>
      <c r="AZ19" s="7">
        <v>0</v>
      </c>
      <c r="BA19" s="7">
        <v>148368</v>
      </c>
      <c r="BB19" s="7">
        <v>0</v>
      </c>
      <c r="BC19" s="7">
        <v>39342</v>
      </c>
      <c r="BD19" s="7">
        <v>0</v>
      </c>
      <c r="BE19" s="7">
        <v>0</v>
      </c>
      <c r="BF19" s="7">
        <v>0</v>
      </c>
      <c r="BG19" s="7">
        <v>1197</v>
      </c>
      <c r="BH19" s="7">
        <v>1839</v>
      </c>
      <c r="BI19" s="7">
        <v>50</v>
      </c>
      <c r="BJ19" s="7">
        <v>0</v>
      </c>
      <c r="BK19" s="7">
        <v>-15</v>
      </c>
      <c r="BL19" s="7">
        <v>-77</v>
      </c>
      <c r="BM19" s="7">
        <v>-1653</v>
      </c>
      <c r="BN19" s="7">
        <v>-113</v>
      </c>
      <c r="BO19" s="7">
        <v>0</v>
      </c>
      <c r="BP19" s="7">
        <f t="shared" si="9"/>
        <v>1228</v>
      </c>
      <c r="BQ19" s="1">
        <v>2</v>
      </c>
      <c r="BR19" s="7">
        <v>74</v>
      </c>
      <c r="BS19" s="7">
        <v>12</v>
      </c>
      <c r="BT19" s="7">
        <v>17</v>
      </c>
      <c r="BU19" s="7">
        <v>6</v>
      </c>
      <c r="BV19" s="7">
        <v>46</v>
      </c>
      <c r="BW19" s="7">
        <v>1</v>
      </c>
      <c r="BX19" s="7">
        <v>0</v>
      </c>
      <c r="BY19" s="7">
        <v>2</v>
      </c>
      <c r="BZ19" s="7">
        <v>1</v>
      </c>
      <c r="CA19" s="7">
        <v>58</v>
      </c>
      <c r="CB19" s="7">
        <v>19</v>
      </c>
      <c r="CC19" s="7">
        <v>20</v>
      </c>
      <c r="CD19" s="7">
        <v>72</v>
      </c>
      <c r="CE19" s="7">
        <v>2</v>
      </c>
      <c r="CF19" s="7">
        <v>31</v>
      </c>
    </row>
    <row r="20" spans="1:84" x14ac:dyDescent="0.25">
      <c r="A20" s="15">
        <v>2</v>
      </c>
      <c r="B20" s="8" t="s">
        <v>463</v>
      </c>
      <c r="C20" s="57" t="s">
        <v>493</v>
      </c>
      <c r="D20" s="8" t="s">
        <v>351</v>
      </c>
      <c r="E20" s="8" t="s">
        <v>557</v>
      </c>
      <c r="F20" s="8" t="s">
        <v>234</v>
      </c>
      <c r="G20" s="8" t="s">
        <v>542</v>
      </c>
      <c r="H20" s="7">
        <v>12455528</v>
      </c>
      <c r="I20" s="7">
        <v>12464679</v>
      </c>
      <c r="J20" s="7">
        <v>1172536</v>
      </c>
      <c r="K20" s="12">
        <v>0</v>
      </c>
      <c r="L20" s="12">
        <v>4539645</v>
      </c>
      <c r="M20" s="12">
        <v>2544950</v>
      </c>
      <c r="N20" s="12">
        <v>0</v>
      </c>
      <c r="O20" s="25">
        <f t="shared" si="6"/>
        <v>7084595</v>
      </c>
      <c r="P20" s="12">
        <v>0</v>
      </c>
      <c r="Q20" s="12">
        <v>455395</v>
      </c>
      <c r="R20" s="12">
        <v>0</v>
      </c>
      <c r="S20" s="12">
        <f t="shared" si="7"/>
        <v>455395</v>
      </c>
      <c r="T20" s="7">
        <v>3222028</v>
      </c>
      <c r="U20" s="7">
        <v>329808</v>
      </c>
      <c r="V20" s="7">
        <v>32498</v>
      </c>
      <c r="W20" s="7">
        <v>0</v>
      </c>
      <c r="X20" s="7">
        <v>11864475</v>
      </c>
      <c r="Y20" s="7" t="s">
        <v>531</v>
      </c>
      <c r="Z20" s="26">
        <v>5.8200000000000002E-2</v>
      </c>
      <c r="AA20" s="7">
        <v>0</v>
      </c>
      <c r="AB20" s="26">
        <f>741700/11831977</f>
        <v>6.2686058297780664E-2</v>
      </c>
      <c r="AC20" s="7">
        <v>740151</v>
      </c>
      <c r="AD20" s="7">
        <v>0</v>
      </c>
      <c r="AE20" s="7">
        <f>9151+173</f>
        <v>9324</v>
      </c>
      <c r="AF20" s="7">
        <v>272142</v>
      </c>
      <c r="AG20" s="7">
        <v>24561</v>
      </c>
      <c r="AH20" s="7">
        <v>47668</v>
      </c>
      <c r="AI20" s="7">
        <f>80905+1507</f>
        <v>82412</v>
      </c>
      <c r="AJ20" s="7">
        <v>38124</v>
      </c>
      <c r="AK20" s="7">
        <v>44155</v>
      </c>
      <c r="AL20" s="7">
        <v>8400</v>
      </c>
      <c r="AM20" s="7">
        <v>0</v>
      </c>
      <c r="AN20" s="7">
        <v>0</v>
      </c>
      <c r="AO20" s="7">
        <f>8869+22000+17794</f>
        <v>48663</v>
      </c>
      <c r="AP20" s="7">
        <v>8819</v>
      </c>
      <c r="AQ20" s="7">
        <v>0</v>
      </c>
      <c r="AR20" s="7">
        <v>0</v>
      </c>
      <c r="AS20" s="7">
        <v>0</v>
      </c>
      <c r="AT20" s="7">
        <v>70333</v>
      </c>
      <c r="AU20" s="7">
        <v>46000</v>
      </c>
      <c r="AV20" s="7">
        <v>709475</v>
      </c>
      <c r="AW20" s="7">
        <v>792741</v>
      </c>
      <c r="AX20" s="26">
        <f t="shared" si="8"/>
        <v>6.4836675006166536E-2</v>
      </c>
      <c r="AY20" s="7">
        <v>0</v>
      </c>
      <c r="AZ20" s="7">
        <v>0</v>
      </c>
      <c r="BA20" s="7">
        <v>148368</v>
      </c>
      <c r="BB20" s="7">
        <v>0</v>
      </c>
      <c r="BC20" s="7">
        <v>3810</v>
      </c>
      <c r="BD20" s="7">
        <v>0</v>
      </c>
      <c r="BE20" s="7">
        <v>0</v>
      </c>
      <c r="BF20" s="7">
        <v>0</v>
      </c>
      <c r="BG20" s="7">
        <v>1870</v>
      </c>
      <c r="BH20" s="7">
        <v>1816</v>
      </c>
      <c r="BI20" s="7">
        <v>0</v>
      </c>
      <c r="BJ20" s="7">
        <v>0</v>
      </c>
      <c r="BK20" s="7">
        <v>-54</v>
      </c>
      <c r="BL20" s="7">
        <v>-43</v>
      </c>
      <c r="BM20" s="7">
        <v>-1470</v>
      </c>
      <c r="BN20" s="7">
        <v>-256</v>
      </c>
      <c r="BO20" s="7">
        <v>0</v>
      </c>
      <c r="BP20" s="7">
        <f t="shared" si="9"/>
        <v>1863</v>
      </c>
      <c r="BQ20" s="1">
        <v>6</v>
      </c>
      <c r="BR20" s="7">
        <v>112</v>
      </c>
      <c r="BS20" s="7">
        <v>30</v>
      </c>
      <c r="BT20" s="7">
        <v>79</v>
      </c>
      <c r="BU20" s="7">
        <v>1</v>
      </c>
      <c r="BV20" s="7">
        <v>34</v>
      </c>
      <c r="BW20" s="7">
        <v>0</v>
      </c>
      <c r="BX20" s="7">
        <v>0</v>
      </c>
      <c r="BY20" s="7">
        <v>1</v>
      </c>
      <c r="BZ20" s="7">
        <v>3</v>
      </c>
      <c r="CA20" s="7">
        <v>39</v>
      </c>
      <c r="CB20" s="7">
        <v>7</v>
      </c>
      <c r="CC20" s="7">
        <v>9</v>
      </c>
      <c r="CD20" s="7">
        <v>42</v>
      </c>
      <c r="CE20" s="7">
        <v>154</v>
      </c>
      <c r="CF20" s="7">
        <v>1258</v>
      </c>
    </row>
    <row r="21" spans="1:84" x14ac:dyDescent="0.25">
      <c r="A21" s="15">
        <v>2</v>
      </c>
      <c r="B21" s="8" t="s">
        <v>510</v>
      </c>
      <c r="C21" s="57" t="s">
        <v>34</v>
      </c>
      <c r="D21" s="8" t="s">
        <v>118</v>
      </c>
      <c r="E21" s="8" t="s">
        <v>557</v>
      </c>
      <c r="F21" s="8" t="s">
        <v>787</v>
      </c>
      <c r="G21" s="8" t="s">
        <v>542</v>
      </c>
      <c r="H21" s="7">
        <v>23682913</v>
      </c>
      <c r="I21" s="7">
        <v>23685274</v>
      </c>
      <c r="J21" s="7">
        <v>712618</v>
      </c>
      <c r="K21" s="12">
        <v>0</v>
      </c>
      <c r="L21" s="12">
        <v>1974547</v>
      </c>
      <c r="M21" s="12">
        <v>6654309</v>
      </c>
      <c r="N21" s="12">
        <v>3161181</v>
      </c>
      <c r="O21" s="25">
        <f t="shared" si="6"/>
        <v>11790037</v>
      </c>
      <c r="P21" s="12">
        <v>0</v>
      </c>
      <c r="Q21" s="12">
        <v>322791</v>
      </c>
      <c r="R21" s="12">
        <v>520765</v>
      </c>
      <c r="S21" s="12">
        <f t="shared" si="7"/>
        <v>843556</v>
      </c>
      <c r="T21" s="7">
        <v>7506449</v>
      </c>
      <c r="U21" s="7">
        <v>1423008</v>
      </c>
      <c r="V21" s="7">
        <v>0</v>
      </c>
      <c r="W21" s="7">
        <v>0</v>
      </c>
      <c r="X21" s="7">
        <v>22852788</v>
      </c>
      <c r="Y21" s="7" t="s">
        <v>531</v>
      </c>
      <c r="Z21" s="26">
        <v>0.05</v>
      </c>
      <c r="AA21" s="7">
        <v>0</v>
      </c>
      <c r="AB21" s="26">
        <f>1293305/22852788</f>
        <v>5.6592876107720423E-2</v>
      </c>
      <c r="AC21" s="7">
        <v>1289738</v>
      </c>
      <c r="AD21" s="7">
        <v>0</v>
      </c>
      <c r="AE21" s="7">
        <f>2361+568</f>
        <v>2929</v>
      </c>
      <c r="AF21" s="7">
        <v>545863</v>
      </c>
      <c r="AG21" s="7">
        <v>44035</v>
      </c>
      <c r="AH21" s="7">
        <v>96430</v>
      </c>
      <c r="AI21" s="7">
        <f>68683+8732</f>
        <v>77415</v>
      </c>
      <c r="AJ21" s="7">
        <v>22865</v>
      </c>
      <c r="AK21" s="7">
        <v>140340</v>
      </c>
      <c r="AL21" s="7">
        <v>10950</v>
      </c>
      <c r="AM21" s="7">
        <v>0</v>
      </c>
      <c r="AN21" s="7">
        <v>54150</v>
      </c>
      <c r="AO21" s="7">
        <f>3492+49483+23086</f>
        <v>76061</v>
      </c>
      <c r="AP21" s="7">
        <v>8797</v>
      </c>
      <c r="AQ21" s="7">
        <v>0</v>
      </c>
      <c r="AR21" s="7">
        <v>0</v>
      </c>
      <c r="AS21" s="7">
        <v>0</v>
      </c>
      <c r="AT21" s="7">
        <v>34928</v>
      </c>
      <c r="AU21" s="7">
        <v>0</v>
      </c>
      <c r="AV21" s="7">
        <v>1146657</v>
      </c>
      <c r="AW21" s="7">
        <v>1159786</v>
      </c>
      <c r="AX21" s="26">
        <f t="shared" si="8"/>
        <v>0</v>
      </c>
      <c r="AY21" s="7">
        <v>0</v>
      </c>
      <c r="AZ21" s="7">
        <v>0</v>
      </c>
      <c r="BA21" s="7">
        <v>148368</v>
      </c>
      <c r="BB21" s="7">
        <v>0</v>
      </c>
      <c r="BC21" s="7">
        <v>140768</v>
      </c>
      <c r="BD21" s="7">
        <v>0</v>
      </c>
      <c r="BE21" s="7">
        <v>0</v>
      </c>
      <c r="BF21" s="7">
        <v>0</v>
      </c>
      <c r="BG21" s="7">
        <v>5919</v>
      </c>
      <c r="BH21" s="7">
        <v>1981</v>
      </c>
      <c r="BI21" s="7">
        <v>67</v>
      </c>
      <c r="BJ21" s="7">
        <v>0</v>
      </c>
      <c r="BK21" s="7">
        <v>0</v>
      </c>
      <c r="BL21" s="7">
        <v>-327</v>
      </c>
      <c r="BM21" s="7">
        <v>-699</v>
      </c>
      <c r="BN21" s="7">
        <v>-1327</v>
      </c>
      <c r="BO21" s="7">
        <v>0</v>
      </c>
      <c r="BP21" s="7">
        <f t="shared" si="9"/>
        <v>5614</v>
      </c>
      <c r="BQ21" s="1">
        <v>52</v>
      </c>
      <c r="BR21" s="7">
        <v>143</v>
      </c>
      <c r="BS21" s="7">
        <v>85</v>
      </c>
      <c r="BT21" s="7">
        <v>1073</v>
      </c>
      <c r="BU21" s="7">
        <v>0</v>
      </c>
      <c r="BV21" s="7">
        <v>11</v>
      </c>
      <c r="BW21" s="7">
        <v>36</v>
      </c>
      <c r="BX21" s="7">
        <v>17</v>
      </c>
      <c r="BY21" s="7">
        <v>198</v>
      </c>
      <c r="BZ21" s="7">
        <v>0</v>
      </c>
      <c r="CA21" s="7">
        <v>3</v>
      </c>
      <c r="CB21" s="7">
        <v>142</v>
      </c>
      <c r="CC21" s="7">
        <v>36</v>
      </c>
      <c r="CD21" s="7">
        <v>338</v>
      </c>
      <c r="CE21" s="7">
        <v>0</v>
      </c>
      <c r="CF21" s="7">
        <v>28</v>
      </c>
    </row>
    <row r="22" spans="1:84" x14ac:dyDescent="0.25">
      <c r="A22" s="15">
        <v>2</v>
      </c>
      <c r="B22" s="8" t="s">
        <v>629</v>
      </c>
      <c r="C22" s="57" t="s">
        <v>296</v>
      </c>
      <c r="D22" s="8" t="s">
        <v>648</v>
      </c>
      <c r="E22" s="8" t="s">
        <v>557</v>
      </c>
      <c r="F22" s="8" t="s">
        <v>787</v>
      </c>
      <c r="G22" s="8" t="s">
        <v>542</v>
      </c>
      <c r="H22" s="7">
        <v>14950298</v>
      </c>
      <c r="I22" s="7">
        <v>14964998</v>
      </c>
      <c r="J22" s="7">
        <v>309924</v>
      </c>
      <c r="K22" s="12">
        <v>492776</v>
      </c>
      <c r="L22" s="12">
        <v>1125577</v>
      </c>
      <c r="M22" s="12">
        <v>276085</v>
      </c>
      <c r="N22" s="12">
        <v>4153549</v>
      </c>
      <c r="O22" s="25">
        <f t="shared" si="6"/>
        <v>6047987</v>
      </c>
      <c r="P22" s="12">
        <v>0</v>
      </c>
      <c r="Q22" s="12">
        <v>324657</v>
      </c>
      <c r="R22" s="12">
        <v>242963</v>
      </c>
      <c r="S22" s="12">
        <f t="shared" si="7"/>
        <v>567620</v>
      </c>
      <c r="T22" s="7">
        <v>6711275</v>
      </c>
      <c r="U22" s="7">
        <v>625523</v>
      </c>
      <c r="V22" s="7">
        <v>0</v>
      </c>
      <c r="W22" s="7">
        <v>0</v>
      </c>
      <c r="X22" s="7">
        <v>14840883</v>
      </c>
      <c r="Y22" s="7" t="s">
        <v>531</v>
      </c>
      <c r="Z22" s="26">
        <v>0.1046</v>
      </c>
      <c r="AA22" s="7">
        <v>0</v>
      </c>
      <c r="AB22" s="26">
        <f>886261/14840883</f>
        <v>5.971753837018997E-2</v>
      </c>
      <c r="AC22" s="7">
        <v>882829</v>
      </c>
      <c r="AD22" s="7">
        <v>0</v>
      </c>
      <c r="AE22" s="7">
        <f>14700+507</f>
        <v>15207</v>
      </c>
      <c r="AF22" s="7">
        <v>333712</v>
      </c>
      <c r="AG22" s="7">
        <v>27699</v>
      </c>
      <c r="AH22" s="7">
        <v>67598</v>
      </c>
      <c r="AI22" s="7">
        <f>43594+2993</f>
        <v>46587</v>
      </c>
      <c r="AJ22" s="7">
        <v>10926</v>
      </c>
      <c r="AK22" s="7">
        <v>37612</v>
      </c>
      <c r="AL22" s="7">
        <v>8400</v>
      </c>
      <c r="AM22" s="7">
        <v>0</v>
      </c>
      <c r="AN22" s="7">
        <v>21171</v>
      </c>
      <c r="AO22" s="7">
        <f>9315+25502+61225</f>
        <v>96042</v>
      </c>
      <c r="AP22" s="7">
        <v>7379</v>
      </c>
      <c r="AQ22" s="7">
        <v>2936</v>
      </c>
      <c r="AR22" s="7">
        <v>5736</v>
      </c>
      <c r="AS22" s="7">
        <v>1543</v>
      </c>
      <c r="AT22" s="7">
        <v>29137</v>
      </c>
      <c r="AU22" s="7">
        <v>0</v>
      </c>
      <c r="AV22" s="7">
        <v>731807</v>
      </c>
      <c r="AW22" s="7">
        <v>747376</v>
      </c>
      <c r="AX22" s="26">
        <f t="shared" si="8"/>
        <v>0</v>
      </c>
      <c r="AY22" s="7">
        <v>2469</v>
      </c>
      <c r="AZ22" s="7">
        <v>0</v>
      </c>
      <c r="BA22" s="7">
        <v>148368</v>
      </c>
      <c r="BB22" s="7">
        <v>0</v>
      </c>
      <c r="BC22" s="7">
        <v>103305</v>
      </c>
      <c r="BD22" s="7">
        <v>0</v>
      </c>
      <c r="BE22" s="7">
        <v>0</v>
      </c>
      <c r="BF22" s="7">
        <v>0</v>
      </c>
      <c r="BG22" s="7">
        <v>2525</v>
      </c>
      <c r="BH22" s="7">
        <v>1171</v>
      </c>
      <c r="BI22" s="7">
        <v>7</v>
      </c>
      <c r="BJ22" s="7">
        <v>0</v>
      </c>
      <c r="BK22" s="7">
        <f>1+29</f>
        <v>30</v>
      </c>
      <c r="BL22" s="7">
        <v>-149</v>
      </c>
      <c r="BM22" s="7">
        <v>-174</v>
      </c>
      <c r="BN22" s="7">
        <v>-505</v>
      </c>
      <c r="BO22" s="7">
        <v>-1</v>
      </c>
      <c r="BP22" s="7">
        <f t="shared" si="9"/>
        <v>2904</v>
      </c>
      <c r="BQ22" s="1">
        <v>29</v>
      </c>
      <c r="BR22" s="7">
        <v>144</v>
      </c>
      <c r="BS22" s="7">
        <v>84</v>
      </c>
      <c r="BT22" s="7">
        <v>281</v>
      </c>
      <c r="BU22" s="7">
        <v>1</v>
      </c>
      <c r="BV22" s="7">
        <v>1</v>
      </c>
      <c r="BW22" s="7">
        <v>74</v>
      </c>
      <c r="BX22" s="7">
        <v>11</v>
      </c>
      <c r="BY22" s="7">
        <v>50</v>
      </c>
      <c r="BZ22" s="7">
        <v>29</v>
      </c>
      <c r="CA22" s="7">
        <v>2</v>
      </c>
      <c r="CB22" s="7">
        <v>70</v>
      </c>
      <c r="CC22" s="7">
        <v>6</v>
      </c>
      <c r="CD22" s="7">
        <v>24</v>
      </c>
      <c r="CE22" s="7">
        <v>0</v>
      </c>
      <c r="CF22" s="7">
        <v>6</v>
      </c>
    </row>
    <row r="23" spans="1:84" x14ac:dyDescent="0.25">
      <c r="A23" s="15">
        <v>2</v>
      </c>
      <c r="B23" s="8" t="s">
        <v>670</v>
      </c>
      <c r="C23" s="57" t="s">
        <v>394</v>
      </c>
      <c r="D23" s="8" t="s">
        <v>788</v>
      </c>
      <c r="E23" s="8" t="s">
        <v>557</v>
      </c>
      <c r="F23" s="8" t="s">
        <v>693</v>
      </c>
      <c r="G23" s="8" t="s">
        <v>542</v>
      </c>
      <c r="H23" s="7">
        <v>14040426</v>
      </c>
      <c r="I23" s="7">
        <v>14055038</v>
      </c>
      <c r="J23" s="7">
        <v>1693001</v>
      </c>
      <c r="K23" s="12">
        <v>0</v>
      </c>
      <c r="L23" s="12">
        <v>1875256</v>
      </c>
      <c r="M23" s="12">
        <v>3603400</v>
      </c>
      <c r="N23" s="12">
        <v>0</v>
      </c>
      <c r="O23" s="25">
        <f t="shared" si="6"/>
        <v>5478656</v>
      </c>
      <c r="P23" s="12">
        <v>0</v>
      </c>
      <c r="Q23" s="12">
        <v>965092</v>
      </c>
      <c r="R23" s="12">
        <v>0</v>
      </c>
      <c r="S23" s="12">
        <f t="shared" si="7"/>
        <v>965092</v>
      </c>
      <c r="T23" s="7">
        <v>4026466</v>
      </c>
      <c r="U23" s="7">
        <v>84219</v>
      </c>
      <c r="V23" s="7">
        <v>836</v>
      </c>
      <c r="W23" s="7">
        <v>0</v>
      </c>
      <c r="X23" s="7">
        <v>11238905</v>
      </c>
      <c r="Y23" s="7" t="s">
        <v>349</v>
      </c>
      <c r="Z23" s="26">
        <v>0.22</v>
      </c>
      <c r="AA23" s="7">
        <v>0</v>
      </c>
      <c r="AB23" s="26">
        <f>672644/11126688</f>
        <v>6.0453209436626604E-2</v>
      </c>
      <c r="AC23" s="7">
        <v>676149</v>
      </c>
      <c r="AD23" s="7">
        <v>0</v>
      </c>
      <c r="AE23" s="7">
        <f>14021+243</f>
        <v>14264</v>
      </c>
      <c r="AF23" s="7">
        <v>247559</v>
      </c>
      <c r="AG23" s="7">
        <v>18525</v>
      </c>
      <c r="AH23" s="7">
        <v>20368</v>
      </c>
      <c r="AI23" s="7">
        <v>80324</v>
      </c>
      <c r="AJ23" s="7">
        <v>33000</v>
      </c>
      <c r="AK23" s="7">
        <v>15644</v>
      </c>
      <c r="AL23" s="7">
        <v>8400</v>
      </c>
      <c r="AM23" s="7">
        <v>1636</v>
      </c>
      <c r="AN23" s="7">
        <v>0</v>
      </c>
      <c r="AO23" s="7">
        <f>22916+12115+9164</f>
        <v>44195</v>
      </c>
      <c r="AP23" s="7">
        <v>1991</v>
      </c>
      <c r="AQ23" s="7">
        <v>0</v>
      </c>
      <c r="AR23" s="7">
        <v>0</v>
      </c>
      <c r="AS23" s="7">
        <v>4226</v>
      </c>
      <c r="AT23" s="7">
        <v>4917</v>
      </c>
      <c r="AU23" s="7">
        <v>0</v>
      </c>
      <c r="AV23" s="7">
        <v>523501</v>
      </c>
      <c r="AW23" s="7">
        <v>528700</v>
      </c>
      <c r="AX23" s="26">
        <f t="shared" si="8"/>
        <v>0</v>
      </c>
      <c r="AY23" s="7">
        <v>1165</v>
      </c>
      <c r="AZ23" s="7">
        <v>0</v>
      </c>
      <c r="BA23" s="7">
        <v>148368</v>
      </c>
      <c r="BB23" s="7">
        <v>0</v>
      </c>
      <c r="BC23" s="7">
        <v>63414</v>
      </c>
      <c r="BD23" s="7">
        <v>0</v>
      </c>
      <c r="BE23" s="7">
        <v>0</v>
      </c>
      <c r="BF23" s="7">
        <v>0</v>
      </c>
      <c r="BG23" s="7">
        <v>1850</v>
      </c>
      <c r="BH23" s="7">
        <v>1803</v>
      </c>
      <c r="BI23" s="7">
        <v>0</v>
      </c>
      <c r="BJ23" s="7">
        <v>0</v>
      </c>
      <c r="BK23" s="7">
        <v>0</v>
      </c>
      <c r="BL23" s="7">
        <v>-3</v>
      </c>
      <c r="BM23" s="7">
        <v>-1413</v>
      </c>
      <c r="BN23" s="7">
        <v>-348</v>
      </c>
      <c r="BO23" s="7">
        <v>0</v>
      </c>
      <c r="BP23" s="7">
        <f t="shared" si="9"/>
        <v>1889</v>
      </c>
      <c r="BQ23" s="1">
        <v>4</v>
      </c>
      <c r="BR23" s="7">
        <v>116</v>
      </c>
      <c r="BS23" s="7">
        <v>34</v>
      </c>
      <c r="BT23" s="7">
        <v>168</v>
      </c>
      <c r="BU23" s="7">
        <v>0</v>
      </c>
      <c r="BV23" s="7">
        <v>30</v>
      </c>
      <c r="BW23" s="7">
        <v>1</v>
      </c>
      <c r="BX23" s="7">
        <v>0</v>
      </c>
      <c r="BY23" s="7">
        <v>7</v>
      </c>
      <c r="BZ23" s="7">
        <v>7</v>
      </c>
      <c r="CA23" s="7">
        <v>1</v>
      </c>
      <c r="CB23" s="7">
        <v>2</v>
      </c>
      <c r="CC23" s="7">
        <v>4</v>
      </c>
      <c r="CD23" s="7">
        <v>29</v>
      </c>
      <c r="CE23" s="7">
        <v>85</v>
      </c>
      <c r="CF23" s="7">
        <v>46</v>
      </c>
    </row>
    <row r="24" spans="1:84" x14ac:dyDescent="0.25">
      <c r="A24" s="15">
        <v>2</v>
      </c>
      <c r="B24" s="8" t="s">
        <v>679</v>
      </c>
      <c r="C24" s="57" t="s">
        <v>391</v>
      </c>
      <c r="D24" s="8" t="s">
        <v>789</v>
      </c>
      <c r="E24" s="8" t="s">
        <v>773</v>
      </c>
      <c r="F24" s="8"/>
      <c r="G24" s="8" t="s">
        <v>767</v>
      </c>
      <c r="H24" s="7">
        <v>3901225</v>
      </c>
      <c r="I24" s="7">
        <v>3903865</v>
      </c>
      <c r="J24" s="7">
        <v>221513</v>
      </c>
      <c r="K24" s="12">
        <v>22522</v>
      </c>
      <c r="L24" s="12">
        <v>1290955</v>
      </c>
      <c r="M24" s="12">
        <v>1270623</v>
      </c>
      <c r="N24" s="12">
        <v>0</v>
      </c>
      <c r="O24" s="25">
        <f t="shared" si="6"/>
        <v>2584100</v>
      </c>
      <c r="P24" s="12">
        <v>0</v>
      </c>
      <c r="Q24" s="12">
        <v>427085</v>
      </c>
      <c r="R24" s="12">
        <v>0</v>
      </c>
      <c r="S24" s="12">
        <f t="shared" si="7"/>
        <v>427085</v>
      </c>
      <c r="T24" s="7">
        <v>594120</v>
      </c>
      <c r="U24" s="7">
        <v>230598</v>
      </c>
      <c r="V24" s="7">
        <v>700</v>
      </c>
      <c r="W24" s="7">
        <v>0</v>
      </c>
      <c r="X24" s="7">
        <v>4090584</v>
      </c>
      <c r="Y24" s="7" t="s">
        <v>531</v>
      </c>
      <c r="Z24" s="26">
        <v>0.09</v>
      </c>
      <c r="AA24" s="7">
        <v>0</v>
      </c>
      <c r="AB24" s="26">
        <f>239887/2527985</f>
        <v>9.4892572542954176E-2</v>
      </c>
      <c r="AC24" s="7">
        <v>239887</v>
      </c>
      <c r="AD24" s="7">
        <v>0</v>
      </c>
      <c r="AE24" s="7">
        <f>2631+1266+88</f>
        <v>3985</v>
      </c>
      <c r="AF24" s="7">
        <v>32720</v>
      </c>
      <c r="AG24" s="7">
        <v>2740</v>
      </c>
      <c r="AH24" s="7">
        <v>2854</v>
      </c>
      <c r="AI24" s="7">
        <v>5973</v>
      </c>
      <c r="AJ24" s="7">
        <v>6790</v>
      </c>
      <c r="AK24" s="7">
        <v>7369</v>
      </c>
      <c r="AL24" s="7">
        <v>3825</v>
      </c>
      <c r="AM24" s="7">
        <v>1150</v>
      </c>
      <c r="AN24" s="7">
        <v>0</v>
      </c>
      <c r="AO24" s="7">
        <f>4761+2836+2364</f>
        <v>9961</v>
      </c>
      <c r="AP24" s="7">
        <v>3000</v>
      </c>
      <c r="AQ24" s="7">
        <v>0</v>
      </c>
      <c r="AR24" s="7">
        <v>0</v>
      </c>
      <c r="AS24" s="7">
        <v>1707</v>
      </c>
      <c r="AT24" s="7">
        <v>5115</v>
      </c>
      <c r="AU24" s="7">
        <v>19157</v>
      </c>
      <c r="AV24" s="7">
        <v>90451</v>
      </c>
      <c r="AW24" s="7">
        <v>98095</v>
      </c>
      <c r="AX24" s="26">
        <f t="shared" si="8"/>
        <v>0.21179423113066742</v>
      </c>
      <c r="AY24" s="7">
        <v>0</v>
      </c>
      <c r="AZ24" s="7">
        <v>0</v>
      </c>
      <c r="BA24" s="7">
        <v>148368</v>
      </c>
      <c r="BB24" s="7">
        <v>0</v>
      </c>
      <c r="BC24" s="7">
        <v>7656</v>
      </c>
      <c r="BD24" s="7">
        <v>0</v>
      </c>
      <c r="BE24" s="7">
        <v>0</v>
      </c>
      <c r="BF24" s="7">
        <v>0</v>
      </c>
      <c r="BG24" s="7">
        <v>433</v>
      </c>
      <c r="BH24" s="7">
        <v>194</v>
      </c>
      <c r="BI24" s="7">
        <v>0</v>
      </c>
      <c r="BJ24" s="7">
        <v>0</v>
      </c>
      <c r="BK24" s="7">
        <v>0</v>
      </c>
      <c r="BL24" s="7">
        <v>-37</v>
      </c>
      <c r="BM24" s="7">
        <v>-42</v>
      </c>
      <c r="BN24" s="7">
        <v>-59</v>
      </c>
      <c r="BO24" s="7">
        <v>0</v>
      </c>
      <c r="BP24" s="7">
        <f t="shared" si="9"/>
        <v>489</v>
      </c>
      <c r="BQ24" s="1">
        <v>13</v>
      </c>
      <c r="BR24" s="7">
        <v>8</v>
      </c>
      <c r="BS24" s="7">
        <v>6</v>
      </c>
      <c r="BT24" s="7">
        <v>24</v>
      </c>
      <c r="BU24" s="7">
        <v>19</v>
      </c>
      <c r="BV24" s="7">
        <v>2</v>
      </c>
      <c r="BW24" s="7">
        <v>0</v>
      </c>
      <c r="BX24" s="7">
        <v>0</v>
      </c>
      <c r="BY24" s="7">
        <v>1</v>
      </c>
      <c r="BZ24" s="7">
        <v>4</v>
      </c>
      <c r="CA24" s="7">
        <v>18</v>
      </c>
      <c r="CB24" s="7">
        <v>0</v>
      </c>
      <c r="CC24" s="7">
        <v>0</v>
      </c>
      <c r="CD24" s="7">
        <v>5</v>
      </c>
      <c r="CE24" s="7">
        <v>2</v>
      </c>
      <c r="CF24" s="7">
        <v>15</v>
      </c>
    </row>
    <row r="25" spans="1:84" x14ac:dyDescent="0.25">
      <c r="A25" s="15">
        <v>2</v>
      </c>
      <c r="B25" s="8" t="s">
        <v>715</v>
      </c>
      <c r="C25" s="57" t="s">
        <v>473</v>
      </c>
      <c r="D25" s="8" t="s">
        <v>717</v>
      </c>
      <c r="E25" s="8" t="s">
        <v>557</v>
      </c>
      <c r="F25" s="8" t="s">
        <v>551</v>
      </c>
      <c r="G25" s="8" t="s">
        <v>542</v>
      </c>
      <c r="H25" s="7">
        <v>13624754</v>
      </c>
      <c r="I25" s="7">
        <v>13632940</v>
      </c>
      <c r="J25" s="7">
        <v>488598</v>
      </c>
      <c r="K25" s="12">
        <v>401053</v>
      </c>
      <c r="L25" s="12">
        <v>1231076</v>
      </c>
      <c r="M25" s="12">
        <v>0</v>
      </c>
      <c r="N25" s="12">
        <v>3729589</v>
      </c>
      <c r="O25" s="25">
        <f t="shared" si="6"/>
        <v>5361718</v>
      </c>
      <c r="P25" s="12">
        <v>0</v>
      </c>
      <c r="Q25" s="12">
        <v>0</v>
      </c>
      <c r="R25" s="12">
        <v>1056252</v>
      </c>
      <c r="S25" s="12">
        <f t="shared" si="7"/>
        <v>1056252</v>
      </c>
      <c r="T25" s="7">
        <v>4399899</v>
      </c>
      <c r="U25" s="7">
        <v>984660</v>
      </c>
      <c r="V25" s="7">
        <v>0</v>
      </c>
      <c r="W25" s="7">
        <v>0</v>
      </c>
      <c r="X25" s="7">
        <v>12700185</v>
      </c>
      <c r="Y25" s="7" t="s">
        <v>531</v>
      </c>
      <c r="Z25" s="26">
        <v>0.15</v>
      </c>
      <c r="AA25" s="7">
        <v>0</v>
      </c>
      <c r="AB25" s="26">
        <f>865275/12694485</f>
        <v>6.8161489024564606E-2</v>
      </c>
      <c r="AC25" s="7">
        <v>864163</v>
      </c>
      <c r="AD25" s="7">
        <v>0</v>
      </c>
      <c r="AE25" s="7">
        <f>8186+590</f>
        <v>8776</v>
      </c>
      <c r="AF25" s="7">
        <v>287225</v>
      </c>
      <c r="AG25" s="7">
        <v>22883</v>
      </c>
      <c r="AH25" s="7">
        <v>83359</v>
      </c>
      <c r="AI25" s="7">
        <v>60695</v>
      </c>
      <c r="AJ25" s="7">
        <v>17585</v>
      </c>
      <c r="AK25" s="7">
        <v>99427</v>
      </c>
      <c r="AL25" s="7">
        <v>8400</v>
      </c>
      <c r="AM25" s="7">
        <v>0</v>
      </c>
      <c r="AN25" s="7">
        <v>33353</v>
      </c>
      <c r="AO25" s="7">
        <f>7370+19999+11999</f>
        <v>39368</v>
      </c>
      <c r="AP25" s="7">
        <v>6669</v>
      </c>
      <c r="AQ25" s="7">
        <v>0</v>
      </c>
      <c r="AR25" s="7">
        <v>0</v>
      </c>
      <c r="AS25" s="7">
        <v>0</v>
      </c>
      <c r="AT25" s="7">
        <v>3600</v>
      </c>
      <c r="AU25" s="7">
        <v>0</v>
      </c>
      <c r="AV25" s="7">
        <v>684475</v>
      </c>
      <c r="AW25" s="7">
        <v>704733</v>
      </c>
      <c r="AX25" s="26">
        <f t="shared" si="8"/>
        <v>0</v>
      </c>
      <c r="AY25" s="7">
        <v>0</v>
      </c>
      <c r="AZ25" s="7">
        <v>0</v>
      </c>
      <c r="BA25" s="7">
        <v>148368</v>
      </c>
      <c r="BB25" s="7">
        <v>0</v>
      </c>
      <c r="BC25" s="7">
        <v>100657</v>
      </c>
      <c r="BD25" s="7">
        <v>0</v>
      </c>
      <c r="BE25" s="7">
        <v>0</v>
      </c>
      <c r="BF25" s="7">
        <v>0</v>
      </c>
      <c r="BG25" s="7">
        <v>2436</v>
      </c>
      <c r="BH25" s="7">
        <v>1169</v>
      </c>
      <c r="BI25" s="7">
        <v>369</v>
      </c>
      <c r="BJ25" s="7">
        <v>0</v>
      </c>
      <c r="BK25" s="7">
        <v>-1</v>
      </c>
      <c r="BL25" s="7">
        <v>-236</v>
      </c>
      <c r="BM25" s="7">
        <v>-473</v>
      </c>
      <c r="BN25" s="7">
        <v>-647</v>
      </c>
      <c r="BO25" s="7">
        <v>-1</v>
      </c>
      <c r="BP25" s="7">
        <f t="shared" si="9"/>
        <v>2616</v>
      </c>
      <c r="BQ25" s="1">
        <v>6</v>
      </c>
      <c r="BR25" s="7">
        <v>170</v>
      </c>
      <c r="BS25" s="7">
        <v>61</v>
      </c>
      <c r="BT25" s="7">
        <v>224</v>
      </c>
      <c r="BU25" s="7">
        <v>4</v>
      </c>
      <c r="BV25" s="7">
        <v>11</v>
      </c>
      <c r="BW25" s="7">
        <v>13</v>
      </c>
      <c r="BX25" s="7">
        <v>14</v>
      </c>
      <c r="BY25" s="7">
        <v>40</v>
      </c>
      <c r="BZ25" s="7">
        <v>91</v>
      </c>
      <c r="CA25" s="7">
        <v>1</v>
      </c>
      <c r="CB25" s="7">
        <v>16</v>
      </c>
      <c r="CC25" s="7">
        <v>15</v>
      </c>
      <c r="CD25" s="7">
        <v>41</v>
      </c>
      <c r="CE25" s="7">
        <v>156</v>
      </c>
      <c r="CF25" s="7">
        <v>24</v>
      </c>
    </row>
    <row r="26" spans="1:84" x14ac:dyDescent="0.25">
      <c r="A26" s="15">
        <v>2</v>
      </c>
      <c r="B26" s="8" t="s">
        <v>790</v>
      </c>
      <c r="C26" s="57" t="s">
        <v>511</v>
      </c>
      <c r="D26" s="8" t="s">
        <v>326</v>
      </c>
      <c r="E26" s="8" t="s">
        <v>190</v>
      </c>
      <c r="F26" s="8"/>
      <c r="G26" s="8" t="s">
        <v>179</v>
      </c>
      <c r="H26" s="7">
        <v>13945801</v>
      </c>
      <c r="I26" s="7">
        <v>13966383</v>
      </c>
      <c r="J26" s="7">
        <v>1641365</v>
      </c>
      <c r="K26" s="12">
        <v>362741</v>
      </c>
      <c r="L26" s="12">
        <v>3448551</v>
      </c>
      <c r="M26" s="12">
        <v>2032349</v>
      </c>
      <c r="N26" s="12">
        <v>2775348</v>
      </c>
      <c r="O26" s="25">
        <f t="shared" si="6"/>
        <v>8618989</v>
      </c>
      <c r="P26" s="12">
        <v>0</v>
      </c>
      <c r="Q26" s="12">
        <v>662329</v>
      </c>
      <c r="R26" s="12">
        <v>224853</v>
      </c>
      <c r="S26" s="12">
        <f t="shared" si="7"/>
        <v>887182</v>
      </c>
      <c r="T26" s="7">
        <v>1287838</v>
      </c>
      <c r="U26" s="7">
        <v>368247</v>
      </c>
      <c r="V26" s="7">
        <v>41577</v>
      </c>
      <c r="W26" s="7">
        <v>0</v>
      </c>
      <c r="X26" s="7">
        <v>11949901</v>
      </c>
      <c r="Y26" s="7" t="s">
        <v>531</v>
      </c>
      <c r="Z26" s="26">
        <v>0.15409999999999999</v>
      </c>
      <c r="AA26" s="7">
        <v>0</v>
      </c>
      <c r="AB26" s="26">
        <f>737283/11871178</f>
        <v>6.2106978768240187E-2</v>
      </c>
      <c r="AC26" s="7">
        <v>740296</v>
      </c>
      <c r="AD26" s="7">
        <v>97211</v>
      </c>
      <c r="AE26" s="7">
        <f>15138+262</f>
        <v>15400</v>
      </c>
      <c r="AF26" s="7">
        <v>367124</v>
      </c>
      <c r="AG26" s="7">
        <v>29885</v>
      </c>
      <c r="AH26" s="7">
        <v>80562</v>
      </c>
      <c r="AI26" s="7">
        <v>67094</v>
      </c>
      <c r="AJ26" s="7">
        <v>34623</v>
      </c>
      <c r="AK26" s="7">
        <v>17248</v>
      </c>
      <c r="AL26" s="7">
        <v>8400</v>
      </c>
      <c r="AM26" s="7">
        <v>15500</v>
      </c>
      <c r="AN26" s="7">
        <v>0</v>
      </c>
      <c r="AO26" s="7">
        <f>6640+13333+15033</f>
        <v>35006</v>
      </c>
      <c r="AP26" s="7">
        <v>6510</v>
      </c>
      <c r="AQ26" s="7">
        <v>0</v>
      </c>
      <c r="AR26" s="7">
        <v>0</v>
      </c>
      <c r="AS26" s="7">
        <v>674</v>
      </c>
      <c r="AT26" s="7">
        <v>2894</v>
      </c>
      <c r="AU26" s="7">
        <v>0</v>
      </c>
      <c r="AV26" s="7">
        <v>696118</v>
      </c>
      <c r="AW26" s="7">
        <v>729050</v>
      </c>
      <c r="AX26" s="26">
        <f t="shared" si="8"/>
        <v>0</v>
      </c>
      <c r="AY26" s="7">
        <v>0</v>
      </c>
      <c r="AZ26" s="7">
        <v>0</v>
      </c>
      <c r="BA26" s="7">
        <v>148368</v>
      </c>
      <c r="BB26" s="7">
        <v>0</v>
      </c>
      <c r="BC26" s="7">
        <v>22366</v>
      </c>
      <c r="BD26" s="7">
        <v>0</v>
      </c>
      <c r="BE26" s="7">
        <v>0</v>
      </c>
      <c r="BF26" s="7">
        <v>0</v>
      </c>
      <c r="BG26" s="7">
        <v>1876</v>
      </c>
      <c r="BH26" s="7">
        <v>1842</v>
      </c>
      <c r="BI26" s="7">
        <v>0</v>
      </c>
      <c r="BJ26" s="7">
        <v>0</v>
      </c>
      <c r="BK26" s="7">
        <v>-1</v>
      </c>
      <c r="BL26" s="7">
        <v>-237</v>
      </c>
      <c r="BM26" s="7">
        <v>-1180</v>
      </c>
      <c r="BN26" s="7">
        <v>-268</v>
      </c>
      <c r="BO26" s="7">
        <v>0</v>
      </c>
      <c r="BP26" s="7">
        <f t="shared" si="9"/>
        <v>2032</v>
      </c>
      <c r="BQ26" s="1">
        <v>0</v>
      </c>
      <c r="BR26" s="7">
        <v>80</v>
      </c>
      <c r="BS26" s="7">
        <v>7</v>
      </c>
      <c r="BT26" s="7">
        <v>37</v>
      </c>
      <c r="BU26" s="7">
        <v>4</v>
      </c>
      <c r="BV26" s="7">
        <v>140</v>
      </c>
      <c r="BW26" s="7">
        <v>1</v>
      </c>
      <c r="BX26" s="7">
        <v>1</v>
      </c>
      <c r="BY26" s="7">
        <v>12</v>
      </c>
      <c r="BZ26" s="7">
        <v>31</v>
      </c>
      <c r="CA26" s="7">
        <v>31</v>
      </c>
      <c r="CB26" s="7">
        <v>10</v>
      </c>
      <c r="CC26" s="7">
        <v>3</v>
      </c>
      <c r="CD26" s="7">
        <v>20</v>
      </c>
      <c r="CE26" s="7">
        <v>92</v>
      </c>
      <c r="CF26" s="7">
        <v>90</v>
      </c>
    </row>
    <row r="27" spans="1:84" x14ac:dyDescent="0.25">
      <c r="A27" s="15">
        <v>3</v>
      </c>
      <c r="B27" s="8" t="s">
        <v>68</v>
      </c>
      <c r="C27" s="57" t="s">
        <v>382</v>
      </c>
      <c r="D27" s="8" t="s">
        <v>152</v>
      </c>
      <c r="E27" s="8" t="s">
        <v>545</v>
      </c>
      <c r="F27" s="8"/>
      <c r="G27" s="8" t="s">
        <v>540</v>
      </c>
      <c r="H27" s="7">
        <v>34541015</v>
      </c>
      <c r="I27" s="7">
        <v>34583218</v>
      </c>
      <c r="J27" s="7">
        <v>1741885</v>
      </c>
      <c r="K27" s="12">
        <v>107855</v>
      </c>
      <c r="L27" s="12">
        <v>6119457</v>
      </c>
      <c r="M27" s="12">
        <v>3858195</v>
      </c>
      <c r="N27" s="12">
        <v>5815499</v>
      </c>
      <c r="O27" s="25">
        <f t="shared" si="6"/>
        <v>15901006</v>
      </c>
      <c r="P27" s="12">
        <v>0</v>
      </c>
      <c r="Q27" s="12">
        <v>1078567</v>
      </c>
      <c r="R27" s="12">
        <v>1972260</v>
      </c>
      <c r="S27" s="12">
        <f t="shared" si="7"/>
        <v>3050827</v>
      </c>
      <c r="T27" s="7">
        <v>6018659</v>
      </c>
      <c r="U27" s="7">
        <v>4098744</v>
      </c>
      <c r="V27" s="7">
        <v>0</v>
      </c>
      <c r="W27" s="7">
        <v>0</v>
      </c>
      <c r="X27" s="7">
        <v>31862318</v>
      </c>
      <c r="Y27" s="7" t="s">
        <v>531</v>
      </c>
      <c r="Z27" s="26">
        <v>0.17</v>
      </c>
      <c r="AA27" s="7">
        <v>0</v>
      </c>
      <c r="AB27" s="26">
        <f>1691858/30761059</f>
        <v>5.4999992035384734E-2</v>
      </c>
      <c r="AC27" s="7">
        <v>1691823</v>
      </c>
      <c r="AD27" s="7">
        <v>0</v>
      </c>
      <c r="AE27" s="7">
        <f>42203+408</f>
        <v>42611</v>
      </c>
      <c r="AF27" s="7">
        <v>894656</v>
      </c>
      <c r="AG27" s="7">
        <v>81844</v>
      </c>
      <c r="AH27" s="7">
        <v>157980</v>
      </c>
      <c r="AI27" s="7">
        <f>159664+22805</f>
        <v>182469</v>
      </c>
      <c r="AJ27" s="7">
        <v>3014</v>
      </c>
      <c r="AK27" s="7">
        <v>60855</v>
      </c>
      <c r="AL27" s="7">
        <v>11900</v>
      </c>
      <c r="AM27" s="7">
        <v>6718</v>
      </c>
      <c r="AN27" s="7">
        <v>0</v>
      </c>
      <c r="AO27" s="7">
        <f>19854+54508+48468</f>
        <v>122830</v>
      </c>
      <c r="AP27" s="7">
        <v>13878</v>
      </c>
      <c r="AQ27" s="7">
        <v>119</v>
      </c>
      <c r="AR27" s="7">
        <v>894</v>
      </c>
      <c r="AS27" s="7">
        <v>15666</v>
      </c>
      <c r="AT27" s="7">
        <v>65356</v>
      </c>
      <c r="AU27" s="7">
        <v>0</v>
      </c>
      <c r="AV27" s="7">
        <v>1670000</v>
      </c>
      <c r="AW27" s="7">
        <v>1734985</v>
      </c>
      <c r="AX27" s="26">
        <f t="shared" si="8"/>
        <v>0</v>
      </c>
      <c r="AY27" s="7">
        <v>1302</v>
      </c>
      <c r="AZ27" s="7">
        <v>0</v>
      </c>
      <c r="BA27" s="7">
        <v>148368</v>
      </c>
      <c r="BB27" s="7">
        <v>0</v>
      </c>
      <c r="BC27" s="7">
        <v>92259</v>
      </c>
      <c r="BD27" s="7">
        <v>0</v>
      </c>
      <c r="BE27" s="7">
        <v>0</v>
      </c>
      <c r="BF27" s="7">
        <v>0</v>
      </c>
      <c r="BG27" s="7">
        <v>10518</v>
      </c>
      <c r="BH27" s="7">
        <v>6212</v>
      </c>
      <c r="BI27" s="7">
        <v>0</v>
      </c>
      <c r="BJ27" s="7"/>
      <c r="BK27" s="7">
        <f>14-3</f>
        <v>11</v>
      </c>
      <c r="BL27" s="7">
        <v>-404</v>
      </c>
      <c r="BM27" s="7">
        <v>-3715</v>
      </c>
      <c r="BN27" s="7">
        <v>-1550</v>
      </c>
      <c r="BO27" s="7">
        <v>0</v>
      </c>
      <c r="BP27" s="7">
        <f t="shared" si="9"/>
        <v>11072</v>
      </c>
      <c r="BQ27" s="1">
        <v>13</v>
      </c>
      <c r="BR27" s="7">
        <v>168</v>
      </c>
      <c r="BS27" s="7">
        <v>75</v>
      </c>
      <c r="BT27" s="7">
        <v>571</v>
      </c>
      <c r="BU27" s="7">
        <v>272</v>
      </c>
      <c r="BV27" s="7">
        <v>464</v>
      </c>
      <c r="BW27" s="7">
        <v>4</v>
      </c>
      <c r="BX27" s="7">
        <v>2</v>
      </c>
      <c r="BY27" s="7">
        <v>24</v>
      </c>
      <c r="BZ27" s="7">
        <v>105</v>
      </c>
      <c r="CA27" s="7">
        <v>87</v>
      </c>
      <c r="CB27" s="7">
        <v>14</v>
      </c>
      <c r="CC27" s="7">
        <v>12</v>
      </c>
      <c r="CD27" s="7">
        <v>98</v>
      </c>
      <c r="CE27" s="7">
        <v>514</v>
      </c>
      <c r="CF27" s="7">
        <v>606</v>
      </c>
    </row>
    <row r="28" spans="1:84" x14ac:dyDescent="0.25">
      <c r="A28" s="15">
        <v>3</v>
      </c>
      <c r="B28" s="8" t="s">
        <v>208</v>
      </c>
      <c r="C28" s="57" t="s">
        <v>144</v>
      </c>
      <c r="D28" s="8" t="s">
        <v>350</v>
      </c>
      <c r="E28" s="8" t="s">
        <v>580</v>
      </c>
      <c r="F28" s="8" t="s">
        <v>496</v>
      </c>
      <c r="G28" s="8" t="s">
        <v>593</v>
      </c>
      <c r="H28" s="7">
        <v>17767174</v>
      </c>
      <c r="I28" s="7">
        <v>17825210</v>
      </c>
      <c r="J28" s="7">
        <v>871857</v>
      </c>
      <c r="K28" s="12">
        <v>0</v>
      </c>
      <c r="L28" s="12">
        <v>1103939</v>
      </c>
      <c r="M28" s="12">
        <v>1214045</v>
      </c>
      <c r="N28" s="12">
        <v>3167713</v>
      </c>
      <c r="O28" s="25">
        <f t="shared" si="6"/>
        <v>5485697</v>
      </c>
      <c r="P28" s="12">
        <v>0</v>
      </c>
      <c r="Q28" s="12">
        <v>2337941</v>
      </c>
      <c r="R28" s="12">
        <v>0</v>
      </c>
      <c r="S28" s="12">
        <f t="shared" si="7"/>
        <v>2337941</v>
      </c>
      <c r="T28" s="7">
        <v>4646141</v>
      </c>
      <c r="U28" s="7">
        <v>2674629</v>
      </c>
      <c r="V28" s="7">
        <v>43790</v>
      </c>
      <c r="W28" s="7">
        <v>0</v>
      </c>
      <c r="X28" s="7">
        <v>15956670</v>
      </c>
      <c r="Y28" s="7" t="s">
        <v>287</v>
      </c>
      <c r="Z28" s="26">
        <v>0.24399999999999999</v>
      </c>
      <c r="AA28" s="7">
        <v>0</v>
      </c>
      <c r="AB28" s="26">
        <f>767279/15912880</f>
        <v>4.8217481687790019E-2</v>
      </c>
      <c r="AC28" s="7">
        <v>768472</v>
      </c>
      <c r="AD28" s="7">
        <v>0</v>
      </c>
      <c r="AE28" s="7">
        <f>53965+5386+148</f>
        <v>59499</v>
      </c>
      <c r="AF28" s="7">
        <v>326547</v>
      </c>
      <c r="AG28" s="7">
        <v>34527</v>
      </c>
      <c r="AH28" s="7">
        <v>80876</v>
      </c>
      <c r="AI28" s="7">
        <f>36045+1010</f>
        <v>37055</v>
      </c>
      <c r="AJ28" s="7">
        <v>15212</v>
      </c>
      <c r="AK28" s="7">
        <v>40066</v>
      </c>
      <c r="AL28" s="7">
        <v>8550</v>
      </c>
      <c r="AM28" s="7">
        <v>6706</v>
      </c>
      <c r="AN28" s="7">
        <v>0</v>
      </c>
      <c r="AO28" s="7">
        <f>5095+29314+20492</f>
        <v>54901</v>
      </c>
      <c r="AP28" s="7">
        <v>7016</v>
      </c>
      <c r="AQ28" s="7">
        <v>415</v>
      </c>
      <c r="AR28" s="7">
        <v>835</v>
      </c>
      <c r="AS28" s="7">
        <v>0</v>
      </c>
      <c r="AT28" s="7">
        <v>36688</v>
      </c>
      <c r="AU28" s="7">
        <v>0</v>
      </c>
      <c r="AV28" s="7">
        <v>693614</v>
      </c>
      <c r="AW28" s="7">
        <v>729603</v>
      </c>
      <c r="AX28" s="26">
        <f t="shared" si="8"/>
        <v>0</v>
      </c>
      <c r="AY28" s="7">
        <v>0</v>
      </c>
      <c r="AZ28" s="7">
        <v>0</v>
      </c>
      <c r="BA28" s="7">
        <v>148368</v>
      </c>
      <c r="BB28" s="7">
        <v>0</v>
      </c>
      <c r="BC28" s="7">
        <v>76484</v>
      </c>
      <c r="BD28" s="7">
        <v>0</v>
      </c>
      <c r="BE28" s="7">
        <v>0</v>
      </c>
      <c r="BF28" s="7">
        <v>0</v>
      </c>
      <c r="BG28" s="7">
        <v>4485</v>
      </c>
      <c r="BH28" s="7">
        <v>2888</v>
      </c>
      <c r="BI28" s="7">
        <v>0</v>
      </c>
      <c r="BJ28" s="7"/>
      <c r="BK28" s="7">
        <v>-2</v>
      </c>
      <c r="BL28" s="7">
        <v>-319</v>
      </c>
      <c r="BM28" s="7">
        <v>-1059</v>
      </c>
      <c r="BN28" s="7">
        <v>-666</v>
      </c>
      <c r="BO28" s="7">
        <v>0</v>
      </c>
      <c r="BP28" s="7">
        <f t="shared" si="9"/>
        <v>5327</v>
      </c>
      <c r="BQ28" s="1">
        <v>3</v>
      </c>
      <c r="BR28" s="7">
        <v>128</v>
      </c>
      <c r="BS28" s="7">
        <v>55</v>
      </c>
      <c r="BT28" s="7">
        <v>344</v>
      </c>
      <c r="BU28" s="7">
        <v>49</v>
      </c>
      <c r="BV28" s="7">
        <v>110</v>
      </c>
      <c r="BW28" s="7">
        <v>1</v>
      </c>
      <c r="BX28" s="7">
        <v>1</v>
      </c>
      <c r="BY28" s="7">
        <v>23</v>
      </c>
      <c r="BZ28" s="7">
        <v>124</v>
      </c>
      <c r="CA28" s="7">
        <v>16</v>
      </c>
      <c r="CB28" s="7">
        <v>6</v>
      </c>
      <c r="CC28" s="7">
        <v>7</v>
      </c>
      <c r="CD28" s="7">
        <v>31</v>
      </c>
      <c r="CE28" s="7">
        <v>338</v>
      </c>
      <c r="CF28" s="7">
        <v>100</v>
      </c>
    </row>
    <row r="29" spans="1:84" x14ac:dyDescent="0.25">
      <c r="A29" s="15">
        <v>3</v>
      </c>
      <c r="B29" s="8" t="s">
        <v>404</v>
      </c>
      <c r="C29" s="57" t="s">
        <v>493</v>
      </c>
      <c r="D29" s="8" t="s">
        <v>797</v>
      </c>
      <c r="E29" s="8" t="s">
        <v>201</v>
      </c>
      <c r="F29" s="8"/>
      <c r="G29" s="8" t="s">
        <v>210</v>
      </c>
      <c r="H29" s="7">
        <v>9657796</v>
      </c>
      <c r="I29" s="7">
        <v>9661795</v>
      </c>
      <c r="J29" s="7">
        <v>405014</v>
      </c>
      <c r="K29" s="12">
        <v>6363</v>
      </c>
      <c r="L29" s="12">
        <v>1426385</v>
      </c>
      <c r="M29" s="12">
        <v>2635278</v>
      </c>
      <c r="N29" s="12">
        <v>0</v>
      </c>
      <c r="O29" s="25">
        <f t="shared" si="6"/>
        <v>4068026</v>
      </c>
      <c r="P29" s="12">
        <v>0</v>
      </c>
      <c r="Q29" s="12">
        <v>969997</v>
      </c>
      <c r="R29" s="12">
        <v>0</v>
      </c>
      <c r="S29" s="12">
        <f t="shared" si="7"/>
        <v>969997</v>
      </c>
      <c r="T29" s="7">
        <v>2814011</v>
      </c>
      <c r="U29" s="7">
        <v>411178</v>
      </c>
      <c r="V29" s="7">
        <v>0</v>
      </c>
      <c r="W29" s="7">
        <v>0</v>
      </c>
      <c r="X29" s="7">
        <v>8791922</v>
      </c>
      <c r="Y29" s="7" t="s">
        <v>531</v>
      </c>
      <c r="Z29" s="26">
        <v>0.20419999999999999</v>
      </c>
      <c r="AA29" s="7">
        <v>0</v>
      </c>
      <c r="AB29" s="26">
        <f>527515/8791922</f>
        <v>5.9999963602952802E-2</v>
      </c>
      <c r="AC29" s="7">
        <v>528710</v>
      </c>
      <c r="AD29" s="7">
        <v>0</v>
      </c>
      <c r="AE29" s="7">
        <f>3999+186</f>
        <v>4185</v>
      </c>
      <c r="AF29" s="7">
        <v>189461</v>
      </c>
      <c r="AG29" s="7">
        <v>14616</v>
      </c>
      <c r="AH29" s="7">
        <v>23368</v>
      </c>
      <c r="AI29" s="7">
        <v>36524</v>
      </c>
      <c r="AJ29" s="7">
        <v>22650</v>
      </c>
      <c r="AK29" s="7">
        <v>17158</v>
      </c>
      <c r="AL29" s="7">
        <v>6500</v>
      </c>
      <c r="AM29" s="7">
        <v>8404</v>
      </c>
      <c r="AN29" s="7">
        <v>0</v>
      </c>
      <c r="AO29" s="7">
        <f>4197+10163+11071</f>
        <v>25431</v>
      </c>
      <c r="AP29" s="7">
        <v>6393</v>
      </c>
      <c r="AQ29" s="7">
        <v>40</v>
      </c>
      <c r="AR29" s="7">
        <v>21</v>
      </c>
      <c r="AS29" s="7">
        <v>2266</v>
      </c>
      <c r="AT29" s="7">
        <v>8120</v>
      </c>
      <c r="AU29" s="7">
        <v>0</v>
      </c>
      <c r="AV29" s="7">
        <v>374950</v>
      </c>
      <c r="AW29" s="7">
        <v>385380</v>
      </c>
      <c r="AX29" s="26">
        <f t="shared" si="8"/>
        <v>0</v>
      </c>
      <c r="AY29" s="7">
        <v>0</v>
      </c>
      <c r="AZ29" s="7">
        <v>0</v>
      </c>
      <c r="BA29" s="7">
        <v>148368</v>
      </c>
      <c r="BB29" s="7">
        <v>0</v>
      </c>
      <c r="BC29" s="7">
        <v>35850</v>
      </c>
      <c r="BD29" s="7">
        <v>0</v>
      </c>
      <c r="BE29" s="7">
        <v>0</v>
      </c>
      <c r="BF29" s="7">
        <v>0</v>
      </c>
      <c r="BG29" s="7">
        <v>2477</v>
      </c>
      <c r="BH29" s="7">
        <v>1118</v>
      </c>
      <c r="BI29" s="7">
        <v>0</v>
      </c>
      <c r="BJ29" s="7"/>
      <c r="BK29" s="7">
        <v>-1</v>
      </c>
      <c r="BL29" s="7">
        <v>-112</v>
      </c>
      <c r="BM29" s="7">
        <v>-483</v>
      </c>
      <c r="BN29" s="7">
        <v>-386</v>
      </c>
      <c r="BO29" s="7">
        <v>-14</v>
      </c>
      <c r="BP29" s="7">
        <f t="shared" si="9"/>
        <v>2599</v>
      </c>
      <c r="BQ29" s="1">
        <v>5</v>
      </c>
      <c r="BR29" s="7">
        <v>60</v>
      </c>
      <c r="BS29" s="7">
        <v>34</v>
      </c>
      <c r="BT29" s="7">
        <v>257</v>
      </c>
      <c r="BU29" s="7">
        <v>24</v>
      </c>
      <c r="BV29" s="7">
        <v>11</v>
      </c>
      <c r="BW29" s="7">
        <v>0</v>
      </c>
      <c r="BX29" s="7">
        <v>1</v>
      </c>
      <c r="BY29" s="7">
        <v>10</v>
      </c>
      <c r="BZ29" s="7">
        <v>55</v>
      </c>
      <c r="CA29" s="7">
        <v>3</v>
      </c>
      <c r="CB29" s="7">
        <v>2</v>
      </c>
      <c r="CC29" s="7">
        <v>3</v>
      </c>
      <c r="CD29" s="7">
        <v>30</v>
      </c>
      <c r="CE29" s="7">
        <v>168</v>
      </c>
      <c r="CF29" s="7">
        <v>13</v>
      </c>
    </row>
    <row r="30" spans="1:84" x14ac:dyDescent="0.25">
      <c r="A30" s="15">
        <v>3</v>
      </c>
      <c r="B30" s="8" t="s">
        <v>630</v>
      </c>
      <c r="C30" s="57" t="s">
        <v>282</v>
      </c>
      <c r="D30" s="8" t="s">
        <v>623</v>
      </c>
      <c r="E30" s="8" t="s">
        <v>580</v>
      </c>
      <c r="F30" s="8" t="s">
        <v>234</v>
      </c>
      <c r="G30" s="8" t="s">
        <v>593</v>
      </c>
      <c r="H30" s="7">
        <v>16932595</v>
      </c>
      <c r="I30" s="7">
        <v>16949196</v>
      </c>
      <c r="J30" s="7">
        <v>861163</v>
      </c>
      <c r="K30" s="12">
        <v>12746</v>
      </c>
      <c r="L30" s="12">
        <v>0</v>
      </c>
      <c r="M30" s="12">
        <v>8953417</v>
      </c>
      <c r="N30" s="12">
        <v>0</v>
      </c>
      <c r="O30" s="25">
        <f t="shared" si="6"/>
        <v>8966163</v>
      </c>
      <c r="P30" s="12">
        <v>0</v>
      </c>
      <c r="Q30" s="12">
        <v>1728183</v>
      </c>
      <c r="R30" s="12">
        <v>0</v>
      </c>
      <c r="S30" s="12">
        <f t="shared" si="7"/>
        <v>1728183</v>
      </c>
      <c r="T30" s="7">
        <v>2986286</v>
      </c>
      <c r="U30" s="7">
        <v>1324018</v>
      </c>
      <c r="V30" s="7">
        <v>62030</v>
      </c>
      <c r="W30" s="7">
        <v>19736</v>
      </c>
      <c r="X30" s="7">
        <v>16111005</v>
      </c>
      <c r="Y30" s="7" t="s">
        <v>531</v>
      </c>
      <c r="Z30" s="26">
        <v>0.14560000000000001</v>
      </c>
      <c r="AA30" s="7">
        <v>0</v>
      </c>
      <c r="AB30" s="26">
        <f>1024254/16029239</f>
        <v>6.3899103382262873E-2</v>
      </c>
      <c r="AC30" s="7">
        <v>1024589</v>
      </c>
      <c r="AD30" s="7">
        <v>0</v>
      </c>
      <c r="AE30" s="7">
        <f>15725+3135+378</f>
        <v>19238</v>
      </c>
      <c r="AF30" s="7">
        <v>432909</v>
      </c>
      <c r="AG30" s="7">
        <v>37456</v>
      </c>
      <c r="AH30" s="7">
        <v>77415</v>
      </c>
      <c r="AI30" s="7">
        <f>139049+9041</f>
        <v>148090</v>
      </c>
      <c r="AJ30" s="7">
        <v>6520</v>
      </c>
      <c r="AK30" s="7">
        <v>41841</v>
      </c>
      <c r="AL30" s="7">
        <v>7800</v>
      </c>
      <c r="AM30" s="7">
        <v>6224</v>
      </c>
      <c r="AN30" s="7">
        <v>31731</v>
      </c>
      <c r="AO30" s="7">
        <f>5328+33844+19735</f>
        <v>58907</v>
      </c>
      <c r="AP30" s="7">
        <v>4819</v>
      </c>
      <c r="AQ30" s="7">
        <v>0</v>
      </c>
      <c r="AR30" s="7">
        <v>623</v>
      </c>
      <c r="AS30" s="7">
        <v>10716</v>
      </c>
      <c r="AT30" s="7">
        <v>12991</v>
      </c>
      <c r="AU30" s="7">
        <v>0</v>
      </c>
      <c r="AV30" s="7">
        <v>916202</v>
      </c>
      <c r="AW30" s="7">
        <v>922271</v>
      </c>
      <c r="AX30" s="26">
        <f t="shared" si="8"/>
        <v>0</v>
      </c>
      <c r="AY30" s="7">
        <v>0</v>
      </c>
      <c r="AZ30" s="7">
        <v>0</v>
      </c>
      <c r="BA30" s="7">
        <v>148368</v>
      </c>
      <c r="BB30" s="7">
        <v>0</v>
      </c>
      <c r="BC30" s="7">
        <v>123411</v>
      </c>
      <c r="BD30" s="7">
        <v>0</v>
      </c>
      <c r="BE30" s="7">
        <v>0</v>
      </c>
      <c r="BF30" s="7">
        <v>0</v>
      </c>
      <c r="BG30" s="7">
        <v>4857</v>
      </c>
      <c r="BH30" s="7">
        <v>3481</v>
      </c>
      <c r="BI30" s="7">
        <v>117</v>
      </c>
      <c r="BJ30" s="7"/>
      <c r="BK30" s="7">
        <v>-4</v>
      </c>
      <c r="BL30" s="7">
        <v>-308</v>
      </c>
      <c r="BM30" s="7">
        <v>-2361</v>
      </c>
      <c r="BN30" s="7">
        <v>-646</v>
      </c>
      <c r="BO30" s="7">
        <v>-5</v>
      </c>
      <c r="BP30" s="7">
        <f t="shared" si="9"/>
        <v>5131</v>
      </c>
      <c r="BQ30" s="1">
        <v>0</v>
      </c>
      <c r="BR30" s="7">
        <v>85</v>
      </c>
      <c r="BS30" s="7">
        <v>50</v>
      </c>
      <c r="BT30" s="7">
        <v>321</v>
      </c>
      <c r="BU30" s="7">
        <v>107</v>
      </c>
      <c r="BV30" s="7">
        <v>64</v>
      </c>
      <c r="BW30" s="7">
        <v>1</v>
      </c>
      <c r="BX30" s="7">
        <v>1</v>
      </c>
      <c r="BY30" s="7">
        <v>12</v>
      </c>
      <c r="BZ30" s="7">
        <v>79</v>
      </c>
      <c r="CA30" s="7">
        <v>1</v>
      </c>
      <c r="CB30" s="7">
        <v>8</v>
      </c>
      <c r="CC30" s="7">
        <v>6</v>
      </c>
      <c r="CD30" s="7">
        <v>51</v>
      </c>
      <c r="CE30" s="7">
        <v>652</v>
      </c>
      <c r="CF30" s="7">
        <v>27</v>
      </c>
    </row>
    <row r="31" spans="1:84" x14ac:dyDescent="0.25">
      <c r="A31" s="15">
        <v>3</v>
      </c>
      <c r="B31" s="8" t="s">
        <v>674</v>
      </c>
      <c r="C31" s="57" t="s">
        <v>399</v>
      </c>
      <c r="D31" s="8" t="s">
        <v>257</v>
      </c>
      <c r="E31" s="8" t="s">
        <v>545</v>
      </c>
      <c r="F31" s="8"/>
      <c r="G31" s="8" t="s">
        <v>540</v>
      </c>
      <c r="H31" s="7">
        <v>25091127</v>
      </c>
      <c r="I31" s="7">
        <v>25114297</v>
      </c>
      <c r="J31" s="7">
        <v>2612151</v>
      </c>
      <c r="K31" s="12">
        <v>0</v>
      </c>
      <c r="L31" s="12">
        <v>5048416</v>
      </c>
      <c r="M31" s="12">
        <v>6151601</v>
      </c>
      <c r="N31" s="12">
        <v>150605</v>
      </c>
      <c r="O31" s="25">
        <f t="shared" si="6"/>
        <v>11350622</v>
      </c>
      <c r="P31" s="12">
        <v>0</v>
      </c>
      <c r="Q31" s="12">
        <v>2392894</v>
      </c>
      <c r="R31" s="12">
        <v>0</v>
      </c>
      <c r="S31" s="12">
        <f t="shared" si="7"/>
        <v>2392894</v>
      </c>
      <c r="T31" s="7">
        <v>4031033</v>
      </c>
      <c r="U31" s="7">
        <v>1734327</v>
      </c>
      <c r="V31" s="7">
        <v>1222</v>
      </c>
      <c r="W31" s="7">
        <v>0</v>
      </c>
      <c r="X31" s="7">
        <v>20854319</v>
      </c>
      <c r="Y31" s="7" t="s">
        <v>307</v>
      </c>
      <c r="Z31" s="26">
        <v>0.21890000000000001</v>
      </c>
      <c r="AA31" s="7">
        <v>0</v>
      </c>
      <c r="AB31" s="26">
        <f>1343583/20591925</f>
        <v>6.5248052331192935E-2</v>
      </c>
      <c r="AC31" s="7">
        <v>1344221</v>
      </c>
      <c r="AD31" s="7">
        <v>0</v>
      </c>
      <c r="AE31" s="7">
        <f>23170+232</f>
        <v>23402</v>
      </c>
      <c r="AF31" s="7">
        <v>618983</v>
      </c>
      <c r="AG31" s="7">
        <v>55355</v>
      </c>
      <c r="AH31" s="7">
        <v>86881</v>
      </c>
      <c r="AI31" s="7">
        <f>102025+6576</f>
        <v>108601</v>
      </c>
      <c r="AJ31" s="7">
        <v>7606</v>
      </c>
      <c r="AK31" s="7">
        <v>72049</v>
      </c>
      <c r="AL31" s="7">
        <v>8650</v>
      </c>
      <c r="AM31" s="7">
        <v>9555</v>
      </c>
      <c r="AN31" s="7">
        <v>0</v>
      </c>
      <c r="AO31" s="7">
        <f>10248+28118+25643</f>
        <v>64009</v>
      </c>
      <c r="AP31" s="7">
        <v>14672</v>
      </c>
      <c r="AQ31" s="7">
        <v>597</v>
      </c>
      <c r="AR31" s="7">
        <v>3058</v>
      </c>
      <c r="AS31" s="7">
        <v>0</v>
      </c>
      <c r="AT31" s="7">
        <v>46914</v>
      </c>
      <c r="AU31" s="7">
        <v>2334</v>
      </c>
      <c r="AV31" s="7">
        <v>1160464</v>
      </c>
      <c r="AW31" s="7">
        <v>1193243</v>
      </c>
      <c r="AX31" s="26">
        <f t="shared" si="8"/>
        <v>2.0112644597333482E-3</v>
      </c>
      <c r="AY31" s="7">
        <v>0</v>
      </c>
      <c r="AZ31" s="7">
        <v>0</v>
      </c>
      <c r="BA31" s="7">
        <v>148368</v>
      </c>
      <c r="BB31" s="7">
        <v>0</v>
      </c>
      <c r="BC31" s="7">
        <v>141990</v>
      </c>
      <c r="BD31" s="7">
        <v>0</v>
      </c>
      <c r="BE31" s="7">
        <v>0</v>
      </c>
      <c r="BF31" s="7">
        <v>0</v>
      </c>
      <c r="BG31" s="7">
        <v>4644</v>
      </c>
      <c r="BH31" s="7">
        <v>3858</v>
      </c>
      <c r="BI31" s="7">
        <v>0</v>
      </c>
      <c r="BJ31" s="7"/>
      <c r="BK31" s="7">
        <f>13-2-123</f>
        <v>-112</v>
      </c>
      <c r="BL31" s="7">
        <v>-129</v>
      </c>
      <c r="BM31" s="7">
        <v>-2175</v>
      </c>
      <c r="BN31" s="7">
        <v>-654</v>
      </c>
      <c r="BO31" s="7">
        <v>0</v>
      </c>
      <c r="BP31" s="7">
        <f t="shared" si="9"/>
        <v>5432</v>
      </c>
      <c r="BQ31" s="1">
        <v>7</v>
      </c>
      <c r="BR31" s="7">
        <v>154</v>
      </c>
      <c r="BS31" s="7">
        <v>26</v>
      </c>
      <c r="BT31" s="7">
        <v>384</v>
      </c>
      <c r="BU31" s="7">
        <v>39</v>
      </c>
      <c r="BV31" s="7">
        <v>51</v>
      </c>
      <c r="BW31" s="7">
        <v>11</v>
      </c>
      <c r="BX31" s="7">
        <v>0</v>
      </c>
      <c r="BY31" s="7">
        <v>25</v>
      </c>
      <c r="BZ31" s="7">
        <v>0</v>
      </c>
      <c r="CA31" s="7">
        <v>1</v>
      </c>
      <c r="CB31" s="7">
        <v>143</v>
      </c>
      <c r="CC31" s="7">
        <v>3</v>
      </c>
      <c r="CD31" s="7">
        <v>215</v>
      </c>
      <c r="CE31" s="7">
        <v>86</v>
      </c>
      <c r="CF31" s="7">
        <v>105</v>
      </c>
    </row>
    <row r="32" spans="1:84" x14ac:dyDescent="0.25">
      <c r="A32" s="15">
        <v>3</v>
      </c>
      <c r="B32" s="8" t="s">
        <v>697</v>
      </c>
      <c r="C32" s="57" t="s">
        <v>239</v>
      </c>
      <c r="D32" s="8" t="s">
        <v>597</v>
      </c>
      <c r="E32" s="8" t="s">
        <v>580</v>
      </c>
      <c r="F32" s="8" t="s">
        <v>234</v>
      </c>
      <c r="G32" s="8" t="s">
        <v>593</v>
      </c>
      <c r="H32" s="7">
        <v>27281739</v>
      </c>
      <c r="I32" s="7">
        <v>27334107</v>
      </c>
      <c r="J32" s="7">
        <v>2318892</v>
      </c>
      <c r="K32" s="12">
        <v>0</v>
      </c>
      <c r="L32" s="12">
        <v>3074458</v>
      </c>
      <c r="M32" s="12">
        <v>0</v>
      </c>
      <c r="N32" s="12">
        <v>11780165</v>
      </c>
      <c r="O32" s="25">
        <f t="shared" si="6"/>
        <v>14854623</v>
      </c>
      <c r="P32" s="12">
        <v>0</v>
      </c>
      <c r="Q32" s="12">
        <v>1487288</v>
      </c>
      <c r="R32" s="12">
        <v>0</v>
      </c>
      <c r="S32" s="12">
        <f t="shared" si="7"/>
        <v>1487288</v>
      </c>
      <c r="T32" s="7">
        <v>4393513</v>
      </c>
      <c r="U32" s="7">
        <v>1971257</v>
      </c>
      <c r="V32" s="7">
        <v>130391</v>
      </c>
      <c r="W32" s="7">
        <v>0</v>
      </c>
      <c r="X32" s="7">
        <v>24111417</v>
      </c>
      <c r="Y32" s="7" t="s">
        <v>531</v>
      </c>
      <c r="Z32" s="26">
        <v>0.22220000000000001</v>
      </c>
      <c r="AA32" s="7">
        <v>0</v>
      </c>
      <c r="AB32" s="26">
        <f>1274157/23981026</f>
        <v>5.3131880178938135E-2</v>
      </c>
      <c r="AC32" s="7">
        <v>1274345</v>
      </c>
      <c r="AD32" s="7">
        <v>0</v>
      </c>
      <c r="AE32" s="7">
        <f>48028+7978+262</f>
        <v>56268</v>
      </c>
      <c r="AF32" s="7">
        <v>685425</v>
      </c>
      <c r="AG32" s="7">
        <v>55761</v>
      </c>
      <c r="AH32" s="7">
        <v>177813</v>
      </c>
      <c r="AI32" s="7">
        <v>132183</v>
      </c>
      <c r="AJ32" s="7">
        <v>2309</v>
      </c>
      <c r="AK32" s="7">
        <v>53460</v>
      </c>
      <c r="AL32" s="7">
        <v>9725</v>
      </c>
      <c r="AM32" s="7">
        <v>6034</v>
      </c>
      <c r="AN32" s="7">
        <v>50319</v>
      </c>
      <c r="AO32" s="7">
        <f>8370+26462+29296</f>
        <v>64128</v>
      </c>
      <c r="AP32" s="7">
        <v>7222</v>
      </c>
      <c r="AQ32" s="7">
        <v>0</v>
      </c>
      <c r="AR32" s="7">
        <v>0</v>
      </c>
      <c r="AS32" s="7">
        <v>12078</v>
      </c>
      <c r="AT32" s="7">
        <v>17335</v>
      </c>
      <c r="AU32" s="7">
        <v>0</v>
      </c>
      <c r="AV32" s="7">
        <v>1326540</v>
      </c>
      <c r="AW32" s="7">
        <v>1350858</v>
      </c>
      <c r="AX32" s="26">
        <f t="shared" si="8"/>
        <v>0</v>
      </c>
      <c r="AY32" s="7">
        <v>0</v>
      </c>
      <c r="AZ32" s="7">
        <v>0</v>
      </c>
      <c r="BA32" s="7">
        <v>148368</v>
      </c>
      <c r="BB32" s="7">
        <v>0</v>
      </c>
      <c r="BC32" s="7">
        <v>97877</v>
      </c>
      <c r="BD32" s="7">
        <v>0</v>
      </c>
      <c r="BE32" s="7">
        <v>0</v>
      </c>
      <c r="BF32" s="7">
        <v>0</v>
      </c>
      <c r="BG32" s="7">
        <v>9126</v>
      </c>
      <c r="BH32" s="7">
        <v>7005</v>
      </c>
      <c r="BI32" s="7">
        <v>175</v>
      </c>
      <c r="BJ32" s="7"/>
      <c r="BK32" s="7">
        <f>-62+6+67-3</f>
        <v>8</v>
      </c>
      <c r="BL32" s="7">
        <v>-272</v>
      </c>
      <c r="BM32" s="7">
        <v>-5194</v>
      </c>
      <c r="BN32" s="7">
        <v>-881</v>
      </c>
      <c r="BO32" s="7">
        <v>0</v>
      </c>
      <c r="BP32" s="7">
        <f t="shared" si="9"/>
        <v>9967</v>
      </c>
      <c r="BQ32" s="1">
        <v>4</v>
      </c>
      <c r="BR32" s="7">
        <v>106</v>
      </c>
      <c r="BS32" s="7">
        <v>78</v>
      </c>
      <c r="BT32" s="7">
        <v>510</v>
      </c>
      <c r="BU32" s="7">
        <v>171</v>
      </c>
      <c r="BV32" s="7">
        <v>16</v>
      </c>
      <c r="BW32" s="7">
        <v>0</v>
      </c>
      <c r="BX32" s="7">
        <v>2</v>
      </c>
      <c r="BY32" s="7">
        <v>21</v>
      </c>
      <c r="BZ32" s="7">
        <v>58</v>
      </c>
      <c r="CA32" s="7">
        <v>1</v>
      </c>
      <c r="CB32" s="7">
        <v>25</v>
      </c>
      <c r="CC32" s="7">
        <v>17</v>
      </c>
      <c r="CD32" s="7">
        <v>137</v>
      </c>
      <c r="CE32" s="7">
        <v>1258</v>
      </c>
      <c r="CF32" s="7">
        <v>43</v>
      </c>
    </row>
    <row r="33" spans="1:84" x14ac:dyDescent="0.25">
      <c r="A33" s="15">
        <v>3</v>
      </c>
      <c r="B33" s="8" t="s">
        <v>799</v>
      </c>
      <c r="C33" s="57" t="s">
        <v>655</v>
      </c>
      <c r="D33" s="8" t="s">
        <v>600</v>
      </c>
      <c r="E33" s="8" t="s">
        <v>580</v>
      </c>
      <c r="F33" s="8" t="s">
        <v>787</v>
      </c>
      <c r="G33" s="8" t="s">
        <v>593</v>
      </c>
      <c r="H33" s="7">
        <v>40858919</v>
      </c>
      <c r="I33" s="7">
        <v>40918409</v>
      </c>
      <c r="J33" s="7">
        <v>1214562</v>
      </c>
      <c r="K33" s="12">
        <v>20676870</v>
      </c>
      <c r="L33" s="12">
        <v>2777149</v>
      </c>
      <c r="M33" s="12">
        <v>5813394</v>
      </c>
      <c r="N33" s="12"/>
      <c r="O33" s="25">
        <f t="shared" si="6"/>
        <v>29267413</v>
      </c>
      <c r="P33" s="12">
        <v>28817</v>
      </c>
      <c r="Q33" s="12">
        <v>2091661</v>
      </c>
      <c r="R33" s="12"/>
      <c r="S33" s="12">
        <f t="shared" si="7"/>
        <v>2120478</v>
      </c>
      <c r="T33" s="7">
        <v>3043779</v>
      </c>
      <c r="U33" s="7">
        <v>1364238</v>
      </c>
      <c r="V33" s="7">
        <v>6932</v>
      </c>
      <c r="W33" s="7">
        <v>0</v>
      </c>
      <c r="X33" s="7">
        <v>37161176</v>
      </c>
      <c r="Y33" s="7" t="s">
        <v>531</v>
      </c>
      <c r="Z33" s="26">
        <v>0.16450000000000001</v>
      </c>
      <c r="AA33" s="7">
        <v>0</v>
      </c>
      <c r="AB33" s="26">
        <f>1222940/37081029</f>
        <v>3.2980206671179485E-2</v>
      </c>
      <c r="AC33" s="7">
        <v>1224431</v>
      </c>
      <c r="AD33" s="7">
        <v>0</v>
      </c>
      <c r="AE33" s="7">
        <f>54450+8794+1435</f>
        <v>64679</v>
      </c>
      <c r="AF33" s="7">
        <v>563699</v>
      </c>
      <c r="AG33" s="7">
        <v>46956</v>
      </c>
      <c r="AH33" s="7">
        <v>83872</v>
      </c>
      <c r="AI33" s="7">
        <f>186642+1570</f>
        <v>188212</v>
      </c>
      <c r="AJ33" s="7">
        <v>3184</v>
      </c>
      <c r="AK33" s="7">
        <v>37157</v>
      </c>
      <c r="AL33" s="7">
        <v>9725</v>
      </c>
      <c r="AM33" s="7">
        <v>6219</v>
      </c>
      <c r="AN33" s="7">
        <v>0</v>
      </c>
      <c r="AO33" s="7">
        <f>14427+21680+46772</f>
        <v>82879</v>
      </c>
      <c r="AP33" s="7">
        <v>12959</v>
      </c>
      <c r="AQ33" s="7">
        <v>2434</v>
      </c>
      <c r="AR33" s="7">
        <v>0</v>
      </c>
      <c r="AS33" s="7">
        <v>9071</v>
      </c>
      <c r="AT33" s="7">
        <v>20978</v>
      </c>
      <c r="AU33" s="7">
        <v>0</v>
      </c>
      <c r="AV33" s="7">
        <v>1133207</v>
      </c>
      <c r="AW33" s="7">
        <v>1150819</v>
      </c>
      <c r="AX33" s="26">
        <f t="shared" si="8"/>
        <v>0</v>
      </c>
      <c r="AY33" s="7">
        <v>0</v>
      </c>
      <c r="AZ33" s="7">
        <v>0</v>
      </c>
      <c r="BA33" s="7">
        <v>148368</v>
      </c>
      <c r="BB33" s="7">
        <v>0</v>
      </c>
      <c r="BC33" s="7">
        <v>135996</v>
      </c>
      <c r="BD33" s="7">
        <v>0</v>
      </c>
      <c r="BE33" s="7">
        <v>0</v>
      </c>
      <c r="BF33" s="7">
        <v>0</v>
      </c>
      <c r="BG33" s="7">
        <v>3868</v>
      </c>
      <c r="BH33" s="7">
        <f>2628+5</f>
        <v>2633</v>
      </c>
      <c r="BI33" s="7">
        <v>0</v>
      </c>
      <c r="BJ33" s="7"/>
      <c r="BK33" s="7">
        <f>85-1</f>
        <v>84</v>
      </c>
      <c r="BL33" s="7">
        <v>-325</v>
      </c>
      <c r="BM33" s="7">
        <v>-1288</v>
      </c>
      <c r="BN33" s="7">
        <v>-251</v>
      </c>
      <c r="BO33" s="7">
        <v>-4</v>
      </c>
      <c r="BP33" s="7">
        <f t="shared" si="9"/>
        <v>4717</v>
      </c>
      <c r="BQ33" s="1">
        <v>31</v>
      </c>
      <c r="BR33" s="7">
        <v>104</v>
      </c>
      <c r="BS33" s="7">
        <v>17</v>
      </c>
      <c r="BT33" s="7">
        <v>87</v>
      </c>
      <c r="BU33" s="7">
        <v>39</v>
      </c>
      <c r="BV33" s="7">
        <v>4</v>
      </c>
      <c r="BW33" s="7">
        <v>29</v>
      </c>
      <c r="BX33" s="7">
        <v>21</v>
      </c>
      <c r="BY33" s="7">
        <v>66</v>
      </c>
      <c r="BZ33" s="7">
        <v>55</v>
      </c>
      <c r="CA33" s="7">
        <v>2</v>
      </c>
      <c r="CB33" s="7">
        <v>234</v>
      </c>
      <c r="CC33" s="7">
        <v>44</v>
      </c>
      <c r="CD33" s="7">
        <v>188</v>
      </c>
      <c r="CE33" s="7">
        <v>209</v>
      </c>
      <c r="CF33" s="7">
        <v>15</v>
      </c>
    </row>
    <row r="34" spans="1:84" x14ac:dyDescent="0.25">
      <c r="A34" s="15">
        <v>3</v>
      </c>
      <c r="B34" s="8" t="s">
        <v>801</v>
      </c>
      <c r="C34" s="57" t="s">
        <v>646</v>
      </c>
      <c r="D34" s="8" t="s">
        <v>469</v>
      </c>
      <c r="E34" s="8" t="s">
        <v>545</v>
      </c>
      <c r="F34" s="8"/>
      <c r="G34" s="8" t="s">
        <v>540</v>
      </c>
      <c r="H34" s="7">
        <v>36196280</v>
      </c>
      <c r="I34" s="7">
        <v>36229078</v>
      </c>
      <c r="J34" s="7">
        <v>2226752</v>
      </c>
      <c r="K34" s="12">
        <v>0</v>
      </c>
      <c r="L34" s="12">
        <v>8465169</v>
      </c>
      <c r="M34" s="12">
        <v>9878398</v>
      </c>
      <c r="N34" s="12">
        <v>0</v>
      </c>
      <c r="O34" s="25">
        <f t="shared" si="6"/>
        <v>18343567</v>
      </c>
      <c r="P34" s="12">
        <v>0</v>
      </c>
      <c r="Q34" s="12">
        <v>3476660</v>
      </c>
      <c r="R34" s="12">
        <v>0</v>
      </c>
      <c r="S34" s="12">
        <f t="shared" si="7"/>
        <v>3476660</v>
      </c>
      <c r="T34" s="7">
        <v>6432876</v>
      </c>
      <c r="U34" s="7">
        <v>2780953</v>
      </c>
      <c r="V34" s="7">
        <v>0</v>
      </c>
      <c r="W34" s="7">
        <v>0</v>
      </c>
      <c r="X34" s="7">
        <v>35771241</v>
      </c>
      <c r="Y34" s="7" t="s">
        <v>558</v>
      </c>
      <c r="Z34" s="26">
        <v>6.7100000000000007E-2</v>
      </c>
      <c r="AA34" s="7">
        <v>0</v>
      </c>
      <c r="AB34" s="26">
        <f>1963984/32995203</f>
        <v>5.9523319192792967E-2</v>
      </c>
      <c r="AC34" s="7">
        <v>1962773</v>
      </c>
      <c r="AD34" s="7">
        <v>0</v>
      </c>
      <c r="AE34" s="7">
        <f>31779+8407+2166</f>
        <v>42352</v>
      </c>
      <c r="AF34" s="7">
        <v>731356</v>
      </c>
      <c r="AG34" s="7">
        <v>60494</v>
      </c>
      <c r="AH34" s="7">
        <v>134210</v>
      </c>
      <c r="AI34" s="7">
        <f>157595+8202</f>
        <v>165797</v>
      </c>
      <c r="AJ34" s="7">
        <v>7510</v>
      </c>
      <c r="AK34" s="7">
        <v>56788</v>
      </c>
      <c r="AL34" s="7">
        <v>9725</v>
      </c>
      <c r="AM34" s="7">
        <v>7999</v>
      </c>
      <c r="AN34" s="7">
        <v>0</v>
      </c>
      <c r="AO34" s="7">
        <f>12237+58926+32244</f>
        <v>103407</v>
      </c>
      <c r="AP34" s="7">
        <v>11831</v>
      </c>
      <c r="AQ34" s="7">
        <v>0</v>
      </c>
      <c r="AR34" s="7">
        <v>0</v>
      </c>
      <c r="AS34" s="7">
        <v>42255</v>
      </c>
      <c r="AT34" s="7">
        <v>33981</v>
      </c>
      <c r="AU34" s="7">
        <v>0</v>
      </c>
      <c r="AV34" s="7">
        <v>1804322</v>
      </c>
      <c r="AW34" s="7">
        <v>1830032</v>
      </c>
      <c r="AX34" s="26">
        <f t="shared" si="8"/>
        <v>0</v>
      </c>
      <c r="AY34" s="7">
        <v>0</v>
      </c>
      <c r="AZ34" s="7">
        <v>0</v>
      </c>
      <c r="BA34" s="7">
        <v>148368</v>
      </c>
      <c r="BB34" s="7">
        <v>0</v>
      </c>
      <c r="BC34" s="7">
        <v>132170</v>
      </c>
      <c r="BD34" s="7">
        <v>0</v>
      </c>
      <c r="BE34" s="7">
        <v>0</v>
      </c>
      <c r="BF34" s="7">
        <v>0</v>
      </c>
      <c r="BG34" s="7">
        <v>8457</v>
      </c>
      <c r="BH34" s="7">
        <v>4991</v>
      </c>
      <c r="BI34" s="7">
        <v>369</v>
      </c>
      <c r="BJ34" s="7"/>
      <c r="BK34" s="7">
        <f>1+51+-3747</f>
        <v>-3695</v>
      </c>
      <c r="BL34" s="7">
        <v>-189</v>
      </c>
      <c r="BM34" s="7">
        <v>-3243</v>
      </c>
      <c r="BN34" s="7">
        <v>-1408</v>
      </c>
      <c r="BO34" s="7">
        <v>0</v>
      </c>
      <c r="BP34" s="7">
        <f t="shared" si="9"/>
        <v>5282</v>
      </c>
      <c r="BQ34" s="1">
        <v>22</v>
      </c>
      <c r="BR34" s="7">
        <v>130</v>
      </c>
      <c r="BS34" s="7">
        <v>46</v>
      </c>
      <c r="BT34" s="7">
        <v>494</v>
      </c>
      <c r="BU34" s="7">
        <v>63</v>
      </c>
      <c r="BV34" s="7">
        <v>637</v>
      </c>
      <c r="BW34" s="7">
        <v>0</v>
      </c>
      <c r="BX34" s="7">
        <v>0</v>
      </c>
      <c r="BY34" s="7">
        <v>7</v>
      </c>
      <c r="BZ34" s="7">
        <v>26</v>
      </c>
      <c r="CA34" s="7">
        <v>56</v>
      </c>
      <c r="CB34" s="7">
        <v>9</v>
      </c>
      <c r="CC34" s="7">
        <v>11</v>
      </c>
      <c r="CD34" s="7">
        <v>69</v>
      </c>
      <c r="CE34" s="7">
        <v>243</v>
      </c>
      <c r="CF34" s="7">
        <v>759</v>
      </c>
    </row>
    <row r="35" spans="1:84" x14ac:dyDescent="0.25">
      <c r="A35" s="15">
        <v>4</v>
      </c>
      <c r="B35" s="8" t="s">
        <v>109</v>
      </c>
      <c r="C35" s="57" t="s">
        <v>731</v>
      </c>
      <c r="D35" s="8" t="s">
        <v>441</v>
      </c>
      <c r="E35" s="8" t="s">
        <v>482</v>
      </c>
      <c r="F35" s="8"/>
      <c r="G35" s="8" t="s">
        <v>477</v>
      </c>
      <c r="H35" s="7">
        <v>14578606</v>
      </c>
      <c r="I35" s="7">
        <v>14582637</v>
      </c>
      <c r="J35" s="7">
        <f>1030469</f>
        <v>1030469</v>
      </c>
      <c r="K35" s="12">
        <v>0</v>
      </c>
      <c r="L35" s="12">
        <v>6620949</v>
      </c>
      <c r="M35" s="12">
        <v>0</v>
      </c>
      <c r="N35" s="12">
        <v>0</v>
      </c>
      <c r="O35" s="25">
        <f t="shared" si="6"/>
        <v>6620949</v>
      </c>
      <c r="P35" s="12">
        <v>0</v>
      </c>
      <c r="Q35" s="12">
        <v>1751262</v>
      </c>
      <c r="R35" s="12"/>
      <c r="S35" s="12">
        <f t="shared" si="7"/>
        <v>1751262</v>
      </c>
      <c r="T35" s="7">
        <v>2545541</v>
      </c>
      <c r="U35" s="7">
        <v>643420</v>
      </c>
      <c r="V35" s="7">
        <v>20354</v>
      </c>
      <c r="W35" s="7">
        <v>0</v>
      </c>
      <c r="X35" s="7">
        <v>12300980</v>
      </c>
      <c r="Y35" s="7" t="s">
        <v>531</v>
      </c>
      <c r="Z35" s="26">
        <v>0.19600000000000001</v>
      </c>
      <c r="AA35" s="7">
        <v>0</v>
      </c>
      <c r="AB35" s="26">
        <f>724441/12280626</f>
        <v>5.8990559601766232E-2</v>
      </c>
      <c r="AC35" s="7">
        <v>719454</v>
      </c>
      <c r="AD35" s="7">
        <v>0</v>
      </c>
      <c r="AE35" s="7">
        <f>14890+891</f>
        <v>15781</v>
      </c>
      <c r="AF35" s="7">
        <v>354359</v>
      </c>
      <c r="AG35" s="7">
        <v>28430</v>
      </c>
      <c r="AH35" s="7">
        <v>42766</v>
      </c>
      <c r="AI35" s="7">
        <v>70910</v>
      </c>
      <c r="AJ35" s="7">
        <v>30970</v>
      </c>
      <c r="AK35" s="7">
        <v>32752</v>
      </c>
      <c r="AL35" s="7">
        <v>9140</v>
      </c>
      <c r="AM35" s="7">
        <v>1650</v>
      </c>
      <c r="AN35" s="7">
        <v>0</v>
      </c>
      <c r="AO35" s="7">
        <f>4932+16628+12356</f>
        <v>33916</v>
      </c>
      <c r="AP35" s="7">
        <v>734</v>
      </c>
      <c r="AQ35" s="7">
        <v>500</v>
      </c>
      <c r="AR35" s="7">
        <v>0</v>
      </c>
      <c r="AS35" s="7">
        <v>6359</v>
      </c>
      <c r="AT35" s="7">
        <v>32112</v>
      </c>
      <c r="AU35" s="7">
        <v>0</v>
      </c>
      <c r="AV35" s="7">
        <v>669783</v>
      </c>
      <c r="AW35" s="7">
        <v>716127</v>
      </c>
      <c r="AX35" s="26">
        <v>0</v>
      </c>
      <c r="AY35" s="7">
        <v>0</v>
      </c>
      <c r="AZ35" s="7">
        <v>0</v>
      </c>
      <c r="BA35" s="7">
        <v>148368</v>
      </c>
      <c r="BB35" s="7">
        <v>0</v>
      </c>
      <c r="BC35" s="7">
        <v>63606</v>
      </c>
      <c r="BD35" s="7">
        <v>0</v>
      </c>
      <c r="BE35" s="7">
        <v>0</v>
      </c>
      <c r="BF35" s="7">
        <v>0</v>
      </c>
      <c r="BG35" s="7">
        <v>3100</v>
      </c>
      <c r="BH35" s="7">
        <v>2541</v>
      </c>
      <c r="BI35" s="7">
        <v>0</v>
      </c>
      <c r="BJ35" s="7"/>
      <c r="BK35" s="7">
        <v>-3</v>
      </c>
      <c r="BL35" s="7">
        <v>-267</v>
      </c>
      <c r="BM35" s="7">
        <v>-1160</v>
      </c>
      <c r="BN35" s="7">
        <v>-419</v>
      </c>
      <c r="BO35" s="7">
        <v>0</v>
      </c>
      <c r="BP35" s="7">
        <f t="shared" si="9"/>
        <v>3792</v>
      </c>
      <c r="BQ35" s="1">
        <v>28</v>
      </c>
      <c r="BR35" s="7">
        <v>127</v>
      </c>
      <c r="BS35" s="7">
        <v>47</v>
      </c>
      <c r="BT35" s="7">
        <v>200</v>
      </c>
      <c r="BU35" s="7">
        <v>7</v>
      </c>
      <c r="BV35" s="7">
        <v>38</v>
      </c>
      <c r="BW35" s="7">
        <v>3</v>
      </c>
      <c r="BX35" s="7">
        <v>0</v>
      </c>
      <c r="BY35" s="7">
        <v>8</v>
      </c>
      <c r="BZ35" s="7">
        <v>219</v>
      </c>
      <c r="CA35" s="7">
        <v>37</v>
      </c>
      <c r="CB35" s="7">
        <v>10</v>
      </c>
      <c r="CC35" s="7">
        <v>3</v>
      </c>
      <c r="CD35" s="7">
        <v>24</v>
      </c>
      <c r="CE35" s="7">
        <v>789</v>
      </c>
      <c r="CF35" s="7">
        <v>334</v>
      </c>
    </row>
    <row r="36" spans="1:84" x14ac:dyDescent="0.25">
      <c r="A36" s="15">
        <v>4</v>
      </c>
      <c r="B36" s="8" t="s">
        <v>122</v>
      </c>
      <c r="C36" s="57" t="s">
        <v>332</v>
      </c>
      <c r="D36" s="8" t="s">
        <v>310</v>
      </c>
      <c r="E36" s="8" t="s">
        <v>673</v>
      </c>
      <c r="F36" s="8"/>
      <c r="G36" s="8" t="s">
        <v>691</v>
      </c>
      <c r="H36" s="7">
        <v>12289282</v>
      </c>
      <c r="I36" s="7">
        <v>12315379</v>
      </c>
      <c r="J36" s="7">
        <v>353206</v>
      </c>
      <c r="K36" s="12">
        <v>0</v>
      </c>
      <c r="L36" s="12">
        <v>1760539</v>
      </c>
      <c r="M36" s="12">
        <v>4642029</v>
      </c>
      <c r="N36" s="12">
        <v>0</v>
      </c>
      <c r="O36" s="25">
        <f t="shared" si="6"/>
        <v>6402568</v>
      </c>
      <c r="P36" s="12">
        <v>0</v>
      </c>
      <c r="Q36" s="12">
        <v>552106</v>
      </c>
      <c r="R36" s="12">
        <v>0</v>
      </c>
      <c r="S36" s="12">
        <f t="shared" si="7"/>
        <v>552106</v>
      </c>
      <c r="T36" s="7">
        <v>2832550</v>
      </c>
      <c r="U36" s="7">
        <v>785431</v>
      </c>
      <c r="V36" s="7">
        <v>0</v>
      </c>
      <c r="W36" s="7">
        <v>0</v>
      </c>
      <c r="X36" s="7">
        <v>11088640</v>
      </c>
      <c r="Y36" s="7" t="s">
        <v>696</v>
      </c>
      <c r="Z36" s="26">
        <v>0.20280000000000001</v>
      </c>
      <c r="AA36" s="7">
        <v>0</v>
      </c>
      <c r="AB36" s="26">
        <f>515810/11088520</f>
        <v>4.6517479338992036E-2</v>
      </c>
      <c r="AC36" s="7">
        <v>515865</v>
      </c>
      <c r="AD36" s="7">
        <v>0</v>
      </c>
      <c r="AE36" s="7">
        <f>26097+146</f>
        <v>26243</v>
      </c>
      <c r="AF36" s="7">
        <v>166893</v>
      </c>
      <c r="AG36" s="7">
        <v>13386</v>
      </c>
      <c r="AH36" s="7">
        <v>27509</v>
      </c>
      <c r="AI36" s="7">
        <v>36116</v>
      </c>
      <c r="AJ36" s="7">
        <v>933</v>
      </c>
      <c r="AK36" s="7">
        <v>28824</v>
      </c>
      <c r="AL36" s="7">
        <v>8160</v>
      </c>
      <c r="AM36" s="7">
        <v>76</v>
      </c>
      <c r="AN36" s="7">
        <v>0</v>
      </c>
      <c r="AO36" s="7">
        <f>13058+9306+10413</f>
        <v>32777</v>
      </c>
      <c r="AP36" s="7">
        <v>10008</v>
      </c>
      <c r="AQ36" s="7">
        <v>1732</v>
      </c>
      <c r="AR36" s="7">
        <v>0</v>
      </c>
      <c r="AS36" s="7">
        <v>958</v>
      </c>
      <c r="AT36" s="7">
        <v>13651</v>
      </c>
      <c r="AU36" s="7">
        <v>0</v>
      </c>
      <c r="AV36" s="7">
        <v>372126</v>
      </c>
      <c r="AW36" s="7">
        <v>404212</v>
      </c>
      <c r="AX36" s="26">
        <f t="shared" ref="AX36:AX67" si="10">AU36/AV36</f>
        <v>0</v>
      </c>
      <c r="AY36" s="7">
        <v>0</v>
      </c>
      <c r="AZ36" s="7">
        <v>0</v>
      </c>
      <c r="BA36" s="7">
        <v>148368</v>
      </c>
      <c r="BB36" s="7">
        <v>0</v>
      </c>
      <c r="BC36" s="7">
        <v>46079</v>
      </c>
      <c r="BD36" s="7">
        <v>0</v>
      </c>
      <c r="BE36" s="7">
        <v>0</v>
      </c>
      <c r="BF36" s="7">
        <v>0</v>
      </c>
      <c r="BG36" s="7">
        <v>2202</v>
      </c>
      <c r="BH36" s="7">
        <v>1782</v>
      </c>
      <c r="BI36" s="7">
        <v>2</v>
      </c>
      <c r="BJ36" s="7"/>
      <c r="BK36" s="7">
        <f>-2+22-2</f>
        <v>18</v>
      </c>
      <c r="BL36" s="7">
        <v>-129</v>
      </c>
      <c r="BM36" s="7">
        <v>-781</v>
      </c>
      <c r="BN36" s="7">
        <v>-158</v>
      </c>
      <c r="BO36" s="7">
        <v>-3</v>
      </c>
      <c r="BP36" s="7">
        <f t="shared" si="9"/>
        <v>2933</v>
      </c>
      <c r="BQ36" s="1">
        <v>0</v>
      </c>
      <c r="BR36" s="7">
        <v>96</v>
      </c>
      <c r="BS36" s="7">
        <v>20</v>
      </c>
      <c r="BT36" s="7">
        <v>31</v>
      </c>
      <c r="BU36" s="7">
        <v>2</v>
      </c>
      <c r="BV36" s="7">
        <v>9</v>
      </c>
      <c r="BW36" s="7">
        <v>4</v>
      </c>
      <c r="BX36" s="7">
        <v>4</v>
      </c>
      <c r="BY36" s="7">
        <v>22</v>
      </c>
      <c r="BZ36" s="7">
        <v>78</v>
      </c>
      <c r="CA36" s="7">
        <v>1</v>
      </c>
      <c r="CB36" s="7">
        <v>16</v>
      </c>
      <c r="CC36" s="7">
        <v>12</v>
      </c>
      <c r="CD36" s="7">
        <v>82</v>
      </c>
      <c r="CE36" s="7">
        <v>474</v>
      </c>
      <c r="CF36" s="7">
        <v>62</v>
      </c>
    </row>
    <row r="37" spans="1:84" x14ac:dyDescent="0.25">
      <c r="A37" s="15">
        <v>4</v>
      </c>
      <c r="B37" s="8" t="s">
        <v>180</v>
      </c>
      <c r="C37" s="57" t="s">
        <v>624</v>
      </c>
      <c r="D37" s="8" t="s">
        <v>645</v>
      </c>
      <c r="E37" s="8" t="s">
        <v>761</v>
      </c>
      <c r="F37" s="8" t="s">
        <v>787</v>
      </c>
      <c r="G37" s="8" t="s">
        <v>772</v>
      </c>
      <c r="H37" s="7">
        <v>6863972</v>
      </c>
      <c r="I37" s="7">
        <v>6864067</v>
      </c>
      <c r="J37" s="7">
        <v>141778</v>
      </c>
      <c r="K37" s="12">
        <v>69615</v>
      </c>
      <c r="L37" s="12">
        <v>502786</v>
      </c>
      <c r="M37" s="12">
        <v>2050927</v>
      </c>
      <c r="N37" s="12">
        <v>0</v>
      </c>
      <c r="O37" s="25">
        <f t="shared" si="6"/>
        <v>2623328</v>
      </c>
      <c r="P37" s="12">
        <v>0</v>
      </c>
      <c r="Q37" s="12">
        <v>203386</v>
      </c>
      <c r="R37" s="12">
        <v>0</v>
      </c>
      <c r="S37" s="12">
        <f t="shared" si="7"/>
        <v>203386</v>
      </c>
      <c r="T37" s="7">
        <v>2852776</v>
      </c>
      <c r="U37" s="7">
        <v>721889</v>
      </c>
      <c r="V37" s="7">
        <v>0</v>
      </c>
      <c r="W37" s="7">
        <v>0</v>
      </c>
      <c r="X37" s="7">
        <v>6995530</v>
      </c>
      <c r="Y37" s="26" t="s">
        <v>531</v>
      </c>
      <c r="Z37" s="26">
        <v>8.0699999999999994E-2</v>
      </c>
      <c r="AA37" s="7">
        <v>0</v>
      </c>
      <c r="AB37" s="26">
        <f>590100/6995532</f>
        <v>8.4353841852199379E-2</v>
      </c>
      <c r="AC37" s="7">
        <v>587153</v>
      </c>
      <c r="AD37" s="7">
        <v>0</v>
      </c>
      <c r="AE37" s="7">
        <f>95+15+304</f>
        <v>414</v>
      </c>
      <c r="AF37" s="7">
        <v>190988</v>
      </c>
      <c r="AG37" s="7">
        <v>14815</v>
      </c>
      <c r="AH37" s="7">
        <v>38284</v>
      </c>
      <c r="AI37" s="7">
        <v>29709</v>
      </c>
      <c r="AJ37" s="7">
        <v>8390</v>
      </c>
      <c r="AK37" s="7">
        <v>13190</v>
      </c>
      <c r="AL37" s="7">
        <v>7570</v>
      </c>
      <c r="AM37" s="7">
        <v>22838</v>
      </c>
      <c r="AN37" s="7">
        <v>0</v>
      </c>
      <c r="AO37" s="7">
        <f>6797+13431+16438</f>
        <v>36666</v>
      </c>
      <c r="AP37" s="7">
        <v>8348</v>
      </c>
      <c r="AQ37" s="7">
        <v>1405</v>
      </c>
      <c r="AR37" s="7">
        <v>0</v>
      </c>
      <c r="AS37" s="7">
        <v>7554</v>
      </c>
      <c r="AT37" s="7">
        <v>15499</v>
      </c>
      <c r="AU37" s="7">
        <v>0</v>
      </c>
      <c r="AV37" s="7">
        <v>420274</v>
      </c>
      <c r="AW37" s="7">
        <v>432538</v>
      </c>
      <c r="AX37" s="26">
        <f t="shared" si="10"/>
        <v>0</v>
      </c>
      <c r="AY37" s="7">
        <v>0</v>
      </c>
      <c r="AZ37" s="7">
        <v>0</v>
      </c>
      <c r="BA37" s="7">
        <v>148368</v>
      </c>
      <c r="BB37" s="7">
        <v>0</v>
      </c>
      <c r="BC37" s="7">
        <v>56828</v>
      </c>
      <c r="BD37" s="7">
        <v>0</v>
      </c>
      <c r="BE37" s="7">
        <v>0</v>
      </c>
      <c r="BF37" s="7">
        <v>0</v>
      </c>
      <c r="BG37" s="7">
        <v>1928</v>
      </c>
      <c r="BH37" s="7">
        <v>713</v>
      </c>
      <c r="BI37" s="7">
        <v>30</v>
      </c>
      <c r="BJ37" s="7"/>
      <c r="BK37" s="7">
        <v>15</v>
      </c>
      <c r="BL37" s="7">
        <v>-191</v>
      </c>
      <c r="BM37" s="7">
        <v>-382</v>
      </c>
      <c r="BN37" s="7">
        <v>-307</v>
      </c>
      <c r="BO37" s="7">
        <v>-4</v>
      </c>
      <c r="BP37" s="7">
        <f t="shared" si="9"/>
        <v>1802</v>
      </c>
      <c r="BQ37" s="1">
        <v>0</v>
      </c>
      <c r="BR37" s="7">
        <v>76</v>
      </c>
      <c r="BS37" s="7">
        <v>59</v>
      </c>
      <c r="BT37" s="7">
        <v>156</v>
      </c>
      <c r="BU37" s="7">
        <v>7</v>
      </c>
      <c r="BV37" s="7">
        <v>13</v>
      </c>
      <c r="BW37" s="7">
        <v>6</v>
      </c>
      <c r="BX37" s="7">
        <v>12</v>
      </c>
      <c r="BY37" s="7">
        <v>43</v>
      </c>
      <c r="BZ37" s="7">
        <v>130</v>
      </c>
      <c r="CA37" s="7">
        <v>16</v>
      </c>
      <c r="CB37" s="7">
        <v>0</v>
      </c>
      <c r="CC37" s="7">
        <v>9</v>
      </c>
      <c r="CD37" s="7">
        <v>52</v>
      </c>
      <c r="CE37" s="7">
        <v>83</v>
      </c>
      <c r="CF37" s="7">
        <v>3</v>
      </c>
    </row>
    <row r="38" spans="1:84" x14ac:dyDescent="0.25">
      <c r="A38" s="15">
        <v>4</v>
      </c>
      <c r="B38" s="8" t="s">
        <v>186</v>
      </c>
      <c r="C38" s="57" t="s">
        <v>243</v>
      </c>
      <c r="D38" s="8" t="s">
        <v>69</v>
      </c>
      <c r="E38" s="8" t="s">
        <v>482</v>
      </c>
      <c r="F38" s="8"/>
      <c r="G38" s="8" t="s">
        <v>477</v>
      </c>
      <c r="H38" s="7">
        <v>25178248</v>
      </c>
      <c r="I38" s="7">
        <v>25201527</v>
      </c>
      <c r="J38" s="7">
        <v>1786936</v>
      </c>
      <c r="K38" s="12">
        <v>0</v>
      </c>
      <c r="L38" s="12">
        <v>3833370</v>
      </c>
      <c r="M38" s="12">
        <v>5750055</v>
      </c>
      <c r="N38" s="12">
        <v>0</v>
      </c>
      <c r="O38" s="25">
        <f t="shared" si="6"/>
        <v>9583425</v>
      </c>
      <c r="P38" s="12">
        <v>0</v>
      </c>
      <c r="Q38" s="12">
        <v>1793150</v>
      </c>
      <c r="R38" s="12">
        <v>0</v>
      </c>
      <c r="S38" s="12">
        <f t="shared" si="7"/>
        <v>1793150</v>
      </c>
      <c r="T38" s="7">
        <v>9592686</v>
      </c>
      <c r="U38" s="7">
        <v>1270207</v>
      </c>
      <c r="V38" s="7">
        <v>39105</v>
      </c>
      <c r="W38" s="7">
        <v>0</v>
      </c>
      <c r="X38" s="7">
        <v>23371703</v>
      </c>
      <c r="Y38" s="7" t="s">
        <v>531</v>
      </c>
      <c r="Z38" s="26">
        <v>0.1053</v>
      </c>
      <c r="AA38" s="7">
        <v>0</v>
      </c>
      <c r="AB38" s="26">
        <f>1084847/23332598</f>
        <v>4.6494908110961325E-2</v>
      </c>
      <c r="AC38" s="7">
        <v>1092189</v>
      </c>
      <c r="AD38" s="7">
        <v>0</v>
      </c>
      <c r="AE38" s="7">
        <f>22506+6189+858</f>
        <v>29553</v>
      </c>
      <c r="AF38" s="7">
        <v>525478</v>
      </c>
      <c r="AG38" s="7">
        <v>40199</v>
      </c>
      <c r="AH38" s="7">
        <v>96103</v>
      </c>
      <c r="AI38" s="7">
        <v>106820</v>
      </c>
      <c r="AJ38" s="7">
        <v>39071</v>
      </c>
      <c r="AK38" s="7">
        <v>35173</v>
      </c>
      <c r="AL38" s="7">
        <v>9860</v>
      </c>
      <c r="AM38" s="7">
        <v>19846</v>
      </c>
      <c r="AN38" s="7">
        <v>0</v>
      </c>
      <c r="AO38" s="7">
        <f>13148+30317+23175</f>
        <v>66640</v>
      </c>
      <c r="AP38" s="7">
        <v>7882</v>
      </c>
      <c r="AQ38" s="7">
        <v>1533</v>
      </c>
      <c r="AR38" s="7">
        <v>0</v>
      </c>
      <c r="AS38" s="7">
        <v>16909</v>
      </c>
      <c r="AT38" s="7">
        <v>1633</v>
      </c>
      <c r="AU38" s="7">
        <v>0</v>
      </c>
      <c r="AV38" s="7">
        <v>999275</v>
      </c>
      <c r="AW38" s="7">
        <v>1033895</v>
      </c>
      <c r="AX38" s="26">
        <f t="shared" si="10"/>
        <v>0</v>
      </c>
      <c r="AY38" s="7">
        <v>0</v>
      </c>
      <c r="AZ38" s="7">
        <v>0</v>
      </c>
      <c r="BA38" s="7">
        <v>148368</v>
      </c>
      <c r="BB38" s="7">
        <v>0</v>
      </c>
      <c r="BC38" s="7">
        <v>131872</v>
      </c>
      <c r="BD38" s="7">
        <v>0</v>
      </c>
      <c r="BE38" s="7">
        <v>0</v>
      </c>
      <c r="BF38" s="7">
        <v>0</v>
      </c>
      <c r="BG38" s="7">
        <v>6614</v>
      </c>
      <c r="BH38" s="7">
        <v>3095</v>
      </c>
      <c r="BI38" s="7">
        <v>0</v>
      </c>
      <c r="BJ38" s="7"/>
      <c r="BK38" s="7">
        <v>0</v>
      </c>
      <c r="BL38" s="7">
        <v>-540</v>
      </c>
      <c r="BM38" s="7">
        <v>-1636</v>
      </c>
      <c r="BN38" s="7">
        <v>-871</v>
      </c>
      <c r="BO38" s="7">
        <v>-4</v>
      </c>
      <c r="BP38" s="7">
        <f t="shared" si="9"/>
        <v>6658</v>
      </c>
      <c r="BQ38" s="1">
        <v>7</v>
      </c>
      <c r="BR38" s="7">
        <v>354</v>
      </c>
      <c r="BS38" s="7">
        <v>129</v>
      </c>
      <c r="BT38" s="7">
        <v>273</v>
      </c>
      <c r="BU38" s="7">
        <v>6</v>
      </c>
      <c r="BV38" s="7">
        <v>106</v>
      </c>
      <c r="BW38" s="7">
        <v>6</v>
      </c>
      <c r="BX38" s="7">
        <v>2</v>
      </c>
      <c r="BY38" s="7">
        <v>4</v>
      </c>
      <c r="BZ38" s="7">
        <v>1</v>
      </c>
      <c r="CA38" s="7">
        <v>0</v>
      </c>
      <c r="CB38" s="7">
        <v>265</v>
      </c>
      <c r="CC38" s="7">
        <v>100</v>
      </c>
      <c r="CD38" s="7">
        <v>223</v>
      </c>
      <c r="CE38" s="7">
        <v>67</v>
      </c>
      <c r="CF38" s="7">
        <v>104</v>
      </c>
    </row>
    <row r="39" spans="1:84" x14ac:dyDescent="0.25">
      <c r="A39" s="15">
        <v>4</v>
      </c>
      <c r="B39" s="8" t="s">
        <v>302</v>
      </c>
      <c r="C39" s="57" t="s">
        <v>398</v>
      </c>
      <c r="D39" s="8" t="s">
        <v>300</v>
      </c>
      <c r="E39" s="8" t="s">
        <v>482</v>
      </c>
      <c r="F39" s="8"/>
      <c r="G39" s="8" t="s">
        <v>477</v>
      </c>
      <c r="H39" s="7">
        <v>12959116</v>
      </c>
      <c r="I39" s="7">
        <v>12980239</v>
      </c>
      <c r="J39" s="7">
        <v>971574</v>
      </c>
      <c r="K39" s="12">
        <v>0</v>
      </c>
      <c r="L39" s="12">
        <v>2788058</v>
      </c>
      <c r="M39" s="12">
        <v>1782529</v>
      </c>
      <c r="N39" s="12">
        <v>0</v>
      </c>
      <c r="O39" s="25">
        <f t="shared" si="6"/>
        <v>4570587</v>
      </c>
      <c r="P39" s="12">
        <v>0</v>
      </c>
      <c r="Q39" s="12">
        <v>1469062</v>
      </c>
      <c r="R39" s="12">
        <v>0</v>
      </c>
      <c r="S39" s="12">
        <f t="shared" si="7"/>
        <v>1469062</v>
      </c>
      <c r="T39" s="7">
        <v>3547004</v>
      </c>
      <c r="U39" s="7">
        <v>1426505</v>
      </c>
      <c r="V39" s="7">
        <v>45699</v>
      </c>
      <c r="W39" s="7">
        <v>0</v>
      </c>
      <c r="X39" s="7">
        <v>11767073</v>
      </c>
      <c r="Y39" s="7" t="s">
        <v>149</v>
      </c>
      <c r="Z39" s="26">
        <v>0.1207</v>
      </c>
      <c r="AA39" s="7">
        <v>0</v>
      </c>
      <c r="AB39" s="26">
        <f>709873/11720143</f>
        <v>6.0568629580714163E-2</v>
      </c>
      <c r="AC39" s="7">
        <v>706985</v>
      </c>
      <c r="AD39" s="7">
        <v>0</v>
      </c>
      <c r="AE39" s="7">
        <f>19300+3612+1949</f>
        <v>24861</v>
      </c>
      <c r="AF39" s="7">
        <v>262579</v>
      </c>
      <c r="AG39" s="7">
        <v>20087</v>
      </c>
      <c r="AH39" s="7">
        <v>48275</v>
      </c>
      <c r="AI39" s="7">
        <v>55509</v>
      </c>
      <c r="AJ39" s="7">
        <v>37561</v>
      </c>
      <c r="AK39" s="7">
        <v>44171</v>
      </c>
      <c r="AL39" s="7">
        <v>9860</v>
      </c>
      <c r="AM39" s="7">
        <v>13684</v>
      </c>
      <c r="AN39" s="7">
        <v>0</v>
      </c>
      <c r="AO39" s="7">
        <f>8337+14069+25119</f>
        <v>47525</v>
      </c>
      <c r="AP39" s="7">
        <v>7813</v>
      </c>
      <c r="AQ39" s="7">
        <v>407</v>
      </c>
      <c r="AR39" s="7">
        <v>0</v>
      </c>
      <c r="AS39" s="7">
        <v>8043</v>
      </c>
      <c r="AT39" s="7">
        <v>15725</v>
      </c>
      <c r="AU39" s="7">
        <v>0</v>
      </c>
      <c r="AV39" s="7">
        <v>629750</v>
      </c>
      <c r="AW39" s="7">
        <v>627161</v>
      </c>
      <c r="AX39" s="26">
        <f t="shared" si="10"/>
        <v>0</v>
      </c>
      <c r="AY39" s="7">
        <v>0</v>
      </c>
      <c r="AZ39" s="7">
        <v>0</v>
      </c>
      <c r="BA39" s="7">
        <v>148368</v>
      </c>
      <c r="BB39" s="7">
        <v>0</v>
      </c>
      <c r="BC39" s="7">
        <v>63885</v>
      </c>
      <c r="BD39" s="7">
        <v>0</v>
      </c>
      <c r="BE39" s="7">
        <v>0</v>
      </c>
      <c r="BF39" s="7">
        <v>0</v>
      </c>
      <c r="BG39" s="7">
        <v>3913</v>
      </c>
      <c r="BH39" s="7">
        <v>2983</v>
      </c>
      <c r="BI39" s="7">
        <v>0</v>
      </c>
      <c r="BJ39" s="7"/>
      <c r="BK39" s="7">
        <v>0</v>
      </c>
      <c r="BL39" s="7">
        <v>-371</v>
      </c>
      <c r="BM39" s="7">
        <v>-1288</v>
      </c>
      <c r="BN39" s="7">
        <v>-477</v>
      </c>
      <c r="BO39" s="7">
        <v>0</v>
      </c>
      <c r="BP39" s="7">
        <f t="shared" si="9"/>
        <v>4760</v>
      </c>
      <c r="BQ39" s="1">
        <v>6</v>
      </c>
      <c r="BR39" s="7">
        <v>142</v>
      </c>
      <c r="BS39" s="7">
        <v>82</v>
      </c>
      <c r="BT39" s="7">
        <v>223</v>
      </c>
      <c r="BU39" s="7">
        <v>16</v>
      </c>
      <c r="BV39" s="7">
        <v>4</v>
      </c>
      <c r="BW39" s="7">
        <v>40</v>
      </c>
      <c r="BX39" s="7">
        <v>18</v>
      </c>
      <c r="BY39" s="7">
        <v>46</v>
      </c>
      <c r="BZ39" s="7">
        <v>81</v>
      </c>
      <c r="CA39" s="7">
        <v>10</v>
      </c>
      <c r="CB39" s="7">
        <v>139</v>
      </c>
      <c r="CC39" s="7">
        <v>60</v>
      </c>
      <c r="CD39" s="7">
        <v>103</v>
      </c>
      <c r="CE39" s="7">
        <v>154</v>
      </c>
      <c r="CF39" s="7">
        <v>23</v>
      </c>
    </row>
    <row r="40" spans="1:84" x14ac:dyDescent="0.25">
      <c r="A40" s="15">
        <v>4</v>
      </c>
      <c r="B40" s="8" t="s">
        <v>304</v>
      </c>
      <c r="C40" s="57" t="s">
        <v>405</v>
      </c>
      <c r="D40" s="8" t="s">
        <v>171</v>
      </c>
      <c r="E40" s="8" t="s">
        <v>673</v>
      </c>
      <c r="F40" s="8"/>
      <c r="G40" s="8" t="s">
        <v>691</v>
      </c>
      <c r="H40" s="7">
        <v>23529766</v>
      </c>
      <c r="I40" s="7">
        <v>23546676</v>
      </c>
      <c r="J40" s="7">
        <v>613532</v>
      </c>
      <c r="K40" s="12">
        <v>0</v>
      </c>
      <c r="L40" s="12">
        <v>2564834</v>
      </c>
      <c r="M40" s="12">
        <v>11022875</v>
      </c>
      <c r="N40" s="12">
        <v>0</v>
      </c>
      <c r="O40" s="25">
        <f t="shared" si="6"/>
        <v>13587709</v>
      </c>
      <c r="P40" s="12">
        <v>0</v>
      </c>
      <c r="Q40" s="12">
        <v>1144097</v>
      </c>
      <c r="R40" s="12">
        <v>0</v>
      </c>
      <c r="S40" s="12">
        <f t="shared" si="7"/>
        <v>1144097</v>
      </c>
      <c r="T40" s="7">
        <v>6143720</v>
      </c>
      <c r="U40" s="7">
        <v>809429</v>
      </c>
      <c r="V40" s="7">
        <v>0</v>
      </c>
      <c r="W40" s="7">
        <v>0</v>
      </c>
      <c r="X40" s="7">
        <v>22647045</v>
      </c>
      <c r="Y40" s="7" t="s">
        <v>135</v>
      </c>
      <c r="Z40" s="26">
        <v>0.12709999999999999</v>
      </c>
      <c r="AA40" s="7">
        <v>0</v>
      </c>
      <c r="AB40" s="26">
        <f>960342/22646302</f>
        <v>4.2406128824034932E-2</v>
      </c>
      <c r="AC40" s="7">
        <v>960537</v>
      </c>
      <c r="AD40" s="7">
        <v>0</v>
      </c>
      <c r="AE40" s="7">
        <f>16910+422</f>
        <v>17332</v>
      </c>
      <c r="AF40" s="7">
        <v>360721</v>
      </c>
      <c r="AG40" s="7">
        <v>28691</v>
      </c>
      <c r="AH40" s="7">
        <v>64770</v>
      </c>
      <c r="AI40" s="7">
        <v>76443</v>
      </c>
      <c r="AJ40" s="7">
        <v>3119</v>
      </c>
      <c r="AK40" s="7">
        <v>25000</v>
      </c>
      <c r="AL40" s="7">
        <v>9770</v>
      </c>
      <c r="AM40" s="7">
        <v>1876</v>
      </c>
      <c r="AN40" s="7">
        <v>0</v>
      </c>
      <c r="AO40" s="7">
        <f>10016+33779+28523</f>
        <v>72318</v>
      </c>
      <c r="AP40" s="7">
        <v>14967</v>
      </c>
      <c r="AQ40" s="7">
        <v>1142</v>
      </c>
      <c r="AR40" s="7">
        <v>0</v>
      </c>
      <c r="AS40" s="7">
        <v>0</v>
      </c>
      <c r="AT40" s="7">
        <v>82417</v>
      </c>
      <c r="AU40" s="7">
        <v>0</v>
      </c>
      <c r="AV40" s="7">
        <v>796446</v>
      </c>
      <c r="AW40" s="7">
        <v>812242</v>
      </c>
      <c r="AX40" s="26">
        <f t="shared" si="10"/>
        <v>0</v>
      </c>
      <c r="AY40" s="7">
        <v>5368</v>
      </c>
      <c r="AZ40" s="7">
        <v>0</v>
      </c>
      <c r="BA40" s="7">
        <v>148368</v>
      </c>
      <c r="BB40" s="7">
        <v>0</v>
      </c>
      <c r="BC40" s="7">
        <v>126202</v>
      </c>
      <c r="BD40" s="7">
        <v>0</v>
      </c>
      <c r="BE40" s="7">
        <v>0</v>
      </c>
      <c r="BF40" s="7">
        <v>0</v>
      </c>
      <c r="BG40" s="7">
        <v>5369</v>
      </c>
      <c r="BH40" s="7">
        <v>2484</v>
      </c>
      <c r="BI40" s="7">
        <v>51</v>
      </c>
      <c r="BJ40" s="7"/>
      <c r="BK40" s="7">
        <v>20</v>
      </c>
      <c r="BL40" s="7">
        <v>-87</v>
      </c>
      <c r="BM40" s="7">
        <v>-1159</v>
      </c>
      <c r="BN40" s="7">
        <v>-1098</v>
      </c>
      <c r="BO40" s="7">
        <v>-19</v>
      </c>
      <c r="BP40" s="7">
        <f t="shared" si="9"/>
        <v>5561</v>
      </c>
      <c r="BQ40" s="1">
        <v>3</v>
      </c>
      <c r="BR40" s="7">
        <v>227</v>
      </c>
      <c r="BS40" s="7">
        <v>148</v>
      </c>
      <c r="BT40" s="7">
        <v>695</v>
      </c>
      <c r="BU40" s="7">
        <v>4</v>
      </c>
      <c r="BV40" s="7">
        <v>24</v>
      </c>
      <c r="BW40" s="7">
        <v>1</v>
      </c>
      <c r="BX40" s="7">
        <v>3</v>
      </c>
      <c r="BY40" s="7">
        <v>27</v>
      </c>
      <c r="BZ40" s="7">
        <v>39</v>
      </c>
      <c r="CA40" s="7">
        <v>1</v>
      </c>
      <c r="CB40" s="7">
        <v>11</v>
      </c>
      <c r="CC40" s="7">
        <v>12</v>
      </c>
      <c r="CD40" s="7">
        <v>234</v>
      </c>
      <c r="CE40" s="7">
        <v>670</v>
      </c>
      <c r="CF40" s="7">
        <v>37</v>
      </c>
    </row>
    <row r="41" spans="1:84" x14ac:dyDescent="0.25">
      <c r="A41" s="15">
        <v>4</v>
      </c>
      <c r="B41" s="8" t="s">
        <v>313</v>
      </c>
      <c r="C41" s="57"/>
      <c r="D41" s="8" t="s">
        <v>309</v>
      </c>
      <c r="E41" s="8" t="s">
        <v>482</v>
      </c>
      <c r="F41" s="8"/>
      <c r="G41" s="8" t="s">
        <v>477</v>
      </c>
      <c r="H41" s="7">
        <v>16684551</v>
      </c>
      <c r="I41" s="7">
        <v>16685072</v>
      </c>
      <c r="J41" s="7">
        <v>1515354</v>
      </c>
      <c r="K41" s="12">
        <v>0</v>
      </c>
      <c r="L41" s="12">
        <v>1352670</v>
      </c>
      <c r="M41" s="12">
        <v>5773370</v>
      </c>
      <c r="N41" s="12">
        <v>0</v>
      </c>
      <c r="O41" s="25">
        <f t="shared" si="6"/>
        <v>7126040</v>
      </c>
      <c r="P41" s="12">
        <v>0</v>
      </c>
      <c r="Q41" s="12">
        <v>1738907</v>
      </c>
      <c r="R41" s="12">
        <v>0</v>
      </c>
      <c r="S41" s="12">
        <f t="shared" si="7"/>
        <v>1738907</v>
      </c>
      <c r="T41" s="7">
        <v>4092789</v>
      </c>
      <c r="U41" s="7">
        <v>477235</v>
      </c>
      <c r="V41" s="7">
        <v>8700</v>
      </c>
      <c r="W41" s="7">
        <v>0</v>
      </c>
      <c r="X41" s="7">
        <v>14368527</v>
      </c>
      <c r="Y41" s="7" t="s">
        <v>531</v>
      </c>
      <c r="Z41" s="26">
        <v>9.6500000000000002E-2</v>
      </c>
      <c r="AA41" s="7">
        <v>0</v>
      </c>
      <c r="AB41" s="26">
        <f>914259/14359827</f>
        <v>6.3667828310187857E-2</v>
      </c>
      <c r="AC41" s="7">
        <v>924856</v>
      </c>
      <c r="AD41" s="7">
        <v>0</v>
      </c>
      <c r="AE41" s="7">
        <f>428+676+319</f>
        <v>1423</v>
      </c>
      <c r="AF41" s="7">
        <v>341936</v>
      </c>
      <c r="AG41" s="7">
        <v>25944</v>
      </c>
      <c r="AH41" s="7">
        <v>57352</v>
      </c>
      <c r="AI41" s="7">
        <v>72279</v>
      </c>
      <c r="AJ41" s="7">
        <v>22926</v>
      </c>
      <c r="AK41" s="7">
        <v>26833</v>
      </c>
      <c r="AL41" s="7">
        <v>8570</v>
      </c>
      <c r="AM41" s="7">
        <v>16112</v>
      </c>
      <c r="AN41" s="7">
        <v>0</v>
      </c>
      <c r="AO41" s="7">
        <f>8849+23140+19237</f>
        <v>51226</v>
      </c>
      <c r="AP41" s="7">
        <v>15196</v>
      </c>
      <c r="AQ41" s="7">
        <v>1627</v>
      </c>
      <c r="AR41" s="7">
        <v>0</v>
      </c>
      <c r="AS41" s="7">
        <v>1885</v>
      </c>
      <c r="AT41" s="7">
        <v>90488</v>
      </c>
      <c r="AU41" s="7">
        <v>0</v>
      </c>
      <c r="AV41" s="7">
        <v>791383</v>
      </c>
      <c r="AW41" s="7">
        <v>887892</v>
      </c>
      <c r="AX41" s="26">
        <f t="shared" si="10"/>
        <v>0</v>
      </c>
      <c r="AY41" s="7">
        <v>672</v>
      </c>
      <c r="AZ41" s="7">
        <v>0</v>
      </c>
      <c r="BA41" s="7">
        <v>87829</v>
      </c>
      <c r="BB41" s="7">
        <v>0</v>
      </c>
      <c r="BC41" s="7">
        <v>161857</v>
      </c>
      <c r="BD41" s="7">
        <v>0</v>
      </c>
      <c r="BE41" s="7">
        <v>0</v>
      </c>
      <c r="BF41" s="7">
        <v>0</v>
      </c>
      <c r="BG41" s="7">
        <v>6120</v>
      </c>
      <c r="BH41" s="7">
        <v>1837</v>
      </c>
      <c r="BI41" s="7">
        <v>0</v>
      </c>
      <c r="BJ41" s="7"/>
      <c r="BK41" s="7">
        <f>25-2</f>
        <v>23</v>
      </c>
      <c r="BL41" s="7">
        <v>-283</v>
      </c>
      <c r="BM41" s="7">
        <v>-965</v>
      </c>
      <c r="BN41" s="7">
        <v>-478</v>
      </c>
      <c r="BO41" s="7">
        <v>-1</v>
      </c>
      <c r="BP41" s="7">
        <f t="shared" si="9"/>
        <v>6253</v>
      </c>
      <c r="BQ41" s="1">
        <v>13</v>
      </c>
      <c r="BR41" s="7">
        <v>172</v>
      </c>
      <c r="BS41" s="7">
        <v>56</v>
      </c>
      <c r="BT41" s="7">
        <v>209</v>
      </c>
      <c r="BU41" s="7">
        <v>3</v>
      </c>
      <c r="BV41" s="7">
        <v>37</v>
      </c>
      <c r="BW41" s="7">
        <v>1</v>
      </c>
      <c r="BX41" s="7">
        <v>3</v>
      </c>
      <c r="BY41" s="7">
        <v>17</v>
      </c>
      <c r="BZ41" s="7">
        <v>148</v>
      </c>
      <c r="CA41" s="7">
        <v>105</v>
      </c>
      <c r="CB41" s="7">
        <v>6</v>
      </c>
      <c r="CC41" s="7">
        <v>7</v>
      </c>
      <c r="CD41" s="7">
        <v>30</v>
      </c>
      <c r="CE41" s="7">
        <v>407</v>
      </c>
      <c r="CF41" s="7">
        <v>501</v>
      </c>
    </row>
    <row r="42" spans="1:84" x14ac:dyDescent="0.25">
      <c r="A42" s="15">
        <v>4</v>
      </c>
      <c r="B42" s="8" t="s">
        <v>353</v>
      </c>
      <c r="C42" s="57" t="s">
        <v>646</v>
      </c>
      <c r="D42" s="8" t="s">
        <v>641</v>
      </c>
      <c r="E42" s="8" t="s">
        <v>761</v>
      </c>
      <c r="F42" s="8" t="s">
        <v>234</v>
      </c>
      <c r="G42" s="8" t="s">
        <v>772</v>
      </c>
      <c r="H42" s="7">
        <v>30847302</v>
      </c>
      <c r="I42" s="7">
        <v>30852404</v>
      </c>
      <c r="J42" s="7">
        <v>928391</v>
      </c>
      <c r="K42" s="12">
        <v>1697304</v>
      </c>
      <c r="L42" s="12">
        <v>66681</v>
      </c>
      <c r="M42" s="12">
        <v>12133397</v>
      </c>
      <c r="N42" s="12">
        <v>65854</v>
      </c>
      <c r="O42" s="25">
        <f t="shared" si="6"/>
        <v>13963236</v>
      </c>
      <c r="P42" s="12">
        <v>162783</v>
      </c>
      <c r="Q42" s="12">
        <v>1991589</v>
      </c>
      <c r="R42" s="12">
        <v>166974</v>
      </c>
      <c r="S42" s="12">
        <f t="shared" si="7"/>
        <v>2321346</v>
      </c>
      <c r="T42" s="7">
        <v>8800844</v>
      </c>
      <c r="U42" s="7">
        <v>3608328</v>
      </c>
      <c r="V42" s="7">
        <v>10144</v>
      </c>
      <c r="W42" s="7">
        <v>0</v>
      </c>
      <c r="X42" s="7">
        <v>29677000</v>
      </c>
      <c r="Y42" s="7" t="s">
        <v>531</v>
      </c>
      <c r="Z42" s="26">
        <v>6.5299999999999997E-2</v>
      </c>
      <c r="AA42" s="7">
        <v>0</v>
      </c>
      <c r="AB42" s="26">
        <f>975014/29666956</f>
        <v>3.2865319920250664E-2</v>
      </c>
      <c r="AC42" s="7">
        <v>973202</v>
      </c>
      <c r="AD42" s="7">
        <v>0</v>
      </c>
      <c r="AE42" s="7">
        <f>5068+1531+374</f>
        <v>6973</v>
      </c>
      <c r="AF42" s="7">
        <v>358744</v>
      </c>
      <c r="AG42" s="7">
        <v>28308</v>
      </c>
      <c r="AH42" s="7">
        <v>103359</v>
      </c>
      <c r="AI42" s="7">
        <v>77598</v>
      </c>
      <c r="AJ42" s="7">
        <v>16700</v>
      </c>
      <c r="AK42" s="7">
        <v>73685</v>
      </c>
      <c r="AL42" s="7">
        <v>11720</v>
      </c>
      <c r="AM42" s="7">
        <v>11474</v>
      </c>
      <c r="AN42" s="7">
        <v>0</v>
      </c>
      <c r="AO42" s="7">
        <f>18462+33553+38067</f>
        <v>90082</v>
      </c>
      <c r="AP42" s="7">
        <v>11986</v>
      </c>
      <c r="AQ42" s="7">
        <v>1218</v>
      </c>
      <c r="AR42" s="7">
        <v>0</v>
      </c>
      <c r="AS42" s="7">
        <v>10346</v>
      </c>
      <c r="AT42" s="7">
        <v>36458</v>
      </c>
      <c r="AU42" s="7">
        <v>48510</v>
      </c>
      <c r="AV42" s="7">
        <v>884713</v>
      </c>
      <c r="AW42" s="7">
        <v>856635</v>
      </c>
      <c r="AX42" s="26">
        <f t="shared" si="10"/>
        <v>5.4831340785090756E-2</v>
      </c>
      <c r="AY42" s="7">
        <v>1462</v>
      </c>
      <c r="AZ42" s="7">
        <v>0</v>
      </c>
      <c r="BA42" s="7">
        <v>148368</v>
      </c>
      <c r="BB42" s="7">
        <v>0</v>
      </c>
      <c r="BC42" s="7">
        <v>56732</v>
      </c>
      <c r="BD42" s="7">
        <v>0</v>
      </c>
      <c r="BE42" s="7">
        <v>0</v>
      </c>
      <c r="BF42" s="7">
        <v>0</v>
      </c>
      <c r="BG42" s="7">
        <v>6823</v>
      </c>
      <c r="BH42" s="7">
        <v>3800</v>
      </c>
      <c r="BI42" s="7">
        <v>0</v>
      </c>
      <c r="BJ42" s="7"/>
      <c r="BK42" s="7">
        <v>0</v>
      </c>
      <c r="BL42" s="7">
        <v>-237</v>
      </c>
      <c r="BM42" s="7">
        <v>-1477</v>
      </c>
      <c r="BN42" s="7">
        <v>-1089</v>
      </c>
      <c r="BO42" s="7">
        <v>0</v>
      </c>
      <c r="BP42" s="7">
        <f t="shared" si="9"/>
        <v>7820</v>
      </c>
      <c r="BQ42" s="1">
        <v>6</v>
      </c>
      <c r="BR42" s="7">
        <v>393</v>
      </c>
      <c r="BS42" s="7">
        <v>166</v>
      </c>
      <c r="BT42" s="7">
        <v>473</v>
      </c>
      <c r="BU42" s="7">
        <v>0</v>
      </c>
      <c r="BV42" s="7">
        <v>56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31</v>
      </c>
      <c r="CC42" s="12">
        <v>35</v>
      </c>
      <c r="CD42" s="12">
        <v>259</v>
      </c>
      <c r="CE42" s="12">
        <v>623</v>
      </c>
      <c r="CF42" s="12">
        <v>55</v>
      </c>
    </row>
    <row r="43" spans="1:84" x14ac:dyDescent="0.25">
      <c r="A43" s="15">
        <v>4</v>
      </c>
      <c r="B43" s="8" t="s">
        <v>433</v>
      </c>
      <c r="C43" s="57" t="s">
        <v>729</v>
      </c>
      <c r="D43" s="8" t="s">
        <v>105</v>
      </c>
      <c r="E43" s="8" t="s">
        <v>482</v>
      </c>
      <c r="F43" s="8"/>
      <c r="G43" s="8" t="s">
        <v>477</v>
      </c>
      <c r="H43" s="7">
        <v>10934518</v>
      </c>
      <c r="I43" s="7">
        <v>10939630</v>
      </c>
      <c r="J43" s="7">
        <v>973417</v>
      </c>
      <c r="K43" s="12">
        <v>0</v>
      </c>
      <c r="L43" s="12">
        <v>673315</v>
      </c>
      <c r="M43" s="12">
        <v>4493628</v>
      </c>
      <c r="N43" s="12">
        <v>0</v>
      </c>
      <c r="O43" s="25">
        <f t="shared" si="6"/>
        <v>5166943</v>
      </c>
      <c r="P43" s="12">
        <v>0</v>
      </c>
      <c r="Q43" s="12">
        <v>1281430</v>
      </c>
      <c r="R43" s="12">
        <v>0</v>
      </c>
      <c r="S43" s="12">
        <f t="shared" si="7"/>
        <v>1281430</v>
      </c>
      <c r="T43" s="7">
        <v>2665724</v>
      </c>
      <c r="U43" s="7">
        <v>254567</v>
      </c>
      <c r="V43" s="7">
        <v>9400</v>
      </c>
      <c r="W43" s="7">
        <v>0</v>
      </c>
      <c r="X43" s="7">
        <v>9858957</v>
      </c>
      <c r="Y43" s="7" t="s">
        <v>531</v>
      </c>
      <c r="Z43" s="26">
        <v>0.79900000000000004</v>
      </c>
      <c r="AA43" s="7">
        <v>0</v>
      </c>
      <c r="AB43" s="26">
        <f>472779/9849557</f>
        <v>4.8000026803235923E-2</v>
      </c>
      <c r="AC43" s="7">
        <v>480893</v>
      </c>
      <c r="AD43" s="7">
        <v>0</v>
      </c>
      <c r="AE43" s="7">
        <f>4436+2870+290</f>
        <v>7596</v>
      </c>
      <c r="AF43" s="7">
        <v>226256</v>
      </c>
      <c r="AG43" s="7">
        <v>15689</v>
      </c>
      <c r="AH43" s="7">
        <v>97158</v>
      </c>
      <c r="AI43" s="7">
        <v>43275</v>
      </c>
      <c r="AJ43" s="7">
        <v>20590</v>
      </c>
      <c r="AK43" s="7">
        <v>23633</v>
      </c>
      <c r="AL43" s="7">
        <v>4570</v>
      </c>
      <c r="AM43" s="7">
        <v>4981</v>
      </c>
      <c r="AN43" s="7">
        <v>0</v>
      </c>
      <c r="AO43" s="7">
        <f>13525+21928+12719</f>
        <v>48172</v>
      </c>
      <c r="AP43" s="7">
        <v>774</v>
      </c>
      <c r="AQ43" s="7">
        <v>0</v>
      </c>
      <c r="AR43" s="7">
        <v>0</v>
      </c>
      <c r="AS43" s="7">
        <v>2090</v>
      </c>
      <c r="AT43" s="7">
        <v>3673</v>
      </c>
      <c r="AU43" s="7">
        <v>0</v>
      </c>
      <c r="AV43" s="7">
        <v>510810</v>
      </c>
      <c r="AW43" s="7">
        <v>1157829</v>
      </c>
      <c r="AX43" s="26">
        <f t="shared" si="10"/>
        <v>0</v>
      </c>
      <c r="AY43" s="7">
        <v>4643</v>
      </c>
      <c r="AZ43" s="7">
        <v>0</v>
      </c>
      <c r="BA43" s="7">
        <v>60539</v>
      </c>
      <c r="BB43" s="7">
        <v>0</v>
      </c>
      <c r="BC43" s="7">
        <v>64345</v>
      </c>
      <c r="BD43" s="7">
        <v>0</v>
      </c>
      <c r="BE43" s="7">
        <v>0</v>
      </c>
      <c r="BF43" s="7">
        <v>0</v>
      </c>
      <c r="BG43" s="7">
        <v>6242</v>
      </c>
      <c r="BH43" s="7">
        <v>1195</v>
      </c>
      <c r="BI43" s="7">
        <v>0</v>
      </c>
      <c r="BJ43" s="7"/>
      <c r="BK43" s="7">
        <v>0</v>
      </c>
      <c r="BL43" s="7">
        <v>-247</v>
      </c>
      <c r="BM43" s="7">
        <v>-709</v>
      </c>
      <c r="BN43" s="7">
        <v>-361</v>
      </c>
      <c r="BO43" s="7">
        <v>0</v>
      </c>
      <c r="BP43" s="7">
        <f t="shared" si="9"/>
        <v>6120</v>
      </c>
      <c r="BQ43" s="1">
        <v>19</v>
      </c>
      <c r="BR43" s="7">
        <v>95</v>
      </c>
      <c r="BS43" s="7">
        <v>48</v>
      </c>
      <c r="BT43" s="7">
        <v>171</v>
      </c>
      <c r="BU43" s="7">
        <v>2</v>
      </c>
      <c r="BV43" s="7">
        <v>45</v>
      </c>
      <c r="BW43" s="7">
        <v>3</v>
      </c>
      <c r="BX43" s="7">
        <v>6</v>
      </c>
      <c r="BY43" s="7">
        <v>28</v>
      </c>
      <c r="BZ43" s="7">
        <v>113</v>
      </c>
      <c r="CA43" s="7">
        <v>97</v>
      </c>
      <c r="CB43" s="7">
        <v>7</v>
      </c>
      <c r="CC43" s="7">
        <v>6</v>
      </c>
      <c r="CD43" s="7">
        <v>32</v>
      </c>
      <c r="CE43" s="7">
        <v>260</v>
      </c>
      <c r="CF43" s="7">
        <v>404</v>
      </c>
    </row>
    <row r="44" spans="1:84" x14ac:dyDescent="0.25">
      <c r="A44" s="15">
        <v>4</v>
      </c>
      <c r="B44" s="1" t="s">
        <v>513</v>
      </c>
      <c r="C44" s="59" t="s">
        <v>332</v>
      </c>
      <c r="D44" s="1" t="s">
        <v>145</v>
      </c>
      <c r="E44" s="1" t="s">
        <v>804</v>
      </c>
      <c r="F44" s="8" t="s">
        <v>552</v>
      </c>
      <c r="G44" s="8" t="s">
        <v>786</v>
      </c>
      <c r="H44" s="7">
        <v>7966905</v>
      </c>
      <c r="I44" s="7">
        <v>7969722</v>
      </c>
      <c r="J44" s="7">
        <v>180078</v>
      </c>
      <c r="K44" s="12">
        <v>411069</v>
      </c>
      <c r="L44" s="12">
        <v>422784</v>
      </c>
      <c r="M44" s="12">
        <v>3176084</v>
      </c>
      <c r="N44" s="12">
        <v>0</v>
      </c>
      <c r="O44" s="25">
        <f t="shared" ref="O44:O75" si="11">SUM(K44:N44)</f>
        <v>4009937</v>
      </c>
      <c r="P44" s="12">
        <v>0</v>
      </c>
      <c r="Q44" s="12">
        <v>989562</v>
      </c>
      <c r="R44" s="12">
        <v>0</v>
      </c>
      <c r="S44" s="12">
        <f t="shared" ref="S44:S75" si="12">SUM(P44:R44)</f>
        <v>989562</v>
      </c>
      <c r="T44" s="7">
        <v>1616797</v>
      </c>
      <c r="U44" s="7">
        <v>304299</v>
      </c>
      <c r="V44" s="7">
        <v>1565</v>
      </c>
      <c r="W44" s="7">
        <v>0</v>
      </c>
      <c r="X44" s="7">
        <v>7486072</v>
      </c>
      <c r="Y44" s="7" t="s">
        <v>531</v>
      </c>
      <c r="Z44" s="26">
        <v>0.11</v>
      </c>
      <c r="AA44" s="7">
        <v>411069</v>
      </c>
      <c r="AB44" s="26">
        <f>574811/7009892</f>
        <v>8.1999979457600777E-2</v>
      </c>
      <c r="AC44" s="7">
        <v>563912</v>
      </c>
      <c r="AD44" s="7">
        <v>0</v>
      </c>
      <c r="AE44" s="7">
        <f>2802+693+314</f>
        <v>3809</v>
      </c>
      <c r="AF44" s="7">
        <v>167103</v>
      </c>
      <c r="AG44" s="7">
        <v>14359</v>
      </c>
      <c r="AH44" s="7">
        <v>42318</v>
      </c>
      <c r="AI44" s="7">
        <v>25350</v>
      </c>
      <c r="AJ44" s="7">
        <v>1618</v>
      </c>
      <c r="AK44" s="7">
        <v>13345</v>
      </c>
      <c r="AL44" s="7">
        <v>7880</v>
      </c>
      <c r="AM44" s="7">
        <v>76</v>
      </c>
      <c r="AN44" s="7">
        <v>5504</v>
      </c>
      <c r="AO44" s="7">
        <f>8466+17988+17667</f>
        <v>44121</v>
      </c>
      <c r="AP44" s="7">
        <v>3863</v>
      </c>
      <c r="AQ44" s="7">
        <v>1488</v>
      </c>
      <c r="AR44" s="7">
        <v>360</v>
      </c>
      <c r="AS44" s="7">
        <v>12328</v>
      </c>
      <c r="AT44" s="7">
        <v>16060</v>
      </c>
      <c r="AU44" s="7">
        <v>0</v>
      </c>
      <c r="AV44" s="7">
        <v>394863</v>
      </c>
      <c r="AW44" s="7">
        <v>446336</v>
      </c>
      <c r="AX44" s="26">
        <f t="shared" si="10"/>
        <v>0</v>
      </c>
      <c r="AY44" s="7">
        <v>0</v>
      </c>
      <c r="AZ44" s="7">
        <v>0</v>
      </c>
      <c r="BA44" s="7">
        <v>148368</v>
      </c>
      <c r="BB44" s="7">
        <v>0</v>
      </c>
      <c r="BC44" s="7">
        <v>52092</v>
      </c>
      <c r="BD44" s="7">
        <v>0</v>
      </c>
      <c r="BE44" s="7">
        <v>0</v>
      </c>
      <c r="BF44" s="7">
        <v>0</v>
      </c>
      <c r="BG44" s="7">
        <v>1390</v>
      </c>
      <c r="BH44" s="7">
        <v>543</v>
      </c>
      <c r="BI44" s="7">
        <f>71-63</f>
        <v>8</v>
      </c>
      <c r="BJ44" s="7"/>
      <c r="BK44" s="7">
        <v>0</v>
      </c>
      <c r="BL44" s="7">
        <v>-196</v>
      </c>
      <c r="BM44" s="7">
        <v>-43</v>
      </c>
      <c r="BN44" s="7">
        <v>-215</v>
      </c>
      <c r="BO44" s="7">
        <v>-18</v>
      </c>
      <c r="BP44" s="7">
        <f t="shared" ref="BP44:BP75" si="13">SUM(BG44:BO44)</f>
        <v>1469</v>
      </c>
      <c r="BQ44" s="1">
        <v>29</v>
      </c>
      <c r="BR44" s="7">
        <v>30</v>
      </c>
      <c r="BS44" s="7">
        <v>16</v>
      </c>
      <c r="BT44" s="7">
        <v>162</v>
      </c>
      <c r="BU44" s="7">
        <v>8</v>
      </c>
      <c r="BV44" s="7">
        <v>4</v>
      </c>
      <c r="BW44" s="7">
        <v>2</v>
      </c>
      <c r="BX44" s="7">
        <v>0</v>
      </c>
      <c r="BY44" s="7">
        <v>23</v>
      </c>
      <c r="BZ44" s="7">
        <v>32</v>
      </c>
      <c r="CA44" s="7">
        <v>60</v>
      </c>
      <c r="CB44" s="7">
        <v>1</v>
      </c>
      <c r="CC44" s="7">
        <v>4</v>
      </c>
      <c r="CD44" s="7">
        <v>13</v>
      </c>
      <c r="CE44" s="7">
        <v>23</v>
      </c>
      <c r="CF44" s="7">
        <v>2</v>
      </c>
    </row>
    <row r="45" spans="1:84" x14ac:dyDescent="0.25">
      <c r="A45" s="15">
        <v>4</v>
      </c>
      <c r="B45" s="8" t="s">
        <v>535</v>
      </c>
      <c r="C45" s="57" t="s">
        <v>296</v>
      </c>
      <c r="D45" s="8" t="s">
        <v>606</v>
      </c>
      <c r="E45" s="8" t="s">
        <v>761</v>
      </c>
      <c r="F45" s="8" t="s">
        <v>234</v>
      </c>
      <c r="G45" s="8" t="s">
        <v>772</v>
      </c>
      <c r="H45" s="7">
        <v>18436065</v>
      </c>
      <c r="I45" s="7">
        <v>18440741</v>
      </c>
      <c r="J45" s="7">
        <v>536759</v>
      </c>
      <c r="K45" s="12">
        <v>827</v>
      </c>
      <c r="L45" s="12">
        <v>2198063</v>
      </c>
      <c r="M45" s="12">
        <v>7025494</v>
      </c>
      <c r="N45" s="12">
        <v>0</v>
      </c>
      <c r="O45" s="25">
        <f t="shared" si="11"/>
        <v>9224384</v>
      </c>
      <c r="P45" s="12">
        <v>0</v>
      </c>
      <c r="Q45" s="12">
        <v>1199706</v>
      </c>
      <c r="R45" s="12">
        <v>0</v>
      </c>
      <c r="S45" s="12">
        <f t="shared" si="12"/>
        <v>1199706</v>
      </c>
      <c r="T45" s="7">
        <v>4674342</v>
      </c>
      <c r="U45" s="7">
        <v>1531825</v>
      </c>
      <c r="V45" s="7">
        <v>0</v>
      </c>
      <c r="W45" s="7">
        <v>0</v>
      </c>
      <c r="X45" s="7">
        <v>17761804</v>
      </c>
      <c r="Y45" s="7" t="s">
        <v>531</v>
      </c>
      <c r="Z45" s="26">
        <v>4.0399999999999998E-2</v>
      </c>
      <c r="AA45" s="7">
        <v>0</v>
      </c>
      <c r="AB45" s="26">
        <f>1005112/17633538</f>
        <v>5.7000018941179016E-2</v>
      </c>
      <c r="AC45" s="7">
        <v>1003281</v>
      </c>
      <c r="AD45" s="7">
        <v>0</v>
      </c>
      <c r="AE45" s="7">
        <f>4676+1299</f>
        <v>5975</v>
      </c>
      <c r="AF45" s="7">
        <v>446351</v>
      </c>
      <c r="AG45" s="7">
        <v>35176</v>
      </c>
      <c r="AH45" s="7">
        <v>85840</v>
      </c>
      <c r="AI45" s="7">
        <v>76689</v>
      </c>
      <c r="AJ45" s="7">
        <v>2984</v>
      </c>
      <c r="AK45" s="7">
        <v>41778</v>
      </c>
      <c r="AL45" s="7">
        <v>9140</v>
      </c>
      <c r="AM45" s="7">
        <v>8847</v>
      </c>
      <c r="AN45" s="7">
        <v>10861</v>
      </c>
      <c r="AO45" s="7">
        <f>10501+21956+37954</f>
        <v>70411</v>
      </c>
      <c r="AP45" s="7">
        <v>7182</v>
      </c>
      <c r="AQ45" s="7">
        <v>889</v>
      </c>
      <c r="AR45" s="7">
        <v>0</v>
      </c>
      <c r="AS45" s="7">
        <v>705</v>
      </c>
      <c r="AT45" s="7">
        <v>18238</v>
      </c>
      <c r="AU45" s="7">
        <v>0</v>
      </c>
      <c r="AV45" s="7">
        <v>874419</v>
      </c>
      <c r="AW45" s="7">
        <v>968635</v>
      </c>
      <c r="AX45" s="26">
        <f t="shared" si="10"/>
        <v>0</v>
      </c>
      <c r="AY45" s="7">
        <v>0</v>
      </c>
      <c r="AZ45" s="7">
        <v>0</v>
      </c>
      <c r="BA45" s="7">
        <v>148368</v>
      </c>
      <c r="BB45" s="7">
        <v>0</v>
      </c>
      <c r="BC45" s="7">
        <v>109310</v>
      </c>
      <c r="BD45" s="7">
        <v>0</v>
      </c>
      <c r="BE45" s="7">
        <v>0</v>
      </c>
      <c r="BF45" s="7">
        <v>0</v>
      </c>
      <c r="BG45" s="7">
        <v>3764</v>
      </c>
      <c r="BH45" s="3">
        <v>2017</v>
      </c>
      <c r="BI45" s="36">
        <v>0</v>
      </c>
      <c r="BJ45" s="36"/>
      <c r="BK45" s="60">
        <v>-2</v>
      </c>
      <c r="BL45" s="7">
        <v>-239</v>
      </c>
      <c r="BM45" s="7">
        <v>-835</v>
      </c>
      <c r="BN45" s="7">
        <v>-649</v>
      </c>
      <c r="BO45" s="7">
        <v>-8</v>
      </c>
      <c r="BP45" s="7">
        <f t="shared" si="13"/>
        <v>4048</v>
      </c>
      <c r="BQ45" s="1">
        <v>1</v>
      </c>
      <c r="BR45" s="7">
        <v>179</v>
      </c>
      <c r="BS45" s="7">
        <v>100</v>
      </c>
      <c r="BT45" s="7">
        <v>362</v>
      </c>
      <c r="BU45" s="7">
        <v>0</v>
      </c>
      <c r="BV45" s="7">
        <v>0</v>
      </c>
      <c r="BW45" s="7">
        <v>4</v>
      </c>
      <c r="BX45" s="7">
        <v>10</v>
      </c>
      <c r="BY45" s="7">
        <v>46</v>
      </c>
      <c r="BZ45" s="7">
        <v>113</v>
      </c>
      <c r="CA45" s="7">
        <v>0</v>
      </c>
      <c r="CB45" s="7">
        <v>8</v>
      </c>
      <c r="CC45" s="7">
        <v>23</v>
      </c>
      <c r="CD45" s="7">
        <v>75</v>
      </c>
      <c r="CE45" s="7">
        <v>289</v>
      </c>
      <c r="CF45" s="7">
        <v>0</v>
      </c>
    </row>
    <row r="46" spans="1:84" x14ac:dyDescent="0.25">
      <c r="A46" s="15">
        <v>4</v>
      </c>
      <c r="B46" s="8" t="s">
        <v>544</v>
      </c>
      <c r="C46" s="57" t="s">
        <v>192</v>
      </c>
      <c r="D46" s="8" t="s">
        <v>777</v>
      </c>
      <c r="E46" s="8" t="s">
        <v>200</v>
      </c>
      <c r="F46" s="8"/>
      <c r="G46" s="8" t="s">
        <v>227</v>
      </c>
      <c r="H46" s="7">
        <v>6279793</v>
      </c>
      <c r="I46" s="7">
        <v>6282418</v>
      </c>
      <c r="J46" s="7">
        <v>224568</v>
      </c>
      <c r="K46" s="12">
        <v>72459</v>
      </c>
      <c r="L46" s="12">
        <v>1620025</v>
      </c>
      <c r="M46" s="12">
        <v>308755</v>
      </c>
      <c r="N46" s="12">
        <v>927720</v>
      </c>
      <c r="O46" s="25">
        <f t="shared" si="11"/>
        <v>2928959</v>
      </c>
      <c r="P46" s="12">
        <v>4387</v>
      </c>
      <c r="Q46" s="12">
        <v>485197</v>
      </c>
      <c r="R46" s="12">
        <v>112548</v>
      </c>
      <c r="S46" s="12">
        <f t="shared" si="12"/>
        <v>602132</v>
      </c>
      <c r="T46" s="7">
        <v>1756696</v>
      </c>
      <c r="U46" s="7">
        <v>193419</v>
      </c>
      <c r="V46" s="7">
        <v>0</v>
      </c>
      <c r="W46" s="7">
        <v>0</v>
      </c>
      <c r="X46" s="7">
        <v>6026366</v>
      </c>
      <c r="Y46" s="7" t="s">
        <v>269</v>
      </c>
      <c r="Z46" s="26">
        <v>0.113</v>
      </c>
      <c r="AA46" s="7">
        <v>0</v>
      </c>
      <c r="AB46" s="26">
        <f>542310/6026366</f>
        <v>8.9989555894879267E-2</v>
      </c>
      <c r="AC46" s="7">
        <v>540016</v>
      </c>
      <c r="AD46" s="7">
        <v>0</v>
      </c>
      <c r="AE46" s="7">
        <f>2625+110</f>
        <v>2735</v>
      </c>
      <c r="AF46" s="7">
        <v>158992</v>
      </c>
      <c r="AG46" s="7">
        <v>13396</v>
      </c>
      <c r="AH46" s="7">
        <v>28835</v>
      </c>
      <c r="AI46" s="7">
        <f>39600+2365</f>
        <v>41965</v>
      </c>
      <c r="AJ46" s="7">
        <v>20000</v>
      </c>
      <c r="AK46" s="7">
        <v>60416</v>
      </c>
      <c r="AL46" s="7">
        <v>6530</v>
      </c>
      <c r="AM46" s="7">
        <v>391</v>
      </c>
      <c r="AN46" s="7">
        <v>0</v>
      </c>
      <c r="AO46" s="7">
        <f>6350+8948+9068</f>
        <v>24366</v>
      </c>
      <c r="AP46" s="7">
        <v>947</v>
      </c>
      <c r="AQ46" s="7">
        <v>0</v>
      </c>
      <c r="AR46" s="7">
        <v>0</v>
      </c>
      <c r="AS46" s="7">
        <v>1284</v>
      </c>
      <c r="AT46" s="7">
        <v>12777</v>
      </c>
      <c r="AU46" s="7">
        <v>0</v>
      </c>
      <c r="AV46" s="7">
        <v>397869</v>
      </c>
      <c r="AW46" s="7">
        <v>440757</v>
      </c>
      <c r="AX46" s="26">
        <f t="shared" si="10"/>
        <v>0</v>
      </c>
      <c r="AY46" s="7">
        <v>0</v>
      </c>
      <c r="AZ46" s="7">
        <v>0</v>
      </c>
      <c r="BA46" s="7">
        <v>148368</v>
      </c>
      <c r="BB46" s="7">
        <v>0</v>
      </c>
      <c r="BC46" s="7">
        <v>53310</v>
      </c>
      <c r="BD46" s="7">
        <v>0</v>
      </c>
      <c r="BE46" s="7">
        <v>0</v>
      </c>
      <c r="BF46" s="7">
        <v>0</v>
      </c>
      <c r="BG46" s="7">
        <v>3966</v>
      </c>
      <c r="BH46" s="7">
        <v>1525</v>
      </c>
      <c r="BI46" s="7">
        <v>371</v>
      </c>
      <c r="BJ46" s="7"/>
      <c r="BK46" s="7">
        <v>-1</v>
      </c>
      <c r="BL46" s="7">
        <v>-135</v>
      </c>
      <c r="BM46" s="7">
        <v>-676</v>
      </c>
      <c r="BN46" s="7">
        <v>-331</v>
      </c>
      <c r="BO46" s="7">
        <v>0</v>
      </c>
      <c r="BP46" s="7">
        <f t="shared" si="13"/>
        <v>4719</v>
      </c>
      <c r="BQ46" s="1">
        <v>2</v>
      </c>
      <c r="BR46" s="7">
        <v>139</v>
      </c>
      <c r="BS46" s="7">
        <v>28</v>
      </c>
      <c r="BT46" s="7">
        <v>60</v>
      </c>
      <c r="BU46" s="7">
        <v>4</v>
      </c>
      <c r="BV46" s="7">
        <v>36</v>
      </c>
      <c r="BW46" s="7">
        <v>27</v>
      </c>
      <c r="BX46" s="7">
        <v>3</v>
      </c>
      <c r="BY46" s="7">
        <v>17</v>
      </c>
      <c r="BZ46" s="7">
        <v>45</v>
      </c>
      <c r="CA46" s="7">
        <v>36</v>
      </c>
      <c r="CB46" s="7">
        <v>91</v>
      </c>
      <c r="CC46" s="7">
        <v>1</v>
      </c>
      <c r="CD46" s="7">
        <v>10</v>
      </c>
      <c r="CE46" s="7">
        <v>16</v>
      </c>
      <c r="CF46" s="7">
        <v>330</v>
      </c>
    </row>
    <row r="47" spans="1:84" x14ac:dyDescent="0.25">
      <c r="A47" s="15">
        <v>4</v>
      </c>
      <c r="B47" s="8" t="s">
        <v>561</v>
      </c>
      <c r="C47" s="57" t="s">
        <v>298</v>
      </c>
      <c r="D47" s="8" t="s">
        <v>36</v>
      </c>
      <c r="E47" s="8" t="s">
        <v>761</v>
      </c>
      <c r="F47" s="8" t="s">
        <v>234</v>
      </c>
      <c r="G47" s="8" t="s">
        <v>772</v>
      </c>
      <c r="H47" s="7">
        <v>15109604</v>
      </c>
      <c r="I47" s="7">
        <v>15117006</v>
      </c>
      <c r="J47" s="7">
        <v>1756606</v>
      </c>
      <c r="K47" s="12">
        <v>15181</v>
      </c>
      <c r="L47" s="12">
        <v>319328</v>
      </c>
      <c r="M47" s="12">
        <v>141819</v>
      </c>
      <c r="N47" s="12">
        <v>5088767</v>
      </c>
      <c r="O47" s="25">
        <f t="shared" si="11"/>
        <v>5565095</v>
      </c>
      <c r="P47" s="12">
        <v>17526</v>
      </c>
      <c r="Q47" s="12">
        <v>110793</v>
      </c>
      <c r="R47" s="12">
        <v>717986</v>
      </c>
      <c r="S47" s="12">
        <f t="shared" si="12"/>
        <v>846305</v>
      </c>
      <c r="T47" s="7">
        <v>5115681</v>
      </c>
      <c r="U47" s="7">
        <v>482098</v>
      </c>
      <c r="V47" s="7">
        <v>0</v>
      </c>
      <c r="W47" s="7">
        <v>0</v>
      </c>
      <c r="X47" s="7">
        <v>12784646</v>
      </c>
      <c r="Y47" s="7" t="s">
        <v>713</v>
      </c>
      <c r="Z47" s="26">
        <v>0.1069</v>
      </c>
      <c r="AA47" s="7">
        <v>0</v>
      </c>
      <c r="AB47" s="26">
        <f>777239/12784646</f>
        <v>6.0794722043926754E-2</v>
      </c>
      <c r="AC47" s="7">
        <v>775267</v>
      </c>
      <c r="AD47" s="7">
        <v>0</v>
      </c>
      <c r="AE47" s="7">
        <f>7402+237</f>
        <v>7639</v>
      </c>
      <c r="AF47" s="7">
        <v>264610</v>
      </c>
      <c r="AG47" s="7">
        <v>20082</v>
      </c>
      <c r="AH47" s="7">
        <v>57687</v>
      </c>
      <c r="AI47" s="7">
        <v>76037</v>
      </c>
      <c r="AJ47" s="7">
        <v>24906</v>
      </c>
      <c r="AK47" s="7">
        <v>24339</v>
      </c>
      <c r="AL47" s="7">
        <v>8140</v>
      </c>
      <c r="AM47" s="7">
        <v>8317</v>
      </c>
      <c r="AN47" s="7">
        <v>0</v>
      </c>
      <c r="AO47" s="7">
        <f>11878+18518+16637</f>
        <v>47033</v>
      </c>
      <c r="AP47" s="7">
        <v>10000</v>
      </c>
      <c r="AQ47" s="7">
        <v>480</v>
      </c>
      <c r="AR47" s="7">
        <v>13074</v>
      </c>
      <c r="AS47" s="7">
        <v>7848</v>
      </c>
      <c r="AT47" s="7">
        <v>43301</v>
      </c>
      <c r="AU47" s="7">
        <v>61067</v>
      </c>
      <c r="AV47" s="7">
        <v>634889</v>
      </c>
      <c r="AW47" s="7">
        <v>648222</v>
      </c>
      <c r="AX47" s="26">
        <f t="shared" si="10"/>
        <v>9.6185317433441123E-2</v>
      </c>
      <c r="AY47" s="7">
        <v>0</v>
      </c>
      <c r="AZ47" s="7">
        <v>0</v>
      </c>
      <c r="BA47" s="7">
        <v>148368</v>
      </c>
      <c r="BB47" s="7">
        <v>0</v>
      </c>
      <c r="BC47" s="7">
        <v>85884</v>
      </c>
      <c r="BD47" s="7">
        <v>0</v>
      </c>
      <c r="BE47" s="7">
        <v>0</v>
      </c>
      <c r="BF47" s="7">
        <v>0</v>
      </c>
      <c r="BG47" s="7">
        <v>1805</v>
      </c>
      <c r="BH47" s="7">
        <v>942</v>
      </c>
      <c r="BI47" s="7">
        <v>61</v>
      </c>
      <c r="BJ47" s="7"/>
      <c r="BK47" s="7">
        <v>0</v>
      </c>
      <c r="BL47" s="7">
        <v>-123</v>
      </c>
      <c r="BM47" s="7">
        <v>-569</v>
      </c>
      <c r="BN47" s="7">
        <v>-340</v>
      </c>
      <c r="BO47" s="7">
        <v>-39</v>
      </c>
      <c r="BP47" s="7">
        <f t="shared" si="13"/>
        <v>1737</v>
      </c>
      <c r="BQ47" s="1">
        <v>0</v>
      </c>
      <c r="BR47" s="7">
        <v>545</v>
      </c>
      <c r="BS47" s="7">
        <v>12</v>
      </c>
      <c r="BT47" s="7">
        <v>21</v>
      </c>
      <c r="BU47" s="7">
        <v>6</v>
      </c>
      <c r="BV47" s="7">
        <v>27</v>
      </c>
      <c r="BW47" s="7">
        <v>62</v>
      </c>
      <c r="BX47" s="7">
        <v>5</v>
      </c>
      <c r="BY47" s="7">
        <v>31</v>
      </c>
      <c r="BZ47" s="7">
        <v>20</v>
      </c>
      <c r="CA47" s="7">
        <v>16</v>
      </c>
      <c r="CB47" s="7">
        <v>147</v>
      </c>
      <c r="CC47" s="7">
        <v>3</v>
      </c>
      <c r="CD47" s="7">
        <v>14</v>
      </c>
      <c r="CE47" s="7">
        <v>11</v>
      </c>
      <c r="CF47" s="7">
        <v>151</v>
      </c>
    </row>
    <row r="48" spans="1:84" x14ac:dyDescent="0.25">
      <c r="A48" s="15">
        <v>4</v>
      </c>
      <c r="B48" s="8" t="s">
        <v>583</v>
      </c>
      <c r="C48" s="57" t="s">
        <v>332</v>
      </c>
      <c r="D48" s="8" t="s">
        <v>146</v>
      </c>
      <c r="E48" s="8" t="s">
        <v>761</v>
      </c>
      <c r="F48" s="8" t="s">
        <v>787</v>
      </c>
      <c r="G48" s="8" t="s">
        <v>772</v>
      </c>
      <c r="H48" s="7">
        <v>9535953</v>
      </c>
      <c r="I48" s="7">
        <v>9583227</v>
      </c>
      <c r="J48" s="7">
        <v>871851</v>
      </c>
      <c r="K48" s="12">
        <v>0</v>
      </c>
      <c r="L48" s="12">
        <v>391151</v>
      </c>
      <c r="M48" s="12">
        <v>2348276</v>
      </c>
      <c r="N48" s="12">
        <v>0</v>
      </c>
      <c r="O48" s="25">
        <f t="shared" si="11"/>
        <v>2739427</v>
      </c>
      <c r="P48" s="12">
        <v>0</v>
      </c>
      <c r="Q48" s="12">
        <v>500635</v>
      </c>
      <c r="R48" s="12">
        <v>0</v>
      </c>
      <c r="S48" s="12">
        <f t="shared" si="12"/>
        <v>500635</v>
      </c>
      <c r="T48" s="7">
        <v>5011530</v>
      </c>
      <c r="U48" s="7">
        <v>858343</v>
      </c>
      <c r="V48" s="7">
        <v>0</v>
      </c>
      <c r="W48" s="7">
        <v>0</v>
      </c>
      <c r="X48" s="7">
        <v>9948305</v>
      </c>
      <c r="Y48" s="7" t="s">
        <v>713</v>
      </c>
      <c r="Z48" s="26">
        <v>9.7600000000000006E-2</v>
      </c>
      <c r="AA48" s="7">
        <v>0</v>
      </c>
      <c r="AB48" s="26">
        <f>823109/9948306</f>
        <v>8.2738608965184632E-2</v>
      </c>
      <c r="AC48" s="7">
        <v>825489</v>
      </c>
      <c r="AD48" s="7">
        <v>0</v>
      </c>
      <c r="AE48" s="7">
        <f>45102+19971+472</f>
        <v>65545</v>
      </c>
      <c r="AF48" s="7">
        <v>363824</v>
      </c>
      <c r="AG48" s="7">
        <v>25213</v>
      </c>
      <c r="AH48" s="7">
        <v>60127</v>
      </c>
      <c r="AI48" s="7">
        <v>60402</v>
      </c>
      <c r="AJ48" s="7">
        <v>1918</v>
      </c>
      <c r="AK48" s="7">
        <v>17424</v>
      </c>
      <c r="AL48" s="7">
        <v>7670</v>
      </c>
      <c r="AM48" s="7">
        <v>3456</v>
      </c>
      <c r="AN48" s="7">
        <v>0</v>
      </c>
      <c r="AO48" s="7">
        <f>8962+27915+14952</f>
        <v>51829</v>
      </c>
      <c r="AP48" s="7">
        <v>7997</v>
      </c>
      <c r="AQ48" s="7">
        <v>1462</v>
      </c>
      <c r="AR48" s="7">
        <v>0</v>
      </c>
      <c r="AS48" s="7">
        <v>0</v>
      </c>
      <c r="AT48" s="7">
        <v>35313</v>
      </c>
      <c r="AU48" s="7">
        <v>0</v>
      </c>
      <c r="AV48" s="7">
        <v>689403</v>
      </c>
      <c r="AW48" s="7">
        <v>716231</v>
      </c>
      <c r="AX48" s="26">
        <f t="shared" si="10"/>
        <v>0</v>
      </c>
      <c r="AY48" s="7">
        <v>3559</v>
      </c>
      <c r="AZ48" s="7">
        <v>0</v>
      </c>
      <c r="BA48" s="7">
        <v>148368</v>
      </c>
      <c r="BB48" s="7">
        <v>0</v>
      </c>
      <c r="BC48" s="7">
        <v>114925</v>
      </c>
      <c r="BD48" s="7">
        <v>0</v>
      </c>
      <c r="BE48" s="7">
        <v>0</v>
      </c>
      <c r="BF48" s="7">
        <v>0</v>
      </c>
      <c r="BG48" s="7">
        <v>2981</v>
      </c>
      <c r="BH48" s="7">
        <v>735</v>
      </c>
      <c r="BI48" s="7">
        <v>51</v>
      </c>
      <c r="BJ48" s="7"/>
      <c r="BK48" s="7">
        <v>11</v>
      </c>
      <c r="BL48" s="7">
        <v>-225</v>
      </c>
      <c r="BM48" s="7">
        <v>-484</v>
      </c>
      <c r="BN48" s="7">
        <v>-677</v>
      </c>
      <c r="BO48" s="7">
        <v>-2</v>
      </c>
      <c r="BP48" s="7">
        <f t="shared" si="13"/>
        <v>2390</v>
      </c>
      <c r="BQ48" s="1">
        <v>21</v>
      </c>
      <c r="BR48" s="7">
        <v>147</v>
      </c>
      <c r="BS48" s="7">
        <v>216</v>
      </c>
      <c r="BT48" s="7">
        <v>158</v>
      </c>
      <c r="BU48" s="7">
        <v>2</v>
      </c>
      <c r="BV48" s="7">
        <v>12</v>
      </c>
      <c r="BW48" s="7">
        <v>13</v>
      </c>
      <c r="BX48" s="7">
        <v>28</v>
      </c>
      <c r="BY48" s="7">
        <v>93</v>
      </c>
      <c r="BZ48" s="7">
        <v>122</v>
      </c>
      <c r="CA48" s="7">
        <v>49</v>
      </c>
      <c r="CB48" s="7">
        <v>7</v>
      </c>
      <c r="CC48" s="7">
        <v>11</v>
      </c>
      <c r="CD48" s="7">
        <v>66</v>
      </c>
      <c r="CE48" s="7">
        <v>71</v>
      </c>
      <c r="CF48" s="7">
        <v>70</v>
      </c>
    </row>
    <row r="49" spans="1:84" x14ac:dyDescent="0.25">
      <c r="A49" s="15">
        <v>4</v>
      </c>
      <c r="B49" s="8" t="s">
        <v>669</v>
      </c>
      <c r="C49" s="57" t="s">
        <v>280</v>
      </c>
      <c r="D49" s="8" t="s">
        <v>606</v>
      </c>
      <c r="E49" s="8" t="s">
        <v>761</v>
      </c>
      <c r="F49" s="8" t="s">
        <v>234</v>
      </c>
      <c r="G49" s="8" t="s">
        <v>772</v>
      </c>
      <c r="H49" s="7">
        <v>25618887</v>
      </c>
      <c r="I49" s="7">
        <v>25672426</v>
      </c>
      <c r="J49" s="7">
        <v>1329242</v>
      </c>
      <c r="K49" s="12">
        <v>0</v>
      </c>
      <c r="L49" s="12">
        <v>1827483</v>
      </c>
      <c r="M49" s="12">
        <v>11099009</v>
      </c>
      <c r="N49" s="12">
        <v>0</v>
      </c>
      <c r="O49" s="25">
        <f t="shared" si="11"/>
        <v>12926492</v>
      </c>
      <c r="P49" s="12">
        <v>0</v>
      </c>
      <c r="Q49" s="12">
        <v>1617044</v>
      </c>
      <c r="R49" s="12">
        <v>0</v>
      </c>
      <c r="S49" s="12">
        <f t="shared" si="12"/>
        <v>1617044</v>
      </c>
      <c r="T49" s="7">
        <v>6658903</v>
      </c>
      <c r="U49" s="7">
        <v>1939999</v>
      </c>
      <c r="V49" s="7">
        <v>0</v>
      </c>
      <c r="W49" s="7">
        <v>0</v>
      </c>
      <c r="X49" s="7">
        <v>24449603</v>
      </c>
      <c r="Y49" s="7" t="s">
        <v>713</v>
      </c>
      <c r="Z49" s="26">
        <v>2.4500000000000001E-2</v>
      </c>
      <c r="AA49" s="7">
        <v>0</v>
      </c>
      <c r="AB49" s="26">
        <f>1304412/24386802</f>
        <v>5.3488440181701562E-2</v>
      </c>
      <c r="AC49" s="7">
        <v>1307165</v>
      </c>
      <c r="AD49" s="7">
        <v>0</v>
      </c>
      <c r="AE49" s="7">
        <f>53043+835+309</f>
        <v>54187</v>
      </c>
      <c r="AF49" s="7">
        <v>560263</v>
      </c>
      <c r="AG49" s="7">
        <v>43670</v>
      </c>
      <c r="AH49" s="7">
        <v>112102</v>
      </c>
      <c r="AI49" s="7">
        <v>65919</v>
      </c>
      <c r="AJ49" s="7">
        <v>1894</v>
      </c>
      <c r="AK49" s="7">
        <v>39648</v>
      </c>
      <c r="AL49" s="7">
        <v>11380</v>
      </c>
      <c r="AM49" s="7">
        <v>76</v>
      </c>
      <c r="AN49" s="7">
        <v>28857</v>
      </c>
      <c r="AO49" s="7">
        <f>12860+53976+51489</f>
        <v>118325</v>
      </c>
      <c r="AP49" s="7">
        <v>11906</v>
      </c>
      <c r="AQ49" s="7">
        <v>1216</v>
      </c>
      <c r="AR49" s="7">
        <v>0</v>
      </c>
      <c r="AS49" s="7">
        <v>88353</v>
      </c>
      <c r="AT49" s="7">
        <v>45014</v>
      </c>
      <c r="AU49" s="7">
        <v>0</v>
      </c>
      <c r="AV49" s="7">
        <v>1171987</v>
      </c>
      <c r="AW49" s="7">
        <v>1253804</v>
      </c>
      <c r="AX49" s="26">
        <f t="shared" si="10"/>
        <v>0</v>
      </c>
      <c r="AY49" s="7">
        <v>0</v>
      </c>
      <c r="AZ49" s="7">
        <v>0</v>
      </c>
      <c r="BA49" s="7">
        <v>148368</v>
      </c>
      <c r="BB49" s="7">
        <v>0</v>
      </c>
      <c r="BC49" s="7">
        <v>183382</v>
      </c>
      <c r="BD49" s="7">
        <v>0</v>
      </c>
      <c r="BE49" s="7">
        <v>0</v>
      </c>
      <c r="BF49" s="7">
        <v>0</v>
      </c>
      <c r="BG49" s="7">
        <v>5700</v>
      </c>
      <c r="BH49" s="7">
        <v>1988</v>
      </c>
      <c r="BI49" s="7">
        <v>0</v>
      </c>
      <c r="BJ49" s="7"/>
      <c r="BK49" s="7">
        <v>-5</v>
      </c>
      <c r="BL49" s="7">
        <v>-358</v>
      </c>
      <c r="BM49" s="7">
        <v>-1050</v>
      </c>
      <c r="BN49" s="7">
        <v>-1339</v>
      </c>
      <c r="BO49" s="7">
        <v>-7</v>
      </c>
      <c r="BP49" s="7">
        <f t="shared" si="13"/>
        <v>4929</v>
      </c>
      <c r="BQ49" s="1">
        <v>11</v>
      </c>
      <c r="BR49" s="7">
        <v>333</v>
      </c>
      <c r="BS49" s="7">
        <v>214</v>
      </c>
      <c r="BT49" s="7">
        <v>948</v>
      </c>
      <c r="BU49" s="7">
        <v>5</v>
      </c>
      <c r="BV49" s="7">
        <v>34</v>
      </c>
      <c r="BW49" s="7">
        <v>5</v>
      </c>
      <c r="BX49" s="7">
        <v>3</v>
      </c>
      <c r="BY49" s="7">
        <v>52</v>
      </c>
      <c r="BZ49" s="7">
        <v>244</v>
      </c>
      <c r="CA49" s="7">
        <v>7</v>
      </c>
      <c r="CB49" s="7">
        <v>14</v>
      </c>
      <c r="CC49" s="7">
        <v>24</v>
      </c>
      <c r="CD49" s="7">
        <v>108</v>
      </c>
      <c r="CE49" s="7">
        <v>616</v>
      </c>
      <c r="CF49" s="7">
        <v>29</v>
      </c>
    </row>
    <row r="50" spans="1:84" x14ac:dyDescent="0.25">
      <c r="A50" s="15">
        <v>4</v>
      </c>
      <c r="B50" s="8" t="s">
        <v>705</v>
      </c>
      <c r="C50" s="57" t="s">
        <v>794</v>
      </c>
      <c r="D50" s="8" t="s">
        <v>171</v>
      </c>
      <c r="E50" s="8" t="s">
        <v>673</v>
      </c>
      <c r="F50" s="8"/>
      <c r="G50" s="8" t="s">
        <v>691</v>
      </c>
      <c r="H50" s="7">
        <v>35526382</v>
      </c>
      <c r="I50" s="7">
        <v>35577620</v>
      </c>
      <c r="J50" s="7">
        <v>1106512</v>
      </c>
      <c r="K50" s="12">
        <v>0</v>
      </c>
      <c r="L50" s="12">
        <v>4866750</v>
      </c>
      <c r="M50" s="12">
        <v>16949224</v>
      </c>
      <c r="N50" s="12">
        <v>0</v>
      </c>
      <c r="O50" s="25">
        <f t="shared" si="11"/>
        <v>21815974</v>
      </c>
      <c r="P50" s="12">
        <v>0</v>
      </c>
      <c r="Q50" s="12">
        <v>0</v>
      </c>
      <c r="R50" s="12">
        <v>1194883</v>
      </c>
      <c r="S50" s="12">
        <f t="shared" si="12"/>
        <v>1194883</v>
      </c>
      <c r="T50" s="7">
        <v>7239485</v>
      </c>
      <c r="U50" s="7">
        <v>1643880</v>
      </c>
      <c r="V50" s="7">
        <v>0</v>
      </c>
      <c r="W50" s="7">
        <v>0</v>
      </c>
      <c r="X50" s="7">
        <v>33578087</v>
      </c>
      <c r="Y50" s="7" t="s">
        <v>148</v>
      </c>
      <c r="Z50" s="26">
        <v>0.14749999999999999</v>
      </c>
      <c r="AA50" s="7">
        <v>0</v>
      </c>
      <c r="AB50" s="26">
        <f>1678642/33572847</f>
        <v>4.9999989574908553E-2</v>
      </c>
      <c r="AC50" s="7">
        <v>1678625</v>
      </c>
      <c r="AD50" s="7">
        <v>0</v>
      </c>
      <c r="AE50" s="7">
        <f>51238+595</f>
        <v>51833</v>
      </c>
      <c r="AF50" s="7">
        <v>723498</v>
      </c>
      <c r="AG50" s="7">
        <v>58837</v>
      </c>
      <c r="AH50" s="7">
        <v>106756</v>
      </c>
      <c r="AI50" s="7">
        <v>110078</v>
      </c>
      <c r="AJ50" s="7">
        <v>4014</v>
      </c>
      <c r="AK50" s="7">
        <v>26325</v>
      </c>
      <c r="AL50" s="7">
        <v>12010</v>
      </c>
      <c r="AM50" s="7">
        <v>8884</v>
      </c>
      <c r="AN50" s="7">
        <v>7628</v>
      </c>
      <c r="AO50" s="7">
        <f>20399+58221+73853</f>
        <v>152473</v>
      </c>
      <c r="AP50" s="7">
        <v>12123</v>
      </c>
      <c r="AQ50" s="7">
        <v>3292</v>
      </c>
      <c r="AR50" s="7">
        <v>0</v>
      </c>
      <c r="AS50" s="7">
        <v>0</v>
      </c>
      <c r="AT50" s="7">
        <v>153338</v>
      </c>
      <c r="AU50" s="7">
        <v>0</v>
      </c>
      <c r="AV50" s="7">
        <v>1554489</v>
      </c>
      <c r="AW50" s="7">
        <v>1641606</v>
      </c>
      <c r="AX50" s="26">
        <f t="shared" si="10"/>
        <v>0</v>
      </c>
      <c r="AY50" s="7">
        <v>583</v>
      </c>
      <c r="AZ50" s="7">
        <v>0</v>
      </c>
      <c r="BA50" s="7">
        <v>148368</v>
      </c>
      <c r="BB50" s="7">
        <v>0</v>
      </c>
      <c r="BC50" s="7">
        <v>188408</v>
      </c>
      <c r="BD50" s="7">
        <v>0</v>
      </c>
      <c r="BE50" s="7">
        <v>0</v>
      </c>
      <c r="BF50" s="7">
        <v>0</v>
      </c>
      <c r="BG50" s="7">
        <v>7645</v>
      </c>
      <c r="BH50" s="7">
        <v>4292</v>
      </c>
      <c r="BI50" s="7">
        <v>30</v>
      </c>
      <c r="BJ50" s="7"/>
      <c r="BK50" s="7">
        <f>-16+29-1</f>
        <v>12</v>
      </c>
      <c r="BL50" s="7">
        <v>-255</v>
      </c>
      <c r="BM50" s="7">
        <v>-1879</v>
      </c>
      <c r="BN50" s="7">
        <v>-964</v>
      </c>
      <c r="BO50" s="7">
        <v>-6</v>
      </c>
      <c r="BP50" s="7">
        <f t="shared" si="13"/>
        <v>8875</v>
      </c>
      <c r="BQ50" s="1">
        <v>3</v>
      </c>
      <c r="BR50" s="7">
        <v>300</v>
      </c>
      <c r="BS50" s="7">
        <v>186</v>
      </c>
      <c r="BT50" s="7">
        <v>40</v>
      </c>
      <c r="BU50" s="7">
        <v>0</v>
      </c>
      <c r="BV50" s="7">
        <v>34</v>
      </c>
      <c r="BW50" s="7">
        <v>4</v>
      </c>
      <c r="BX50" s="7">
        <v>4</v>
      </c>
      <c r="BY50" s="7">
        <v>40</v>
      </c>
      <c r="BZ50" s="7">
        <v>159</v>
      </c>
      <c r="CA50" s="7">
        <v>3</v>
      </c>
      <c r="CB50" s="7">
        <v>16</v>
      </c>
      <c r="CC50" s="7">
        <v>26</v>
      </c>
      <c r="CD50" s="7">
        <v>182</v>
      </c>
      <c r="CE50" s="7">
        <v>1260</v>
      </c>
      <c r="CF50" s="7">
        <v>83</v>
      </c>
    </row>
    <row r="51" spans="1:84" x14ac:dyDescent="0.25">
      <c r="A51" s="15">
        <v>4</v>
      </c>
      <c r="B51" s="8" t="s">
        <v>793</v>
      </c>
      <c r="C51" s="57" t="s">
        <v>396</v>
      </c>
      <c r="D51" s="8" t="s">
        <v>111</v>
      </c>
      <c r="E51" s="8" t="s">
        <v>761</v>
      </c>
      <c r="F51" s="8" t="s">
        <v>787</v>
      </c>
      <c r="G51" s="8" t="s">
        <v>772</v>
      </c>
      <c r="H51" s="7">
        <v>3745075</v>
      </c>
      <c r="I51" s="7">
        <v>3752597</v>
      </c>
      <c r="J51" s="7">
        <v>144048</v>
      </c>
      <c r="K51" s="12">
        <v>472098</v>
      </c>
      <c r="L51" s="12">
        <v>84341</v>
      </c>
      <c r="M51" s="12">
        <v>0</v>
      </c>
      <c r="N51" s="12">
        <v>1808190</v>
      </c>
      <c r="O51" s="25">
        <f t="shared" si="11"/>
        <v>2364629</v>
      </c>
      <c r="P51" s="12">
        <v>4040</v>
      </c>
      <c r="Q51" s="12">
        <v>154617</v>
      </c>
      <c r="R51" s="12">
        <v>0</v>
      </c>
      <c r="S51" s="12">
        <f t="shared" si="12"/>
        <v>158657</v>
      </c>
      <c r="T51" s="7">
        <v>789865</v>
      </c>
      <c r="U51" s="7">
        <v>81493</v>
      </c>
      <c r="V51" s="7">
        <v>0</v>
      </c>
      <c r="W51" s="7">
        <v>0</v>
      </c>
      <c r="X51" s="7">
        <v>3658055</v>
      </c>
      <c r="Y51" s="7" t="s">
        <v>18</v>
      </c>
      <c r="Z51" s="26">
        <v>0.1794</v>
      </c>
      <c r="AA51" s="7">
        <v>0</v>
      </c>
      <c r="AB51" s="26">
        <f>263380/3658055</f>
        <v>7.2000010934772721E-2</v>
      </c>
      <c r="AC51" s="7">
        <v>263381</v>
      </c>
      <c r="AD51" s="7">
        <v>0</v>
      </c>
      <c r="AE51" s="7">
        <f>7522+50</f>
        <v>7572</v>
      </c>
      <c r="AF51" s="7">
        <v>59219</v>
      </c>
      <c r="AG51" s="7">
        <v>4024</v>
      </c>
      <c r="AH51" s="7">
        <v>7276</v>
      </c>
      <c r="AI51" s="7">
        <f>9600+756</f>
        <v>10356</v>
      </c>
      <c r="AJ51" s="7">
        <v>0</v>
      </c>
      <c r="AK51" s="7">
        <v>6600</v>
      </c>
      <c r="AL51" s="7">
        <v>7530</v>
      </c>
      <c r="AM51" s="7">
        <v>76</v>
      </c>
      <c r="AN51" s="7">
        <v>0</v>
      </c>
      <c r="AO51" s="7">
        <f>5039+1803+4467</f>
        <v>11309</v>
      </c>
      <c r="AP51" s="7">
        <v>6158</v>
      </c>
      <c r="AQ51" s="7">
        <v>1050</v>
      </c>
      <c r="AR51" s="7">
        <v>0</v>
      </c>
      <c r="AS51" s="7">
        <v>0</v>
      </c>
      <c r="AT51" s="7">
        <v>6507</v>
      </c>
      <c r="AU51" s="7">
        <v>2068</v>
      </c>
      <c r="AV51" s="7">
        <v>128308</v>
      </c>
      <c r="AW51" s="7">
        <v>146215</v>
      </c>
      <c r="AX51" s="26">
        <f t="shared" si="10"/>
        <v>1.6117467344203013E-2</v>
      </c>
      <c r="AY51" s="7">
        <v>0</v>
      </c>
      <c r="AZ51" s="7">
        <v>0</v>
      </c>
      <c r="BA51" s="7">
        <v>148368</v>
      </c>
      <c r="BB51" s="7">
        <v>0</v>
      </c>
      <c r="BC51" s="7">
        <v>15731</v>
      </c>
      <c r="BD51" s="7">
        <v>0</v>
      </c>
      <c r="BE51" s="7">
        <v>0</v>
      </c>
      <c r="BF51" s="7">
        <v>0</v>
      </c>
      <c r="BG51" s="7">
        <v>571</v>
      </c>
      <c r="BH51" s="7">
        <v>249</v>
      </c>
      <c r="BI51" s="7">
        <v>0</v>
      </c>
      <c r="BJ51" s="7"/>
      <c r="BK51" s="7">
        <v>0</v>
      </c>
      <c r="BL51" s="7">
        <v>-51</v>
      </c>
      <c r="BM51" s="7">
        <v>-110</v>
      </c>
      <c r="BN51" s="7">
        <v>-105</v>
      </c>
      <c r="BO51" s="7">
        <v>0</v>
      </c>
      <c r="BP51" s="7">
        <f t="shared" si="13"/>
        <v>554</v>
      </c>
      <c r="BQ51" s="1">
        <v>1</v>
      </c>
      <c r="BR51" s="7">
        <v>14</v>
      </c>
      <c r="BS51" s="7">
        <v>9</v>
      </c>
      <c r="BT51" s="7">
        <v>44</v>
      </c>
      <c r="BU51" s="7">
        <v>39</v>
      </c>
      <c r="BV51" s="7">
        <v>0</v>
      </c>
      <c r="BW51" s="12">
        <v>1</v>
      </c>
      <c r="BX51" s="12">
        <v>1</v>
      </c>
      <c r="BY51" s="12">
        <v>13</v>
      </c>
      <c r="BZ51" s="12">
        <v>17</v>
      </c>
      <c r="CA51" s="12">
        <v>0</v>
      </c>
      <c r="CB51" s="12">
        <v>2</v>
      </c>
      <c r="CC51" s="12">
        <v>3</v>
      </c>
      <c r="CD51" s="12">
        <v>20</v>
      </c>
      <c r="CE51" s="12">
        <v>20</v>
      </c>
      <c r="CF51" s="12">
        <v>0</v>
      </c>
    </row>
    <row r="52" spans="1:84" x14ac:dyDescent="0.25">
      <c r="A52" s="15">
        <v>5</v>
      </c>
      <c r="B52" s="8" t="s">
        <v>77</v>
      </c>
      <c r="C52" s="57" t="s">
        <v>796</v>
      </c>
      <c r="D52" s="8" t="s">
        <v>36</v>
      </c>
      <c r="E52" s="8" t="s">
        <v>431</v>
      </c>
      <c r="F52" s="8" t="s">
        <v>787</v>
      </c>
      <c r="G52" s="8" t="s">
        <v>455</v>
      </c>
      <c r="H52" s="7">
        <v>10559717</v>
      </c>
      <c r="I52" s="7">
        <v>10561715</v>
      </c>
      <c r="J52" s="7">
        <v>514793</v>
      </c>
      <c r="K52" s="12">
        <v>1129173</v>
      </c>
      <c r="L52" s="12">
        <v>290162</v>
      </c>
      <c r="M52" s="12">
        <v>4030025</v>
      </c>
      <c r="N52" s="12">
        <v>0</v>
      </c>
      <c r="O52" s="25">
        <f t="shared" si="11"/>
        <v>5449360</v>
      </c>
      <c r="P52" s="12">
        <v>3141</v>
      </c>
      <c r="Q52" s="12">
        <v>570268</v>
      </c>
      <c r="R52" s="12">
        <v>0</v>
      </c>
      <c r="S52" s="12">
        <f t="shared" si="12"/>
        <v>573409</v>
      </c>
      <c r="T52" s="7">
        <v>1887502</v>
      </c>
      <c r="U52" s="7">
        <v>1095444</v>
      </c>
      <c r="V52" s="7">
        <v>1100</v>
      </c>
      <c r="W52" s="7">
        <v>0</v>
      </c>
      <c r="X52" s="7">
        <v>9989710</v>
      </c>
      <c r="Y52" s="7" t="s">
        <v>531</v>
      </c>
      <c r="Z52" s="26">
        <v>2.01E-2</v>
      </c>
      <c r="AA52" s="7">
        <v>0</v>
      </c>
      <c r="AB52" s="26">
        <f>981815/9986930</f>
        <v>9.8309991158444091E-2</v>
      </c>
      <c r="AC52" s="7">
        <v>981832</v>
      </c>
      <c r="AD52" s="7">
        <v>0</v>
      </c>
      <c r="AE52" s="7">
        <f>177+289</f>
        <v>466</v>
      </c>
      <c r="AF52" s="7">
        <v>446478</v>
      </c>
      <c r="AG52" s="7">
        <v>38321</v>
      </c>
      <c r="AH52" s="7">
        <v>85502</v>
      </c>
      <c r="AI52" s="7">
        <v>64889</v>
      </c>
      <c r="AJ52" s="7">
        <v>2086</v>
      </c>
      <c r="AK52" s="7">
        <v>31097</v>
      </c>
      <c r="AL52" s="7">
        <v>7800</v>
      </c>
      <c r="AM52" s="7">
        <v>0</v>
      </c>
      <c r="AN52" s="7">
        <v>20968</v>
      </c>
      <c r="AO52" s="7">
        <f>6055+18703+18623</f>
        <v>43381</v>
      </c>
      <c r="AP52" s="7">
        <v>10649</v>
      </c>
      <c r="AQ52" s="7">
        <v>804</v>
      </c>
      <c r="AR52" s="7">
        <v>11444</v>
      </c>
      <c r="AS52" s="7">
        <v>6422</v>
      </c>
      <c r="AT52" s="7">
        <v>19464</v>
      </c>
      <c r="AU52" s="7">
        <v>0</v>
      </c>
      <c r="AV52" s="7">
        <v>827880</v>
      </c>
      <c r="AW52" s="7">
        <v>828118</v>
      </c>
      <c r="AX52" s="26">
        <f t="shared" si="10"/>
        <v>0</v>
      </c>
      <c r="AY52" s="7">
        <v>1821</v>
      </c>
      <c r="AZ52" s="7">
        <v>0</v>
      </c>
      <c r="BA52" s="7">
        <v>148368</v>
      </c>
      <c r="BB52" s="7">
        <v>0</v>
      </c>
      <c r="BC52" s="7">
        <v>95222</v>
      </c>
      <c r="BD52" s="7">
        <v>0</v>
      </c>
      <c r="BE52" s="7">
        <v>0</v>
      </c>
      <c r="BF52" s="7">
        <v>0</v>
      </c>
      <c r="BG52" s="7">
        <v>3220</v>
      </c>
      <c r="BH52" s="7">
        <v>942</v>
      </c>
      <c r="BI52" s="7">
        <v>23</v>
      </c>
      <c r="BJ52" s="7"/>
      <c r="BK52" s="7">
        <v>4</v>
      </c>
      <c r="BL52" s="7">
        <v>-207</v>
      </c>
      <c r="BM52" s="7">
        <v>-542</v>
      </c>
      <c r="BN52" s="7">
        <v>-528</v>
      </c>
      <c r="BO52" s="7">
        <v>-5</v>
      </c>
      <c r="BP52" s="7">
        <f t="shared" si="13"/>
        <v>2907</v>
      </c>
      <c r="BQ52" s="1">
        <v>6</v>
      </c>
      <c r="BR52" s="7">
        <v>146</v>
      </c>
      <c r="BS52" s="7">
        <v>74</v>
      </c>
      <c r="BT52" s="7">
        <v>280</v>
      </c>
      <c r="BU52" s="7">
        <v>28</v>
      </c>
      <c r="BV52" s="7">
        <v>0</v>
      </c>
      <c r="BW52" s="7">
        <v>27</v>
      </c>
      <c r="BX52" s="7">
        <v>16</v>
      </c>
      <c r="BY52" s="7">
        <v>97</v>
      </c>
      <c r="BZ52" s="7">
        <v>47</v>
      </c>
      <c r="CA52" s="7">
        <v>0</v>
      </c>
      <c r="CB52" s="7">
        <v>100</v>
      </c>
      <c r="CC52" s="7">
        <v>35</v>
      </c>
      <c r="CD52" s="7">
        <v>207</v>
      </c>
      <c r="CE52" s="7">
        <v>118</v>
      </c>
      <c r="CF52" s="7">
        <v>0</v>
      </c>
    </row>
    <row r="53" spans="1:84" x14ac:dyDescent="0.25">
      <c r="A53" s="15">
        <v>5</v>
      </c>
      <c r="B53" s="8" t="s">
        <v>78</v>
      </c>
      <c r="C53" s="57" t="s">
        <v>448</v>
      </c>
      <c r="D53" s="8" t="s">
        <v>388</v>
      </c>
      <c r="E53" s="8" t="s">
        <v>516</v>
      </c>
      <c r="F53" s="8" t="s">
        <v>551</v>
      </c>
      <c r="G53" s="8" t="s">
        <v>505</v>
      </c>
      <c r="H53" s="7">
        <v>23359965</v>
      </c>
      <c r="I53" s="7">
        <v>23394607</v>
      </c>
      <c r="J53" s="7">
        <v>1091972</v>
      </c>
      <c r="K53" s="12">
        <v>6117856</v>
      </c>
      <c r="L53" s="12">
        <v>1081929</v>
      </c>
      <c r="M53" s="12">
        <v>4201031</v>
      </c>
      <c r="N53" s="12">
        <v>6878132</v>
      </c>
      <c r="O53" s="25">
        <f t="shared" si="11"/>
        <v>18278948</v>
      </c>
      <c r="P53" s="12">
        <v>12685</v>
      </c>
      <c r="Q53" s="12">
        <v>237734</v>
      </c>
      <c r="R53" s="12">
        <v>315647</v>
      </c>
      <c r="S53" s="12">
        <f t="shared" si="12"/>
        <v>566066</v>
      </c>
      <c r="T53" s="7">
        <v>1738949</v>
      </c>
      <c r="U53" s="7">
        <v>1035058</v>
      </c>
      <c r="V53" s="7">
        <v>0</v>
      </c>
      <c r="W53" s="7">
        <v>0</v>
      </c>
      <c r="X53" s="7">
        <v>22792974</v>
      </c>
      <c r="Y53" s="7" t="s">
        <v>531</v>
      </c>
      <c r="Z53" s="26">
        <v>0.09</v>
      </c>
      <c r="AA53" s="7">
        <v>9373037</v>
      </c>
      <c r="AB53" s="26">
        <f>1172607/13419857</f>
        <v>8.737850187226287E-2</v>
      </c>
      <c r="AC53" s="7">
        <v>1173766</v>
      </c>
      <c r="AD53" s="7">
        <v>0</v>
      </c>
      <c r="AE53" s="7">
        <f>34642+2793+285</f>
        <v>37720</v>
      </c>
      <c r="AF53" s="7">
        <v>488956</v>
      </c>
      <c r="AG53" s="7">
        <v>41525</v>
      </c>
      <c r="AH53" s="7">
        <v>108269</v>
      </c>
      <c r="AI53" s="7">
        <f>64485+10432</f>
        <v>74917</v>
      </c>
      <c r="AJ53" s="7">
        <v>22233</v>
      </c>
      <c r="AK53" s="7">
        <v>172130</v>
      </c>
      <c r="AL53" s="7">
        <v>11175</v>
      </c>
      <c r="AM53" s="7">
        <v>0</v>
      </c>
      <c r="AN53" s="7">
        <v>23239</v>
      </c>
      <c r="AO53" s="7">
        <f>7935+49060+19237</f>
        <v>76232</v>
      </c>
      <c r="AP53" s="7">
        <v>9378</v>
      </c>
      <c r="AQ53" s="7">
        <v>250</v>
      </c>
      <c r="AR53" s="7">
        <v>0</v>
      </c>
      <c r="AS53" s="7">
        <v>16054</v>
      </c>
      <c r="AT53" s="7">
        <v>821</v>
      </c>
      <c r="AU53" s="7">
        <v>0</v>
      </c>
      <c r="AV53" s="7">
        <v>1098467</v>
      </c>
      <c r="AW53" s="7">
        <v>1184660</v>
      </c>
      <c r="AX53" s="26">
        <f t="shared" si="10"/>
        <v>0</v>
      </c>
      <c r="AY53" s="7">
        <v>376</v>
      </c>
      <c r="AZ53" s="7">
        <v>1000</v>
      </c>
      <c r="BA53" s="7">
        <v>148368</v>
      </c>
      <c r="BB53" s="7">
        <v>0</v>
      </c>
      <c r="BC53" s="7">
        <v>56844</v>
      </c>
      <c r="BD53" s="7">
        <v>0</v>
      </c>
      <c r="BE53" s="7">
        <v>0</v>
      </c>
      <c r="BF53" s="7">
        <v>0</v>
      </c>
      <c r="BG53" s="7">
        <v>4061</v>
      </c>
      <c r="BH53" s="7">
        <v>1382</v>
      </c>
      <c r="BI53" s="7">
        <v>656</v>
      </c>
      <c r="BJ53" s="7"/>
      <c r="BK53" s="7">
        <v>0</v>
      </c>
      <c r="BL53" s="7">
        <v>-243</v>
      </c>
      <c r="BM53" s="7">
        <v>-1057</v>
      </c>
      <c r="BN53" s="7">
        <v>-1140</v>
      </c>
      <c r="BO53" s="7">
        <v>-3</v>
      </c>
      <c r="BP53" s="7">
        <f t="shared" si="13"/>
        <v>3656</v>
      </c>
      <c r="BQ53" s="1">
        <v>20</v>
      </c>
      <c r="BR53" s="7">
        <v>200</v>
      </c>
      <c r="BS53" s="7">
        <v>97</v>
      </c>
      <c r="BT53" s="7">
        <v>407</v>
      </c>
      <c r="BU53" s="7">
        <v>248</v>
      </c>
      <c r="BV53" s="7">
        <v>14</v>
      </c>
      <c r="BW53" s="7">
        <v>14</v>
      </c>
      <c r="BX53" s="7">
        <v>9</v>
      </c>
      <c r="BY53" s="7">
        <v>77</v>
      </c>
      <c r="BZ53" s="7">
        <v>54</v>
      </c>
      <c r="CA53" s="7">
        <v>21</v>
      </c>
      <c r="CB53" s="7">
        <v>119</v>
      </c>
      <c r="CC53" s="7">
        <v>37</v>
      </c>
      <c r="CD53" s="7">
        <v>298</v>
      </c>
      <c r="CE53" s="7">
        <v>303</v>
      </c>
      <c r="CF53" s="7">
        <v>71</v>
      </c>
    </row>
    <row r="54" spans="1:84" x14ac:dyDescent="0.25">
      <c r="A54" s="15">
        <v>5</v>
      </c>
      <c r="B54" s="8" t="s">
        <v>79</v>
      </c>
      <c r="C54" s="57" t="s">
        <v>324</v>
      </c>
      <c r="D54" s="8" t="s">
        <v>388</v>
      </c>
      <c r="E54" s="8" t="s">
        <v>516</v>
      </c>
      <c r="F54" s="8" t="s">
        <v>693</v>
      </c>
      <c r="G54" s="8" t="s">
        <v>505</v>
      </c>
      <c r="H54" s="7">
        <v>17610074</v>
      </c>
      <c r="I54" s="7">
        <v>17639286</v>
      </c>
      <c r="J54" s="7">
        <v>1000455</v>
      </c>
      <c r="K54" s="12">
        <v>5423004</v>
      </c>
      <c r="L54" s="12">
        <v>614335</v>
      </c>
      <c r="M54" s="12">
        <v>2942978</v>
      </c>
      <c r="N54" s="12">
        <v>3883390</v>
      </c>
      <c r="O54" s="25">
        <f t="shared" si="11"/>
        <v>12863707</v>
      </c>
      <c r="P54" s="12">
        <v>8076</v>
      </c>
      <c r="Q54" s="12">
        <v>184864</v>
      </c>
      <c r="R54" s="12">
        <v>280260</v>
      </c>
      <c r="S54" s="12">
        <f t="shared" si="12"/>
        <v>473200</v>
      </c>
      <c r="T54" s="7">
        <v>1953053</v>
      </c>
      <c r="U54" s="7">
        <v>594875</v>
      </c>
      <c r="V54" s="7">
        <v>0</v>
      </c>
      <c r="W54" s="7">
        <v>0</v>
      </c>
      <c r="X54" s="7">
        <v>16898381</v>
      </c>
      <c r="Y54" s="7" t="s">
        <v>531</v>
      </c>
      <c r="Z54" s="26">
        <v>7.0499999999999993E-2</v>
      </c>
      <c r="AA54" s="7">
        <v>5631219</v>
      </c>
      <c r="AB54" s="26">
        <f>952956/11266162</f>
        <v>8.4585682329084214E-2</v>
      </c>
      <c r="AC54" s="7">
        <v>953666</v>
      </c>
      <c r="AD54" s="7">
        <v>0</v>
      </c>
      <c r="AE54" s="7">
        <f>28212+615+268</f>
        <v>29095</v>
      </c>
      <c r="AF54" s="7">
        <v>423156</v>
      </c>
      <c r="AG54" s="7">
        <v>36410</v>
      </c>
      <c r="AH54" s="7">
        <v>78665</v>
      </c>
      <c r="AI54" s="7">
        <f>48308+7717</f>
        <v>56025</v>
      </c>
      <c r="AJ54" s="7">
        <v>22542</v>
      </c>
      <c r="AK54" s="7">
        <v>128345</v>
      </c>
      <c r="AL54" s="7">
        <v>11175</v>
      </c>
      <c r="AM54" s="7">
        <v>12000</v>
      </c>
      <c r="AN54" s="7">
        <v>11244</v>
      </c>
      <c r="AO54" s="7">
        <f>5426+35617+14406</f>
        <v>55449</v>
      </c>
      <c r="AP54" s="7">
        <v>6214</v>
      </c>
      <c r="AQ54" s="7">
        <v>356</v>
      </c>
      <c r="AR54" s="7">
        <v>0</v>
      </c>
      <c r="AS54" s="7">
        <v>11713</v>
      </c>
      <c r="AT54" s="7">
        <v>448</v>
      </c>
      <c r="AU54" s="7">
        <v>0</v>
      </c>
      <c r="AV54" s="7">
        <v>897010</v>
      </c>
      <c r="AW54" s="7">
        <v>982634</v>
      </c>
      <c r="AX54" s="26">
        <f t="shared" si="10"/>
        <v>0</v>
      </c>
      <c r="AY54" s="7">
        <v>0</v>
      </c>
      <c r="AZ54" s="7">
        <v>0</v>
      </c>
      <c r="BA54" s="7">
        <v>148368</v>
      </c>
      <c r="BB54" s="7">
        <v>0</v>
      </c>
      <c r="BC54" s="7">
        <v>42721</v>
      </c>
      <c r="BD54" s="7">
        <v>0</v>
      </c>
      <c r="BE54" s="7">
        <v>0</v>
      </c>
      <c r="BF54" s="7">
        <v>0</v>
      </c>
      <c r="BG54" s="7">
        <v>3231</v>
      </c>
      <c r="BH54" s="7">
        <v>1017</v>
      </c>
      <c r="BI54" s="7">
        <v>602</v>
      </c>
      <c r="BJ54" s="7"/>
      <c r="BK54" s="7">
        <v>0</v>
      </c>
      <c r="BL54" s="7">
        <v>-172</v>
      </c>
      <c r="BM54" s="7">
        <v>-867</v>
      </c>
      <c r="BN54" s="7">
        <v>-1233</v>
      </c>
      <c r="BO54" s="7">
        <v>-8</v>
      </c>
      <c r="BP54" s="7">
        <f t="shared" si="13"/>
        <v>2570</v>
      </c>
      <c r="BQ54" s="1">
        <v>2</v>
      </c>
      <c r="BR54" s="7">
        <v>347</v>
      </c>
      <c r="BS54" s="7">
        <v>116</v>
      </c>
      <c r="BT54" s="7">
        <v>429</v>
      </c>
      <c r="BU54" s="7">
        <v>173</v>
      </c>
      <c r="BV54" s="7">
        <v>13</v>
      </c>
      <c r="BW54" s="7">
        <v>28</v>
      </c>
      <c r="BX54" s="7">
        <v>5</v>
      </c>
      <c r="BY54" s="7">
        <v>62</v>
      </c>
      <c r="BZ54" s="7">
        <v>33</v>
      </c>
      <c r="CA54" s="7">
        <v>3</v>
      </c>
      <c r="CB54" s="7">
        <v>169</v>
      </c>
      <c r="CC54" s="7">
        <v>33</v>
      </c>
      <c r="CD54" s="7">
        <v>307</v>
      </c>
      <c r="CE54" s="7">
        <v>144</v>
      </c>
      <c r="CF54" s="7">
        <v>57</v>
      </c>
    </row>
    <row r="55" spans="1:84" x14ac:dyDescent="0.25">
      <c r="A55" s="15">
        <v>5</v>
      </c>
      <c r="B55" s="8" t="s">
        <v>85</v>
      </c>
      <c r="C55" s="57" t="s">
        <v>706</v>
      </c>
      <c r="D55" s="8" t="s">
        <v>489</v>
      </c>
      <c r="E55" s="8" t="s">
        <v>431</v>
      </c>
      <c r="F55" s="8" t="s">
        <v>234</v>
      </c>
      <c r="G55" s="8" t="s">
        <v>455</v>
      </c>
      <c r="H55" s="7">
        <v>20196993</v>
      </c>
      <c r="I55" s="7">
        <v>20253214</v>
      </c>
      <c r="J55" s="7">
        <v>1253571</v>
      </c>
      <c r="K55" s="12">
        <v>0</v>
      </c>
      <c r="L55" s="12">
        <v>4406446</v>
      </c>
      <c r="M55" s="12">
        <v>2775680</v>
      </c>
      <c r="N55" s="12">
        <v>0</v>
      </c>
      <c r="O55" s="25">
        <f t="shared" si="11"/>
        <v>7182126</v>
      </c>
      <c r="P55" s="12">
        <v>0</v>
      </c>
      <c r="Q55" s="12">
        <v>1326168</v>
      </c>
      <c r="R55" s="12">
        <v>0</v>
      </c>
      <c r="S55" s="12">
        <f t="shared" si="12"/>
        <v>1326168</v>
      </c>
      <c r="T55" s="7">
        <v>6918053</v>
      </c>
      <c r="U55" s="7">
        <v>1527347</v>
      </c>
      <c r="V55" s="7">
        <v>0</v>
      </c>
      <c r="W55" s="7">
        <v>0</v>
      </c>
      <c r="X55" s="7">
        <v>17908288</v>
      </c>
      <c r="Y55" s="7" t="s">
        <v>387</v>
      </c>
      <c r="Z55" s="26">
        <v>0.153</v>
      </c>
      <c r="AA55" s="7">
        <v>0</v>
      </c>
      <c r="AB55" s="26">
        <f>954591/17908288</f>
        <v>5.330442530296587E-2</v>
      </c>
      <c r="AC55" s="7">
        <v>954594</v>
      </c>
      <c r="AD55" s="7">
        <v>0</v>
      </c>
      <c r="AE55" s="7">
        <f>56221+250</f>
        <v>56471</v>
      </c>
      <c r="AF55" s="7">
        <v>428016</v>
      </c>
      <c r="AG55" s="7">
        <v>0</v>
      </c>
      <c r="AH55" s="7">
        <v>110875</v>
      </c>
      <c r="AI55" s="7">
        <v>61552</v>
      </c>
      <c r="AJ55" s="7">
        <v>50008</v>
      </c>
      <c r="AK55" s="7">
        <v>21340</v>
      </c>
      <c r="AL55" s="7">
        <v>8650</v>
      </c>
      <c r="AM55" s="7">
        <v>0</v>
      </c>
      <c r="AN55" s="7">
        <v>24237</v>
      </c>
      <c r="AO55" s="7">
        <f>12194+21294+21878</f>
        <v>55366</v>
      </c>
      <c r="AP55" s="7">
        <v>6756</v>
      </c>
      <c r="AQ55" s="7">
        <v>163</v>
      </c>
      <c r="AR55" s="7">
        <v>0</v>
      </c>
      <c r="AS55" s="7">
        <v>13983</v>
      </c>
      <c r="AT55" s="7">
        <v>10800</v>
      </c>
      <c r="AU55" s="7">
        <v>2350</v>
      </c>
      <c r="AV55" s="7">
        <v>849969</v>
      </c>
      <c r="AW55" s="7">
        <v>837750</v>
      </c>
      <c r="AX55" s="26">
        <f t="shared" si="10"/>
        <v>2.7648067164802483E-3</v>
      </c>
      <c r="AY55" s="7">
        <v>0</v>
      </c>
      <c r="AZ55" s="7">
        <v>0</v>
      </c>
      <c r="BA55" s="7">
        <v>148368</v>
      </c>
      <c r="BB55" s="7">
        <v>0</v>
      </c>
      <c r="BC55" s="7">
        <v>40731</v>
      </c>
      <c r="BD55" s="7">
        <v>0</v>
      </c>
      <c r="BE55" s="7">
        <v>0</v>
      </c>
      <c r="BF55" s="7">
        <v>0</v>
      </c>
      <c r="BG55" s="7">
        <v>4842</v>
      </c>
      <c r="BH55" s="7">
        <v>2839</v>
      </c>
      <c r="BI55" s="7">
        <v>0</v>
      </c>
      <c r="BJ55" s="7"/>
      <c r="BK55" s="7">
        <v>17</v>
      </c>
      <c r="BL55" s="7">
        <v>-190</v>
      </c>
      <c r="BM55" s="7">
        <v>-2018</v>
      </c>
      <c r="BN55" s="7">
        <v>-772</v>
      </c>
      <c r="BO55" s="7">
        <v>-1</v>
      </c>
      <c r="BP55" s="7">
        <f t="shared" si="13"/>
        <v>4717</v>
      </c>
      <c r="BQ55" s="1">
        <v>2</v>
      </c>
      <c r="BR55" s="7">
        <v>461</v>
      </c>
      <c r="BS55" s="7">
        <v>44</v>
      </c>
      <c r="BT55" s="7">
        <v>192</v>
      </c>
      <c r="BU55" s="7">
        <v>2</v>
      </c>
      <c r="BV55" s="7">
        <v>73</v>
      </c>
      <c r="BW55" s="7">
        <v>3</v>
      </c>
      <c r="BX55" s="7">
        <v>9</v>
      </c>
      <c r="BY55" s="7">
        <v>72</v>
      </c>
      <c r="BZ55" s="7">
        <v>52</v>
      </c>
      <c r="CA55" s="7">
        <v>6</v>
      </c>
      <c r="CB55" s="7">
        <v>52</v>
      </c>
      <c r="CC55" s="7">
        <v>55</v>
      </c>
      <c r="CD55" s="7">
        <v>393</v>
      </c>
      <c r="CE55" s="7">
        <v>666</v>
      </c>
      <c r="CF55" s="7">
        <v>158</v>
      </c>
    </row>
    <row r="56" spans="1:84" x14ac:dyDescent="0.25">
      <c r="A56" s="15">
        <v>5</v>
      </c>
      <c r="B56" s="8" t="s">
        <v>88</v>
      </c>
      <c r="C56" s="57" t="s">
        <v>386</v>
      </c>
      <c r="D56" s="8" t="s">
        <v>327</v>
      </c>
      <c r="E56" s="8" t="s">
        <v>516</v>
      </c>
      <c r="F56" s="8" t="s">
        <v>693</v>
      </c>
      <c r="G56" s="8" t="s">
        <v>505</v>
      </c>
      <c r="H56" s="7">
        <v>13333352</v>
      </c>
      <c r="I56" s="7">
        <v>13381117</v>
      </c>
      <c r="J56" s="7">
        <v>418660</v>
      </c>
      <c r="K56" s="12">
        <v>1689687</v>
      </c>
      <c r="L56" s="12">
        <v>873695</v>
      </c>
      <c r="M56" s="12">
        <v>6573000</v>
      </c>
      <c r="N56" s="12">
        <v>0</v>
      </c>
      <c r="O56" s="25">
        <f t="shared" si="11"/>
        <v>9136382</v>
      </c>
      <c r="P56" s="12">
        <v>10088</v>
      </c>
      <c r="Q56" s="12">
        <v>315124</v>
      </c>
      <c r="R56" s="12">
        <v>10844</v>
      </c>
      <c r="S56" s="12">
        <f t="shared" si="12"/>
        <v>336056</v>
      </c>
      <c r="T56" s="7">
        <v>1782752</v>
      </c>
      <c r="U56" s="7">
        <v>922284</v>
      </c>
      <c r="V56" s="7">
        <v>0</v>
      </c>
      <c r="W56" s="7">
        <v>0</v>
      </c>
      <c r="X56" s="7">
        <v>13591384</v>
      </c>
      <c r="Y56" s="7" t="s">
        <v>72</v>
      </c>
      <c r="Z56" s="26">
        <v>0.06</v>
      </c>
      <c r="AA56" s="7">
        <v>0</v>
      </c>
      <c r="AB56" s="26">
        <f>720095/12897566</f>
        <v>5.5831852304535599E-2</v>
      </c>
      <c r="AC56" s="7">
        <v>720093</v>
      </c>
      <c r="AD56" s="7">
        <v>0</v>
      </c>
      <c r="AE56" s="7">
        <f>4523+748+421</f>
        <v>5692</v>
      </c>
      <c r="AF56" s="7">
        <v>260011</v>
      </c>
      <c r="AG56" s="7">
        <v>20731</v>
      </c>
      <c r="AH56" s="7">
        <v>57732</v>
      </c>
      <c r="AI56" s="7">
        <f>37442+252</f>
        <v>37694</v>
      </c>
      <c r="AJ56" s="7">
        <v>4200</v>
      </c>
      <c r="AK56" s="7">
        <v>25140</v>
      </c>
      <c r="AL56" s="7">
        <v>8320</v>
      </c>
      <c r="AM56" s="7">
        <v>16430</v>
      </c>
      <c r="AN56" s="7">
        <v>7195</v>
      </c>
      <c r="AO56" s="7">
        <f>10666+22169+13093</f>
        <v>45928</v>
      </c>
      <c r="AP56" s="7">
        <v>8680</v>
      </c>
      <c r="AQ56" s="7">
        <v>612</v>
      </c>
      <c r="AR56" s="7">
        <v>0</v>
      </c>
      <c r="AS56" s="7">
        <v>0</v>
      </c>
      <c r="AT56" s="7">
        <v>27424</v>
      </c>
      <c r="AU56" s="7">
        <v>0</v>
      </c>
      <c r="AV56" s="7">
        <v>560706</v>
      </c>
      <c r="AW56" s="7">
        <v>581578</v>
      </c>
      <c r="AX56" s="26">
        <f t="shared" si="10"/>
        <v>0</v>
      </c>
      <c r="AY56" s="7">
        <v>0</v>
      </c>
      <c r="AZ56" s="7">
        <v>0</v>
      </c>
      <c r="BA56" s="7">
        <v>148368</v>
      </c>
      <c r="BB56" s="7">
        <v>0</v>
      </c>
      <c r="BC56" s="7">
        <v>78195</v>
      </c>
      <c r="BD56" s="7">
        <v>0</v>
      </c>
      <c r="BE56" s="7">
        <v>0</v>
      </c>
      <c r="BF56" s="7">
        <v>0</v>
      </c>
      <c r="BG56" s="7">
        <v>2920</v>
      </c>
      <c r="BH56" s="7">
        <v>1147</v>
      </c>
      <c r="BI56" s="7">
        <v>2</v>
      </c>
      <c r="BJ56" s="7"/>
      <c r="BK56" s="7">
        <f>-2+10+89</f>
        <v>97</v>
      </c>
      <c r="BL56" s="7">
        <v>-155</v>
      </c>
      <c r="BM56" s="7">
        <v>-613</v>
      </c>
      <c r="BN56" s="7">
        <v>-525</v>
      </c>
      <c r="BO56" s="7">
        <v>0</v>
      </c>
      <c r="BP56" s="7">
        <f t="shared" si="13"/>
        <v>2873</v>
      </c>
      <c r="BQ56" s="1">
        <v>13</v>
      </c>
      <c r="BR56" s="7">
        <v>129</v>
      </c>
      <c r="BS56" s="7">
        <v>46</v>
      </c>
      <c r="BT56" s="7">
        <v>237</v>
      </c>
      <c r="BU56" s="7">
        <v>22</v>
      </c>
      <c r="BV56" s="7">
        <v>74</v>
      </c>
      <c r="BW56" s="7">
        <v>4</v>
      </c>
      <c r="BX56" s="7">
        <v>3</v>
      </c>
      <c r="BY56" s="7">
        <v>69</v>
      </c>
      <c r="BZ56" s="7">
        <v>49</v>
      </c>
      <c r="CA56" s="7">
        <v>4</v>
      </c>
      <c r="CB56" s="7">
        <v>28</v>
      </c>
      <c r="CC56" s="7">
        <v>30</v>
      </c>
      <c r="CD56" s="7">
        <v>160</v>
      </c>
      <c r="CE56" s="7">
        <v>246</v>
      </c>
      <c r="CF56" s="7">
        <v>64</v>
      </c>
    </row>
    <row r="57" spans="1:84" x14ac:dyDescent="0.25">
      <c r="A57" s="15">
        <v>5</v>
      </c>
      <c r="B57" s="8" t="s">
        <v>188</v>
      </c>
      <c r="C57" s="57" t="s">
        <v>49</v>
      </c>
      <c r="D57" s="8" t="s">
        <v>82</v>
      </c>
      <c r="E57" s="8" t="s">
        <v>431</v>
      </c>
      <c r="F57" s="8" t="s">
        <v>496</v>
      </c>
      <c r="G57" s="8" t="s">
        <v>455</v>
      </c>
      <c r="H57" s="7">
        <v>10709318</v>
      </c>
      <c r="I57" s="7">
        <v>10657134</v>
      </c>
      <c r="J57" s="7">
        <v>718193</v>
      </c>
      <c r="K57" s="12">
        <v>0</v>
      </c>
      <c r="L57" s="12">
        <v>1178924</v>
      </c>
      <c r="M57" s="12">
        <v>2566483</v>
      </c>
      <c r="N57" s="12">
        <v>1146758</v>
      </c>
      <c r="O57" s="25">
        <f t="shared" si="11"/>
        <v>4892165</v>
      </c>
      <c r="P57" s="12">
        <v>346</v>
      </c>
      <c r="Q57" s="12">
        <v>524526</v>
      </c>
      <c r="R57" s="12">
        <v>146180</v>
      </c>
      <c r="S57" s="12">
        <f t="shared" si="12"/>
        <v>671052</v>
      </c>
      <c r="T57" s="7">
        <v>2699179</v>
      </c>
      <c r="U57" s="7">
        <v>937686</v>
      </c>
      <c r="V57" s="7">
        <v>44007</v>
      </c>
      <c r="W57" s="7">
        <v>15939</v>
      </c>
      <c r="X57" s="7">
        <v>10086666</v>
      </c>
      <c r="Y57" s="7" t="s">
        <v>531</v>
      </c>
      <c r="Z57" s="26">
        <v>0.03</v>
      </c>
      <c r="AA57" s="7">
        <v>0</v>
      </c>
      <c r="AB57" s="26">
        <f>781945/9919353</f>
        <v>7.8830242254711566E-2</v>
      </c>
      <c r="AC57" s="7">
        <v>781976</v>
      </c>
      <c r="AD57" s="7">
        <v>0</v>
      </c>
      <c r="AE57" s="7">
        <f>2654+519</f>
        <v>3173</v>
      </c>
      <c r="AF57" s="7">
        <v>345227</v>
      </c>
      <c r="AG57" s="7">
        <v>30993</v>
      </c>
      <c r="AH57" s="7">
        <v>72888</v>
      </c>
      <c r="AI57" s="7">
        <f>51105+9070</f>
        <v>60175</v>
      </c>
      <c r="AJ57" s="7">
        <v>2229</v>
      </c>
      <c r="AK57" s="7">
        <v>25194</v>
      </c>
      <c r="AL57" s="7">
        <v>7800</v>
      </c>
      <c r="AM57" s="7">
        <v>2183</v>
      </c>
      <c r="AN57" s="7">
        <v>20202</v>
      </c>
      <c r="AO57" s="7">
        <f>11432+10312+23916</f>
        <v>45660</v>
      </c>
      <c r="AP57" s="7">
        <v>9940</v>
      </c>
      <c r="AQ57" s="7">
        <v>0</v>
      </c>
      <c r="AR57" s="7">
        <v>0</v>
      </c>
      <c r="AS57" s="7">
        <v>827</v>
      </c>
      <c r="AT57" s="7">
        <v>8811</v>
      </c>
      <c r="AU57" s="7">
        <v>0</v>
      </c>
      <c r="AV57" s="7">
        <v>682347</v>
      </c>
      <c r="AW57" s="7">
        <v>691715</v>
      </c>
      <c r="AX57" s="26">
        <f t="shared" si="10"/>
        <v>0</v>
      </c>
      <c r="AY57" s="7">
        <v>0</v>
      </c>
      <c r="AZ57" s="7">
        <v>0</v>
      </c>
      <c r="BA57" s="7">
        <v>148368</v>
      </c>
      <c r="BB57" s="7">
        <v>0</v>
      </c>
      <c r="BC57" s="7">
        <v>93409</v>
      </c>
      <c r="BD57" s="7">
        <v>0</v>
      </c>
      <c r="BE57" s="7">
        <v>0</v>
      </c>
      <c r="BF57" s="7">
        <v>0</v>
      </c>
      <c r="BG57" s="7">
        <v>1824</v>
      </c>
      <c r="BH57" s="7">
        <v>1033</v>
      </c>
      <c r="BI57" s="7">
        <v>20</v>
      </c>
      <c r="BJ57" s="7"/>
      <c r="BK57" s="7">
        <v>16</v>
      </c>
      <c r="BL57" s="7">
        <v>-376</v>
      </c>
      <c r="BM57" s="7">
        <v>-261</v>
      </c>
      <c r="BN57" s="7">
        <v>-354</v>
      </c>
      <c r="BO57" s="7">
        <v>0</v>
      </c>
      <c r="BP57" s="7">
        <f t="shared" si="13"/>
        <v>1902</v>
      </c>
      <c r="BQ57" s="1">
        <v>1</v>
      </c>
      <c r="BR57" s="7">
        <v>201</v>
      </c>
      <c r="BS57" s="7">
        <v>41</v>
      </c>
      <c r="BT57" s="7">
        <v>90</v>
      </c>
      <c r="BU57" s="7">
        <v>16</v>
      </c>
      <c r="BV57" s="7">
        <v>4</v>
      </c>
      <c r="BW57" s="7">
        <v>23</v>
      </c>
      <c r="BX57" s="7">
        <v>18</v>
      </c>
      <c r="BY57" s="7">
        <v>110</v>
      </c>
      <c r="BZ57" s="7">
        <v>63</v>
      </c>
      <c r="CA57" s="7">
        <v>3</v>
      </c>
      <c r="CB57" s="7">
        <v>16</v>
      </c>
      <c r="CC57" s="7">
        <v>17</v>
      </c>
      <c r="CD57" s="7">
        <v>67</v>
      </c>
      <c r="CE57" s="7">
        <v>53</v>
      </c>
      <c r="CF57" s="7">
        <v>4</v>
      </c>
    </row>
    <row r="58" spans="1:84" x14ac:dyDescent="0.25">
      <c r="A58" s="15">
        <v>5</v>
      </c>
      <c r="B58" s="8" t="s">
        <v>198</v>
      </c>
      <c r="C58" s="57" t="s">
        <v>584</v>
      </c>
      <c r="D58" s="8" t="s">
        <v>682</v>
      </c>
      <c r="E58" s="8" t="s">
        <v>431</v>
      </c>
      <c r="F58" s="8" t="s">
        <v>787</v>
      </c>
      <c r="G58" s="8" t="s">
        <v>455</v>
      </c>
      <c r="H58" s="7">
        <v>47106140</v>
      </c>
      <c r="I58" s="7">
        <v>47124971</v>
      </c>
      <c r="J58" s="7">
        <v>1326270</v>
      </c>
      <c r="K58" s="12">
        <v>5516502</v>
      </c>
      <c r="L58" s="12">
        <v>1846846</v>
      </c>
      <c r="M58" s="12">
        <v>19056170</v>
      </c>
      <c r="N58" s="12">
        <v>0</v>
      </c>
      <c r="O58" s="25">
        <f t="shared" si="11"/>
        <v>26419518</v>
      </c>
      <c r="P58" s="12">
        <v>113518</v>
      </c>
      <c r="Q58" s="12">
        <v>1664548</v>
      </c>
      <c r="R58" s="12">
        <v>1143643</v>
      </c>
      <c r="S58" s="12">
        <f t="shared" si="12"/>
        <v>2921709</v>
      </c>
      <c r="T58" s="7">
        <v>9262506</v>
      </c>
      <c r="U58" s="7">
        <v>5328547</v>
      </c>
      <c r="V58" s="7">
        <v>4752</v>
      </c>
      <c r="W58" s="7">
        <v>0</v>
      </c>
      <c r="X58" s="7">
        <v>45832177</v>
      </c>
      <c r="Y58" s="7" t="s">
        <v>532</v>
      </c>
      <c r="Z58" s="26">
        <v>0.02</v>
      </c>
      <c r="AA58" s="7">
        <v>0</v>
      </c>
      <c r="AB58" s="26">
        <f>1895120/45827425</f>
        <v>4.1353403556931248E-2</v>
      </c>
      <c r="AC58" s="7">
        <v>1895145</v>
      </c>
      <c r="AD58" s="7">
        <v>0</v>
      </c>
      <c r="AE58" s="7">
        <f>18831+1255</f>
        <v>20086</v>
      </c>
      <c r="AF58" s="7">
        <v>915189</v>
      </c>
      <c r="AG58" s="7">
        <v>74678</v>
      </c>
      <c r="AH58" s="7">
        <v>191399</v>
      </c>
      <c r="AI58" s="7">
        <v>85635</v>
      </c>
      <c r="AJ58" s="7">
        <v>0</v>
      </c>
      <c r="AK58" s="7">
        <v>20404</v>
      </c>
      <c r="AL58" s="7">
        <v>12480</v>
      </c>
      <c r="AM58" s="7">
        <v>0</v>
      </c>
      <c r="AN58" s="7">
        <v>98671</v>
      </c>
      <c r="AO58" s="7">
        <f>17559+36857+34987</f>
        <v>89403</v>
      </c>
      <c r="AP58" s="7">
        <v>16565</v>
      </c>
      <c r="AQ58" s="7">
        <v>2787</v>
      </c>
      <c r="AR58" s="7">
        <v>0</v>
      </c>
      <c r="AS58" s="7">
        <v>0</v>
      </c>
      <c r="AT58" s="7">
        <v>90733</v>
      </c>
      <c r="AU58" s="7">
        <v>87420</v>
      </c>
      <c r="AV58" s="7">
        <v>1696228</v>
      </c>
      <c r="AW58" s="7">
        <v>1699129</v>
      </c>
      <c r="AX58" s="26">
        <f t="shared" si="10"/>
        <v>5.1537882878952591E-2</v>
      </c>
      <c r="AY58" s="7">
        <v>0</v>
      </c>
      <c r="AZ58" s="7">
        <v>0</v>
      </c>
      <c r="BA58" s="7">
        <v>148368</v>
      </c>
      <c r="BB58" s="7">
        <v>0</v>
      </c>
      <c r="BC58" s="7">
        <v>179023</v>
      </c>
      <c r="BD58" s="7">
        <v>0</v>
      </c>
      <c r="BE58" s="7">
        <v>0</v>
      </c>
      <c r="BF58" s="7">
        <v>0</v>
      </c>
      <c r="BG58" s="7">
        <v>10036</v>
      </c>
      <c r="BH58" s="7">
        <v>3978</v>
      </c>
      <c r="BI58" s="7">
        <v>31</v>
      </c>
      <c r="BJ58" s="7"/>
      <c r="BK58" s="7">
        <f>38-1</f>
        <v>37</v>
      </c>
      <c r="BL58" s="7">
        <v>-702</v>
      </c>
      <c r="BM58" s="7">
        <v>-1493</v>
      </c>
      <c r="BN58" s="7">
        <v>-1747</v>
      </c>
      <c r="BO58" s="7">
        <v>-24</v>
      </c>
      <c r="BP58" s="7">
        <f t="shared" si="13"/>
        <v>10116</v>
      </c>
      <c r="BQ58" s="1">
        <v>16</v>
      </c>
      <c r="BR58" s="7">
        <v>579</v>
      </c>
      <c r="BS58" s="7">
        <v>272</v>
      </c>
      <c r="BT58" s="7">
        <v>817</v>
      </c>
      <c r="BU58" s="7">
        <v>21</v>
      </c>
      <c r="BV58" s="7">
        <v>58</v>
      </c>
      <c r="BW58" s="7">
        <v>4</v>
      </c>
      <c r="BX58" s="7">
        <v>13</v>
      </c>
      <c r="BY58" s="7">
        <v>118</v>
      </c>
      <c r="BZ58" s="7">
        <v>452</v>
      </c>
      <c r="CA58" s="7">
        <v>13</v>
      </c>
      <c r="CB58" s="7">
        <v>14</v>
      </c>
      <c r="CC58" s="7">
        <v>35</v>
      </c>
      <c r="CD58" s="7">
        <v>178</v>
      </c>
      <c r="CE58" s="7">
        <v>871</v>
      </c>
      <c r="CF58" s="7">
        <v>50</v>
      </c>
    </row>
    <row r="59" spans="1:84" x14ac:dyDescent="0.25">
      <c r="A59" s="15">
        <v>5</v>
      </c>
      <c r="B59" s="8" t="s">
        <v>334</v>
      </c>
      <c r="C59" s="57" t="s">
        <v>390</v>
      </c>
      <c r="D59" s="8" t="s">
        <v>388</v>
      </c>
      <c r="E59" s="8" t="s">
        <v>516</v>
      </c>
      <c r="F59" s="8" t="s">
        <v>693</v>
      </c>
      <c r="G59" s="8" t="s">
        <v>505</v>
      </c>
      <c r="H59" s="7">
        <v>19349448</v>
      </c>
      <c r="I59" s="7">
        <v>19360474</v>
      </c>
      <c r="J59" s="7">
        <v>227432</v>
      </c>
      <c r="K59" s="12">
        <v>6358490</v>
      </c>
      <c r="L59" s="12">
        <v>1602660</v>
      </c>
      <c r="M59" s="12">
        <v>6690241</v>
      </c>
      <c r="N59" s="12">
        <v>2291</v>
      </c>
      <c r="O59" s="25">
        <f t="shared" si="11"/>
        <v>14653682</v>
      </c>
      <c r="P59" s="12">
        <v>9040</v>
      </c>
      <c r="Q59" s="12">
        <v>440905</v>
      </c>
      <c r="R59" s="12">
        <v>54</v>
      </c>
      <c r="S59" s="12">
        <f t="shared" si="12"/>
        <v>449999</v>
      </c>
      <c r="T59" s="7">
        <v>980739</v>
      </c>
      <c r="U59" s="7">
        <v>1865120</v>
      </c>
      <c r="V59" s="7">
        <v>0</v>
      </c>
      <c r="W59" s="7">
        <v>0</v>
      </c>
      <c r="X59" s="7">
        <v>19262152</v>
      </c>
      <c r="Y59" s="7" t="s">
        <v>531</v>
      </c>
      <c r="Z59" s="26">
        <v>3.3700000000000001E-2</v>
      </c>
      <c r="AA59" s="7">
        <f>6256121+9040</f>
        <v>6265161</v>
      </c>
      <c r="AB59" s="26">
        <f>1053980/12738430</f>
        <v>8.2740180697307278E-2</v>
      </c>
      <c r="AC59" s="7">
        <v>1054015</v>
      </c>
      <c r="AD59" s="7">
        <v>0</v>
      </c>
      <c r="AE59" s="7">
        <f>10898+1608+597</f>
        <v>13103</v>
      </c>
      <c r="AF59" s="7">
        <v>301693</v>
      </c>
      <c r="AG59" s="7">
        <v>27966</v>
      </c>
      <c r="AH59" s="7">
        <v>53862</v>
      </c>
      <c r="AI59" s="7">
        <f>39900+8600</f>
        <v>48500</v>
      </c>
      <c r="AJ59" s="7">
        <v>4337</v>
      </c>
      <c r="AK59" s="7">
        <v>92720</v>
      </c>
      <c r="AL59" s="7">
        <v>5460</v>
      </c>
      <c r="AM59" s="7">
        <v>622</v>
      </c>
      <c r="AN59" s="7">
        <v>136969</v>
      </c>
      <c r="AO59" s="7">
        <f>7476+24678+31949</f>
        <v>64103</v>
      </c>
      <c r="AP59" s="7">
        <v>14481</v>
      </c>
      <c r="AQ59" s="7">
        <v>545</v>
      </c>
      <c r="AR59" s="7">
        <v>0</v>
      </c>
      <c r="AS59" s="7">
        <v>13293</v>
      </c>
      <c r="AT59" s="7">
        <v>0</v>
      </c>
      <c r="AU59" s="7">
        <v>0</v>
      </c>
      <c r="AV59" s="7">
        <v>828279</v>
      </c>
      <c r="AW59" s="7">
        <v>879860</v>
      </c>
      <c r="AX59" s="26">
        <f t="shared" si="10"/>
        <v>0</v>
      </c>
      <c r="AY59" s="7">
        <v>0</v>
      </c>
      <c r="AZ59" s="7">
        <v>0</v>
      </c>
      <c r="BA59" s="7">
        <v>148367</v>
      </c>
      <c r="BB59" s="7">
        <v>0</v>
      </c>
      <c r="BC59" s="7">
        <v>133367</v>
      </c>
      <c r="BD59" s="7">
        <v>0</v>
      </c>
      <c r="BE59" s="7">
        <v>0</v>
      </c>
      <c r="BF59" s="7">
        <v>0</v>
      </c>
      <c r="BG59" s="7">
        <v>2642</v>
      </c>
      <c r="BH59" s="7">
        <v>2148</v>
      </c>
      <c r="BI59" s="7">
        <v>166</v>
      </c>
      <c r="BJ59" s="7"/>
      <c r="BK59" s="7">
        <v>-1</v>
      </c>
      <c r="BL59" s="7">
        <v>-255</v>
      </c>
      <c r="BM59" s="7">
        <v>-1402</v>
      </c>
      <c r="BN59" s="7">
        <v>-79</v>
      </c>
      <c r="BO59" s="7">
        <v>0</v>
      </c>
      <c r="BP59" s="7">
        <f t="shared" si="13"/>
        <v>3219</v>
      </c>
      <c r="BQ59" s="1">
        <v>0</v>
      </c>
      <c r="BR59" s="7">
        <v>24</v>
      </c>
      <c r="BS59" s="7">
        <v>3</v>
      </c>
      <c r="BT59" s="7">
        <v>23</v>
      </c>
      <c r="BU59" s="7">
        <v>19</v>
      </c>
      <c r="BV59" s="7">
        <v>0</v>
      </c>
      <c r="BW59" s="7">
        <v>40</v>
      </c>
      <c r="BX59" s="7">
        <v>8</v>
      </c>
      <c r="BY59" s="7">
        <v>95</v>
      </c>
      <c r="BZ59" s="7">
        <v>86</v>
      </c>
      <c r="CA59" s="7">
        <v>17</v>
      </c>
      <c r="CB59" s="7">
        <v>202</v>
      </c>
      <c r="CC59" s="7">
        <v>35</v>
      </c>
      <c r="CD59" s="7">
        <v>433</v>
      </c>
      <c r="CE59" s="7">
        <v>343</v>
      </c>
      <c r="CF59" s="7">
        <v>109</v>
      </c>
    </row>
    <row r="60" spans="1:84" x14ac:dyDescent="0.25">
      <c r="A60" s="15">
        <v>5</v>
      </c>
      <c r="B60" s="8" t="s">
        <v>653</v>
      </c>
      <c r="C60" s="57" t="s">
        <v>414</v>
      </c>
      <c r="D60" s="8" t="s">
        <v>434</v>
      </c>
      <c r="E60" s="8" t="s">
        <v>431</v>
      </c>
      <c r="F60" s="8" t="s">
        <v>787</v>
      </c>
      <c r="G60" s="8" t="s">
        <v>455</v>
      </c>
      <c r="H60" s="7">
        <v>14370435</v>
      </c>
      <c r="I60" s="7">
        <v>14373765</v>
      </c>
      <c r="J60" s="7">
        <v>438196</v>
      </c>
      <c r="K60" s="12">
        <v>356767</v>
      </c>
      <c r="L60" s="12">
        <v>0</v>
      </c>
      <c r="M60" s="12">
        <v>6417306</v>
      </c>
      <c r="N60" s="12">
        <v>0</v>
      </c>
      <c r="O60" s="25">
        <f t="shared" si="11"/>
        <v>6774073</v>
      </c>
      <c r="P60" s="12">
        <v>1123</v>
      </c>
      <c r="Q60" s="12">
        <v>738468</v>
      </c>
      <c r="R60" s="12">
        <v>0</v>
      </c>
      <c r="S60" s="12">
        <f t="shared" si="12"/>
        <v>739591</v>
      </c>
      <c r="T60" s="7">
        <v>4126362</v>
      </c>
      <c r="U60" s="7">
        <v>1242231</v>
      </c>
      <c r="V60" s="7">
        <v>0</v>
      </c>
      <c r="W60" s="7">
        <v>0</v>
      </c>
      <c r="X60" s="7">
        <v>13899463</v>
      </c>
      <c r="Y60" s="7" t="s">
        <v>531</v>
      </c>
      <c r="Z60" s="26">
        <v>0.11</v>
      </c>
      <c r="AA60" s="7">
        <f>356767+1123</f>
        <v>357890</v>
      </c>
      <c r="AB60" s="26">
        <f>1017292/13559408</f>
        <v>7.5024809342708762E-2</v>
      </c>
      <c r="AC60" s="7">
        <v>1017206</v>
      </c>
      <c r="AD60" s="7">
        <v>0</v>
      </c>
      <c r="AE60" s="7">
        <f>3330+407</f>
        <v>3737</v>
      </c>
      <c r="AF60" s="7">
        <v>370647</v>
      </c>
      <c r="AG60" s="7">
        <v>30093</v>
      </c>
      <c r="AH60" s="7">
        <v>72701</v>
      </c>
      <c r="AI60" s="7">
        <v>46930</v>
      </c>
      <c r="AJ60" s="7">
        <v>17486</v>
      </c>
      <c r="AK60" s="7">
        <v>35621</v>
      </c>
      <c r="AL60" s="7">
        <v>8650</v>
      </c>
      <c r="AM60" s="7">
        <v>58547</v>
      </c>
      <c r="AN60" s="7">
        <v>14633</v>
      </c>
      <c r="AO60" s="7">
        <f>12350+26030+17002</f>
        <v>55382</v>
      </c>
      <c r="AP60" s="7">
        <v>10484</v>
      </c>
      <c r="AQ60" s="7">
        <v>929</v>
      </c>
      <c r="AR60" s="7">
        <v>26265</v>
      </c>
      <c r="AS60" s="7">
        <v>9022</v>
      </c>
      <c r="AT60" s="7">
        <v>4468</v>
      </c>
      <c r="AU60" s="7">
        <v>0</v>
      </c>
      <c r="AV60" s="7">
        <v>801264</v>
      </c>
      <c r="AW60" s="7">
        <v>821302</v>
      </c>
      <c r="AX60" s="26">
        <f t="shared" si="10"/>
        <v>0</v>
      </c>
      <c r="AY60" s="7">
        <v>0</v>
      </c>
      <c r="AZ60" s="7">
        <v>0</v>
      </c>
      <c r="BA60" s="7">
        <v>148368</v>
      </c>
      <c r="BB60" s="7">
        <v>0</v>
      </c>
      <c r="BC60" s="7">
        <v>130606</v>
      </c>
      <c r="BD60" s="7">
        <v>0</v>
      </c>
      <c r="BE60" s="7">
        <v>0</v>
      </c>
      <c r="BF60" s="7">
        <v>0</v>
      </c>
      <c r="BG60" s="7">
        <v>3433</v>
      </c>
      <c r="BH60" s="7">
        <v>1271</v>
      </c>
      <c r="BI60" s="7">
        <v>64</v>
      </c>
      <c r="BJ60" s="7"/>
      <c r="BK60" s="7">
        <v>-1</v>
      </c>
      <c r="BL60" s="7">
        <v>-332</v>
      </c>
      <c r="BM60" s="7">
        <v>-730</v>
      </c>
      <c r="BN60" s="7">
        <v>-560</v>
      </c>
      <c r="BO60" s="7">
        <v>-6</v>
      </c>
      <c r="BP60" s="7">
        <f t="shared" si="13"/>
        <v>3139</v>
      </c>
      <c r="BQ60" s="1">
        <v>4</v>
      </c>
      <c r="BR60" s="7">
        <v>225</v>
      </c>
      <c r="BS60" s="7">
        <v>80</v>
      </c>
      <c r="BT60" s="7">
        <v>235</v>
      </c>
      <c r="BU60" s="7">
        <v>2</v>
      </c>
      <c r="BV60" s="7">
        <v>18</v>
      </c>
      <c r="BW60" s="7">
        <v>6</v>
      </c>
      <c r="BX60" s="7">
        <v>13</v>
      </c>
      <c r="BY60" s="7">
        <v>76</v>
      </c>
      <c r="BZ60" s="7">
        <v>155</v>
      </c>
      <c r="CA60" s="7">
        <v>1</v>
      </c>
      <c r="CB60" s="7">
        <v>9</v>
      </c>
      <c r="CC60" s="7">
        <v>29</v>
      </c>
      <c r="CD60" s="7">
        <v>106</v>
      </c>
      <c r="CE60" s="7">
        <v>315</v>
      </c>
      <c r="CF60" s="7">
        <v>14</v>
      </c>
    </row>
    <row r="61" spans="1:84" x14ac:dyDescent="0.25">
      <c r="A61" s="15">
        <v>5</v>
      </c>
      <c r="B61" s="8" t="s">
        <v>683</v>
      </c>
      <c r="C61" s="57" t="s">
        <v>228</v>
      </c>
      <c r="D61" s="8" t="s">
        <v>316</v>
      </c>
      <c r="E61" s="8" t="s">
        <v>516</v>
      </c>
      <c r="F61" s="8" t="s">
        <v>693</v>
      </c>
      <c r="G61" s="8" t="s">
        <v>505</v>
      </c>
      <c r="H61" s="7">
        <v>9540733</v>
      </c>
      <c r="I61" s="7">
        <v>9552688</v>
      </c>
      <c r="J61" s="7">
        <v>321828</v>
      </c>
      <c r="K61" s="12">
        <v>133415</v>
      </c>
      <c r="L61" s="12">
        <v>620452</v>
      </c>
      <c r="M61" s="12">
        <v>3243430</v>
      </c>
      <c r="N61" s="12">
        <v>1276437</v>
      </c>
      <c r="O61" s="25">
        <f t="shared" si="11"/>
        <v>5273734</v>
      </c>
      <c r="P61" s="12">
        <v>0</v>
      </c>
      <c r="Q61" s="12">
        <v>356014</v>
      </c>
      <c r="R61" s="12">
        <v>180772</v>
      </c>
      <c r="S61" s="12">
        <f t="shared" si="12"/>
        <v>536786</v>
      </c>
      <c r="T61" s="7">
        <v>2007857</v>
      </c>
      <c r="U61" s="7">
        <v>664909</v>
      </c>
      <c r="V61" s="7">
        <v>0</v>
      </c>
      <c r="W61" s="7">
        <v>0</v>
      </c>
      <c r="X61" s="7">
        <v>9061234</v>
      </c>
      <c r="Y61" s="7" t="s">
        <v>321</v>
      </c>
      <c r="Z61" s="26">
        <v>8.1199999999999994E-2</v>
      </c>
      <c r="AA61" s="7">
        <v>0</v>
      </c>
      <c r="AB61" s="26">
        <f>576509/9061234</f>
        <v>6.3623674214792383E-2</v>
      </c>
      <c r="AC61" s="7">
        <v>575524</v>
      </c>
      <c r="AD61" s="7">
        <v>0</v>
      </c>
      <c r="AE61" s="7">
        <f>11955+397</f>
        <v>12352</v>
      </c>
      <c r="AF61" s="7">
        <v>173187</v>
      </c>
      <c r="AG61" s="7">
        <v>13742</v>
      </c>
      <c r="AH61" s="7">
        <v>40279</v>
      </c>
      <c r="AI61" s="7">
        <f>15600+3548</f>
        <v>19148</v>
      </c>
      <c r="AJ61" s="7">
        <v>9125</v>
      </c>
      <c r="AK61" s="7">
        <v>70741</v>
      </c>
      <c r="AL61" s="7">
        <v>6760</v>
      </c>
      <c r="AM61" s="7">
        <v>0</v>
      </c>
      <c r="AN61" s="7">
        <v>29321</v>
      </c>
      <c r="AO61" s="7">
        <f>11386+20315+9825</f>
        <v>41526</v>
      </c>
      <c r="AP61" s="7">
        <v>3868</v>
      </c>
      <c r="AQ61" s="7">
        <v>287</v>
      </c>
      <c r="AR61" s="7">
        <v>0</v>
      </c>
      <c r="AS61" s="7">
        <v>1133</v>
      </c>
      <c r="AT61" s="7">
        <v>1204</v>
      </c>
      <c r="AU61" s="7">
        <v>15600</v>
      </c>
      <c r="AV61" s="7">
        <v>433639</v>
      </c>
      <c r="AW61" s="7">
        <v>448284</v>
      </c>
      <c r="AX61" s="26">
        <f t="shared" si="10"/>
        <v>3.5974624053648312E-2</v>
      </c>
      <c r="AY61" s="7">
        <v>0</v>
      </c>
      <c r="AZ61" s="7">
        <v>0</v>
      </c>
      <c r="BA61" s="7">
        <v>148368</v>
      </c>
      <c r="BB61" s="7">
        <v>0</v>
      </c>
      <c r="BC61" s="7">
        <v>53394</v>
      </c>
      <c r="BD61" s="7">
        <v>0</v>
      </c>
      <c r="BE61" s="7">
        <v>0</v>
      </c>
      <c r="BF61" s="7">
        <v>0</v>
      </c>
      <c r="BG61" s="7">
        <v>2105</v>
      </c>
      <c r="BH61" s="7">
        <v>730</v>
      </c>
      <c r="BI61" s="7">
        <v>269</v>
      </c>
      <c r="BJ61" s="7"/>
      <c r="BK61" s="7">
        <v>0</v>
      </c>
      <c r="BL61" s="7">
        <v>-227</v>
      </c>
      <c r="BM61" s="7">
        <v>-426</v>
      </c>
      <c r="BN61" s="7">
        <v>-482</v>
      </c>
      <c r="BO61" s="7">
        <v>-26</v>
      </c>
      <c r="BP61" s="7">
        <f t="shared" si="13"/>
        <v>1943</v>
      </c>
      <c r="BQ61" s="1">
        <v>3</v>
      </c>
      <c r="BR61" s="7">
        <v>58</v>
      </c>
      <c r="BS61" s="7">
        <v>37</v>
      </c>
      <c r="BT61" s="7">
        <v>243</v>
      </c>
      <c r="BU61" s="7">
        <v>7</v>
      </c>
      <c r="BV61" s="7">
        <v>5</v>
      </c>
      <c r="BW61" s="7">
        <v>29</v>
      </c>
      <c r="BX61" s="7">
        <v>7</v>
      </c>
      <c r="BY61" s="7">
        <v>23</v>
      </c>
      <c r="BZ61" s="7">
        <v>115</v>
      </c>
      <c r="CA61" s="7">
        <v>1</v>
      </c>
      <c r="CB61" s="7">
        <v>4</v>
      </c>
      <c r="CC61" s="7">
        <v>3</v>
      </c>
      <c r="CD61" s="7">
        <v>23</v>
      </c>
      <c r="CE61" s="7">
        <v>283</v>
      </c>
      <c r="CF61" s="7">
        <v>7</v>
      </c>
    </row>
    <row r="62" spans="1:84" x14ac:dyDescent="0.25">
      <c r="A62" s="15">
        <v>5</v>
      </c>
      <c r="B62" s="8" t="s">
        <v>765</v>
      </c>
      <c r="C62" s="57" t="s">
        <v>461</v>
      </c>
      <c r="D62" s="8" t="s">
        <v>388</v>
      </c>
      <c r="E62" s="8" t="s">
        <v>516</v>
      </c>
      <c r="F62" s="8" t="s">
        <v>551</v>
      </c>
      <c r="G62" s="8" t="s">
        <v>505</v>
      </c>
      <c r="H62" s="7">
        <v>15016951</v>
      </c>
      <c r="I62" s="7">
        <v>15028249</v>
      </c>
      <c r="J62" s="7">
        <v>299223</v>
      </c>
      <c r="K62" s="12">
        <v>5168280</v>
      </c>
      <c r="L62" s="12">
        <v>613153</v>
      </c>
      <c r="M62" s="12">
        <v>5102232</v>
      </c>
      <c r="N62" s="12">
        <v>330632</v>
      </c>
      <c r="O62" s="25">
        <f t="shared" si="11"/>
        <v>11214297</v>
      </c>
      <c r="P62" s="12">
        <v>10554</v>
      </c>
      <c r="Q62" s="12">
        <v>212317</v>
      </c>
      <c r="R62" s="12">
        <v>1194</v>
      </c>
      <c r="S62" s="12">
        <f t="shared" si="12"/>
        <v>224065</v>
      </c>
      <c r="T62" s="7">
        <v>1085653</v>
      </c>
      <c r="U62" s="7">
        <v>923790</v>
      </c>
      <c r="V62" s="7">
        <v>0</v>
      </c>
      <c r="W62" s="7">
        <v>0</v>
      </c>
      <c r="X62" s="7">
        <v>14196159</v>
      </c>
      <c r="Y62" s="7" t="s">
        <v>531</v>
      </c>
      <c r="Z62" s="26">
        <v>9.06E-2</v>
      </c>
      <c r="AA62" s="7">
        <v>5104605</v>
      </c>
      <c r="AB62" s="26">
        <f>600835/8857640</f>
        <v>6.7832402310321935E-2</v>
      </c>
      <c r="AC62" s="7">
        <v>667688</v>
      </c>
      <c r="AD62" s="7">
        <v>0</v>
      </c>
      <c r="AE62" s="7">
        <f>10582+807+2304</f>
        <v>13693</v>
      </c>
      <c r="AF62" s="7">
        <v>197745</v>
      </c>
      <c r="AG62" s="7">
        <v>20409</v>
      </c>
      <c r="AH62" s="7">
        <v>35902</v>
      </c>
      <c r="AI62" s="7">
        <f>34000+2918</f>
        <v>36918</v>
      </c>
      <c r="AJ62" s="7">
        <v>5865</v>
      </c>
      <c r="AK62" s="7">
        <v>30200</v>
      </c>
      <c r="AL62" s="7">
        <v>5460</v>
      </c>
      <c r="AM62" s="7">
        <v>0</v>
      </c>
      <c r="AN62" s="7">
        <v>76189</v>
      </c>
      <c r="AO62" s="7">
        <f>5808+19018+7474</f>
        <v>32300</v>
      </c>
      <c r="AP62" s="7">
        <v>3474</v>
      </c>
      <c r="AQ62" s="7">
        <v>142</v>
      </c>
      <c r="AR62" s="7">
        <v>0</v>
      </c>
      <c r="AS62" s="7">
        <v>11443</v>
      </c>
      <c r="AT62" s="7">
        <v>41704</v>
      </c>
      <c r="AU62" s="7">
        <v>0</v>
      </c>
      <c r="AV62" s="7">
        <v>516857</v>
      </c>
      <c r="AW62" s="7">
        <v>520505</v>
      </c>
      <c r="AX62" s="26">
        <f t="shared" si="10"/>
        <v>0</v>
      </c>
      <c r="AY62" s="7">
        <v>0</v>
      </c>
      <c r="AZ62" s="7">
        <v>0</v>
      </c>
      <c r="BA62" s="7">
        <v>148368</v>
      </c>
      <c r="BB62" s="7">
        <v>0</v>
      </c>
      <c r="BC62" s="7">
        <v>53284</v>
      </c>
      <c r="BD62" s="7">
        <v>0</v>
      </c>
      <c r="BE62" s="7">
        <v>0</v>
      </c>
      <c r="BF62" s="7">
        <v>0</v>
      </c>
      <c r="BG62" s="7">
        <v>2076</v>
      </c>
      <c r="BH62" s="7">
        <v>1329</v>
      </c>
      <c r="BI62" s="7">
        <v>70</v>
      </c>
      <c r="BJ62" s="7"/>
      <c r="BK62" s="7">
        <v>0</v>
      </c>
      <c r="BL62" s="7">
        <v>-167</v>
      </c>
      <c r="BM62" s="7">
        <v>-537</v>
      </c>
      <c r="BN62" s="7">
        <v>-34</v>
      </c>
      <c r="BO62" s="7">
        <v>0</v>
      </c>
      <c r="BP62" s="7">
        <f t="shared" si="13"/>
        <v>2737</v>
      </c>
      <c r="BQ62" s="1">
        <v>0</v>
      </c>
      <c r="BR62" s="7">
        <v>20</v>
      </c>
      <c r="BS62" s="7">
        <v>3</v>
      </c>
      <c r="BT62" s="7">
        <v>7</v>
      </c>
      <c r="BU62" s="7">
        <v>1</v>
      </c>
      <c r="BV62" s="7">
        <v>1</v>
      </c>
      <c r="BW62" s="7">
        <v>19</v>
      </c>
      <c r="BX62" s="7">
        <v>10</v>
      </c>
      <c r="BY62" s="7">
        <v>63</v>
      </c>
      <c r="BZ62" s="7">
        <v>46</v>
      </c>
      <c r="CA62" s="7">
        <v>6</v>
      </c>
      <c r="CB62" s="7">
        <v>52</v>
      </c>
      <c r="CC62" s="7">
        <v>16</v>
      </c>
      <c r="CD62" s="7">
        <v>152</v>
      </c>
      <c r="CE62" s="7">
        <v>183</v>
      </c>
      <c r="CF62" s="7">
        <v>32</v>
      </c>
    </row>
    <row r="63" spans="1:84" x14ac:dyDescent="0.25">
      <c r="A63" s="15">
        <v>6</v>
      </c>
      <c r="B63" s="8" t="s">
        <v>187</v>
      </c>
      <c r="C63" s="57" t="s">
        <v>392</v>
      </c>
      <c r="D63" s="8" t="s">
        <v>602</v>
      </c>
      <c r="E63" s="8" t="s">
        <v>748</v>
      </c>
      <c r="F63" s="8" t="s">
        <v>234</v>
      </c>
      <c r="G63" s="8" t="s">
        <v>727</v>
      </c>
      <c r="H63" s="7">
        <v>26859168</v>
      </c>
      <c r="I63" s="7">
        <v>26897799</v>
      </c>
      <c r="J63" s="7">
        <v>2229645</v>
      </c>
      <c r="K63" s="12">
        <v>0</v>
      </c>
      <c r="L63" s="12">
        <v>1725982</v>
      </c>
      <c r="M63" s="12">
        <v>9950211</v>
      </c>
      <c r="N63" s="12">
        <v>0</v>
      </c>
      <c r="O63" s="25">
        <f t="shared" si="11"/>
        <v>11676193</v>
      </c>
      <c r="P63" s="12">
        <v>0</v>
      </c>
      <c r="Q63" s="12">
        <v>2912000</v>
      </c>
      <c r="R63" s="12">
        <v>0</v>
      </c>
      <c r="S63" s="12">
        <f t="shared" si="12"/>
        <v>2912000</v>
      </c>
      <c r="T63" s="7">
        <v>4199714</v>
      </c>
      <c r="U63" s="7">
        <v>2693004</v>
      </c>
      <c r="V63" s="7">
        <v>0</v>
      </c>
      <c r="W63" s="7">
        <v>0</v>
      </c>
      <c r="X63" s="7">
        <v>23495506</v>
      </c>
      <c r="Y63" s="7" t="s">
        <v>531</v>
      </c>
      <c r="Z63" s="26">
        <v>0.15</v>
      </c>
      <c r="AA63" s="7">
        <v>0</v>
      </c>
      <c r="AB63" s="26">
        <f>2014782/23059677</f>
        <v>8.7372516102458844E-2</v>
      </c>
      <c r="AC63" s="7">
        <v>2014595</v>
      </c>
      <c r="AD63" s="7">
        <v>0</v>
      </c>
      <c r="AE63" s="7">
        <f>38631+1350</f>
        <v>39981</v>
      </c>
      <c r="AF63" s="7">
        <v>880347</v>
      </c>
      <c r="AG63" s="7">
        <v>70591</v>
      </c>
      <c r="AH63" s="7">
        <v>194533</v>
      </c>
      <c r="AI63" s="7">
        <f>201263+7037</f>
        <v>208300</v>
      </c>
      <c r="AJ63" s="7">
        <v>51160</v>
      </c>
      <c r="AK63" s="7">
        <v>11609</v>
      </c>
      <c r="AL63" s="7">
        <v>9250</v>
      </c>
      <c r="AM63" s="7">
        <v>32627</v>
      </c>
      <c r="AN63" s="7">
        <v>0</v>
      </c>
      <c r="AO63" s="7">
        <f>24952+105331+64003</f>
        <v>194286</v>
      </c>
      <c r="AP63" s="7">
        <v>20830</v>
      </c>
      <c r="AQ63" s="7">
        <v>0</v>
      </c>
      <c r="AR63" s="7">
        <v>25982</v>
      </c>
      <c r="AS63" s="7">
        <v>864</v>
      </c>
      <c r="AT63" s="7">
        <v>8413</v>
      </c>
      <c r="AU63" s="7">
        <v>0</v>
      </c>
      <c r="AV63" s="7">
        <v>1884491</v>
      </c>
      <c r="AW63" s="7">
        <v>1895208</v>
      </c>
      <c r="AX63" s="26">
        <f t="shared" si="10"/>
        <v>0</v>
      </c>
      <c r="AY63" s="7">
        <v>11080</v>
      </c>
      <c r="AZ63" s="7">
        <v>0</v>
      </c>
      <c r="BA63" s="7">
        <v>148368</v>
      </c>
      <c r="BB63" s="7">
        <v>0</v>
      </c>
      <c r="BC63" s="7">
        <v>266560</v>
      </c>
      <c r="BD63" s="7">
        <v>0</v>
      </c>
      <c r="BE63" s="7">
        <v>0</v>
      </c>
      <c r="BF63" s="7">
        <v>0</v>
      </c>
      <c r="BG63" s="7">
        <v>4966</v>
      </c>
      <c r="BH63" s="7">
        <v>2483</v>
      </c>
      <c r="BI63" s="7">
        <v>0</v>
      </c>
      <c r="BJ63" s="7">
        <v>0</v>
      </c>
      <c r="BK63" s="7">
        <f>12+13-7</f>
        <v>18</v>
      </c>
      <c r="BL63" s="7">
        <v>-281</v>
      </c>
      <c r="BM63" s="7">
        <v>-1186</v>
      </c>
      <c r="BN63" s="7">
        <v>-906</v>
      </c>
      <c r="BO63" s="7">
        <v>0</v>
      </c>
      <c r="BP63" s="7">
        <f t="shared" si="13"/>
        <v>5094</v>
      </c>
      <c r="BQ63" s="1">
        <v>0</v>
      </c>
      <c r="BR63" s="7">
        <v>70</v>
      </c>
      <c r="BS63" s="7">
        <v>32</v>
      </c>
      <c r="BT63" s="7">
        <v>525</v>
      </c>
      <c r="BU63" s="7">
        <v>25</v>
      </c>
      <c r="BV63" s="7">
        <v>5</v>
      </c>
      <c r="BW63" s="7">
        <v>22</v>
      </c>
      <c r="BX63" s="7">
        <v>11</v>
      </c>
      <c r="BY63" s="7">
        <v>58</v>
      </c>
      <c r="BZ63" s="7">
        <v>4</v>
      </c>
      <c r="CA63" s="7">
        <v>1</v>
      </c>
      <c r="CB63" s="7">
        <v>98</v>
      </c>
      <c r="CC63" s="7">
        <v>49</v>
      </c>
      <c r="CD63" s="7">
        <v>237</v>
      </c>
      <c r="CE63" s="7">
        <v>15</v>
      </c>
      <c r="CF63" s="7">
        <v>5</v>
      </c>
    </row>
    <row r="64" spans="1:84" x14ac:dyDescent="0.25">
      <c r="A64" s="15">
        <v>6</v>
      </c>
      <c r="B64" s="8" t="s">
        <v>314</v>
      </c>
      <c r="C64" s="57" t="s">
        <v>318</v>
      </c>
      <c r="D64" s="8" t="s">
        <v>749</v>
      </c>
      <c r="E64" s="8" t="s">
        <v>748</v>
      </c>
      <c r="F64" s="8" t="s">
        <v>234</v>
      </c>
      <c r="G64" s="8" t="s">
        <v>727</v>
      </c>
      <c r="H64" s="7">
        <v>35155960</v>
      </c>
      <c r="I64" s="7">
        <v>35189995</v>
      </c>
      <c r="J64" s="7">
        <v>1311816</v>
      </c>
      <c r="K64" s="12">
        <v>0</v>
      </c>
      <c r="L64" s="12">
        <v>794677</v>
      </c>
      <c r="M64" s="12">
        <v>12397611</v>
      </c>
      <c r="N64" s="12">
        <v>7321994</v>
      </c>
      <c r="O64" s="25">
        <f t="shared" si="11"/>
        <v>20514282</v>
      </c>
      <c r="P64" s="12">
        <v>0</v>
      </c>
      <c r="Q64" s="12">
        <v>434093</v>
      </c>
      <c r="R64" s="12">
        <v>2534953</v>
      </c>
      <c r="S64" s="12">
        <f t="shared" si="12"/>
        <v>2969046</v>
      </c>
      <c r="T64" s="7">
        <v>4205420</v>
      </c>
      <c r="U64" s="7">
        <v>3941504</v>
      </c>
      <c r="V64" s="7">
        <v>0</v>
      </c>
      <c r="W64" s="7">
        <v>0</v>
      </c>
      <c r="X64" s="7">
        <v>33674111</v>
      </c>
      <c r="Y64" s="7" t="s">
        <v>695</v>
      </c>
      <c r="Z64" s="26">
        <v>0.1384</v>
      </c>
      <c r="AA64" s="7">
        <v>0</v>
      </c>
      <c r="AB64" s="26">
        <f>2041104/33674111</f>
        <v>6.061344871138543E-2</v>
      </c>
      <c r="AC64" s="7">
        <v>2036939</v>
      </c>
      <c r="AD64" s="7">
        <v>0</v>
      </c>
      <c r="AE64" s="7">
        <f>29960+2721+4019</f>
        <v>36700</v>
      </c>
      <c r="AF64" s="7">
        <v>610458</v>
      </c>
      <c r="AG64" s="7">
        <v>48038</v>
      </c>
      <c r="AH64" s="7">
        <v>127644</v>
      </c>
      <c r="AI64" s="7">
        <v>193845</v>
      </c>
      <c r="AJ64" s="7">
        <v>35829</v>
      </c>
      <c r="AK64" s="7">
        <v>131607</v>
      </c>
      <c r="AL64" s="7">
        <v>10750</v>
      </c>
      <c r="AM64" s="7">
        <v>23602</v>
      </c>
      <c r="AN64" s="7">
        <v>260176</v>
      </c>
      <c r="AO64" s="7">
        <f>32077+52255+63521</f>
        <v>147853</v>
      </c>
      <c r="AP64" s="7">
        <v>17044</v>
      </c>
      <c r="AQ64" s="7">
        <v>0</v>
      </c>
      <c r="AR64" s="7">
        <v>53576</v>
      </c>
      <c r="AS64" s="7">
        <v>98135</v>
      </c>
      <c r="AT64" s="7">
        <v>2593</v>
      </c>
      <c r="AU64" s="7">
        <v>0</v>
      </c>
      <c r="AV64" s="7">
        <v>1989942</v>
      </c>
      <c r="AW64" s="7">
        <v>2003818</v>
      </c>
      <c r="AX64" s="26">
        <f t="shared" si="10"/>
        <v>0</v>
      </c>
      <c r="AY64" s="7">
        <v>15904</v>
      </c>
      <c r="AZ64" s="7">
        <v>0</v>
      </c>
      <c r="BA64" s="7">
        <v>148368</v>
      </c>
      <c r="BB64" s="7">
        <v>0</v>
      </c>
      <c r="BC64" s="7">
        <v>182750</v>
      </c>
      <c r="BD64" s="7">
        <v>0</v>
      </c>
      <c r="BE64" s="7">
        <v>0</v>
      </c>
      <c r="BF64" s="7">
        <v>0</v>
      </c>
      <c r="BG64" s="7">
        <v>7326</v>
      </c>
      <c r="BH64" s="7">
        <v>2932</v>
      </c>
      <c r="BI64" s="7">
        <v>1442</v>
      </c>
      <c r="BJ64" s="7">
        <v>0</v>
      </c>
      <c r="BK64" s="7">
        <v>-88</v>
      </c>
      <c r="BL64" s="7">
        <v>-293</v>
      </c>
      <c r="BM64" s="7">
        <v>-1711</v>
      </c>
      <c r="BN64" s="7">
        <v>-2250</v>
      </c>
      <c r="BO64" s="7">
        <v>-4</v>
      </c>
      <c r="BP64" s="7">
        <f t="shared" si="13"/>
        <v>7354</v>
      </c>
      <c r="BQ64" s="1">
        <v>0</v>
      </c>
      <c r="BR64" s="7">
        <v>105</v>
      </c>
      <c r="BS64" s="7">
        <v>96</v>
      </c>
      <c r="BT64" s="7">
        <v>1131</v>
      </c>
      <c r="BU64" s="7">
        <v>55</v>
      </c>
      <c r="BV64" s="7">
        <v>0</v>
      </c>
      <c r="BW64" s="7">
        <v>1</v>
      </c>
      <c r="BX64" s="7">
        <v>2</v>
      </c>
      <c r="BY64" s="7">
        <v>17</v>
      </c>
      <c r="BZ64" s="7">
        <v>140</v>
      </c>
      <c r="CA64" s="7">
        <v>0</v>
      </c>
      <c r="CB64" s="7">
        <v>3</v>
      </c>
      <c r="CC64" s="7">
        <v>5</v>
      </c>
      <c r="CD64" s="7">
        <v>84</v>
      </c>
      <c r="CE64" s="7">
        <v>658</v>
      </c>
      <c r="CF64" s="7">
        <v>0</v>
      </c>
    </row>
    <row r="65" spans="1:84" x14ac:dyDescent="0.25">
      <c r="A65" s="15">
        <v>6</v>
      </c>
      <c r="B65" s="8" t="s">
        <v>559</v>
      </c>
      <c r="C65" s="57" t="s">
        <v>775</v>
      </c>
      <c r="D65" s="8" t="s">
        <v>457</v>
      </c>
      <c r="E65" s="8" t="s">
        <v>748</v>
      </c>
      <c r="F65" s="8" t="s">
        <v>551</v>
      </c>
      <c r="G65" s="8" t="s">
        <v>727</v>
      </c>
      <c r="H65" s="7">
        <v>25452170</v>
      </c>
      <c r="I65" s="7">
        <v>25477584</v>
      </c>
      <c r="J65" s="7">
        <v>1124518</v>
      </c>
      <c r="K65" s="12">
        <v>0</v>
      </c>
      <c r="L65" s="12">
        <v>627228</v>
      </c>
      <c r="M65" s="12">
        <v>11365975</v>
      </c>
      <c r="N65" s="12">
        <v>0</v>
      </c>
      <c r="O65" s="25">
        <f t="shared" si="11"/>
        <v>11993203</v>
      </c>
      <c r="P65" s="12">
        <v>0</v>
      </c>
      <c r="Q65" s="12">
        <v>1221376</v>
      </c>
      <c r="R65" s="12">
        <v>0</v>
      </c>
      <c r="S65" s="12">
        <f t="shared" si="12"/>
        <v>1221376</v>
      </c>
      <c r="T65" s="7">
        <v>6453726</v>
      </c>
      <c r="U65" s="7">
        <v>2275640</v>
      </c>
      <c r="V65" s="7">
        <v>0</v>
      </c>
      <c r="W65" s="7">
        <v>139071</v>
      </c>
      <c r="X65" s="7">
        <v>23788031</v>
      </c>
      <c r="Y65" s="7" t="s">
        <v>703</v>
      </c>
      <c r="Z65" s="26">
        <v>7.0207000000000006E-2</v>
      </c>
      <c r="AA65" s="7">
        <v>0</v>
      </c>
      <c r="AB65" s="26">
        <f>1704577/23648516</f>
        <v>7.2079660305111745E-2</v>
      </c>
      <c r="AC65" s="7">
        <v>1704571</v>
      </c>
      <c r="AD65" s="7">
        <v>5719</v>
      </c>
      <c r="AE65" s="7">
        <f>23286+2507+1088</f>
        <v>26881</v>
      </c>
      <c r="AF65" s="7">
        <v>885284</v>
      </c>
      <c r="AG65" s="7">
        <v>69491</v>
      </c>
      <c r="AH65" s="7">
        <v>139792</v>
      </c>
      <c r="AI65" s="7">
        <f>125483+0</f>
        <v>125483</v>
      </c>
      <c r="AJ65" s="7">
        <v>51300</v>
      </c>
      <c r="AK65" s="7">
        <v>55175</v>
      </c>
      <c r="AL65" s="7">
        <v>9750</v>
      </c>
      <c r="AM65" s="7">
        <v>0</v>
      </c>
      <c r="AN65" s="7">
        <v>66465</v>
      </c>
      <c r="AO65" s="7">
        <f>20804+23976+47296</f>
        <v>92076</v>
      </c>
      <c r="AP65" s="7">
        <v>20163</v>
      </c>
      <c r="AQ65" s="7">
        <v>929</v>
      </c>
      <c r="AR65" s="7">
        <v>16187</v>
      </c>
      <c r="AS65" s="7">
        <v>93456</v>
      </c>
      <c r="AT65" s="7">
        <v>19244</v>
      </c>
      <c r="AU65" s="7">
        <v>0</v>
      </c>
      <c r="AV65" s="7">
        <v>1758838</v>
      </c>
      <c r="AW65" s="7">
        <v>1759494</v>
      </c>
      <c r="AX65" s="26">
        <f t="shared" si="10"/>
        <v>0</v>
      </c>
      <c r="AY65" s="7">
        <v>4116</v>
      </c>
      <c r="AZ65" s="7">
        <v>0</v>
      </c>
      <c r="BA65" s="7">
        <v>148368</v>
      </c>
      <c r="BB65" s="7">
        <v>0</v>
      </c>
      <c r="BC65" s="7">
        <v>213841</v>
      </c>
      <c r="BD65" s="7">
        <v>0</v>
      </c>
      <c r="BE65" s="7">
        <v>0</v>
      </c>
      <c r="BF65" s="7">
        <v>0</v>
      </c>
      <c r="BG65" s="7">
        <v>5286</v>
      </c>
      <c r="BH65" s="7">
        <v>1693</v>
      </c>
      <c r="BI65" s="7">
        <v>0</v>
      </c>
      <c r="BJ65" s="7"/>
      <c r="BK65" s="7">
        <f>0+3+8-2</f>
        <v>9</v>
      </c>
      <c r="BL65" s="7">
        <v>-238</v>
      </c>
      <c r="BM65" s="7">
        <v>-743</v>
      </c>
      <c r="BN65" s="7">
        <v>-912</v>
      </c>
      <c r="BO65" s="7">
        <v>-9</v>
      </c>
      <c r="BP65" s="7">
        <f t="shared" si="13"/>
        <v>5086</v>
      </c>
      <c r="BQ65" s="1">
        <v>1</v>
      </c>
      <c r="BR65" s="7">
        <v>219</v>
      </c>
      <c r="BS65" s="7">
        <v>135</v>
      </c>
      <c r="BT65" s="7">
        <v>566</v>
      </c>
      <c r="BU65" s="7">
        <v>1</v>
      </c>
      <c r="BV65" s="7">
        <v>0</v>
      </c>
      <c r="BW65" s="7">
        <v>31</v>
      </c>
      <c r="BX65" s="7">
        <v>16</v>
      </c>
      <c r="BY65" s="7">
        <v>89</v>
      </c>
      <c r="BZ65" s="7">
        <v>14</v>
      </c>
      <c r="CA65" s="7">
        <v>0</v>
      </c>
      <c r="CB65" s="7">
        <v>67</v>
      </c>
      <c r="CC65" s="7">
        <v>34</v>
      </c>
      <c r="CD65" s="7">
        <v>196</v>
      </c>
      <c r="CE65" s="7">
        <v>55</v>
      </c>
      <c r="CF65" s="7">
        <v>0</v>
      </c>
    </row>
    <row r="66" spans="1:84" x14ac:dyDescent="0.25">
      <c r="A66" s="15">
        <v>6</v>
      </c>
      <c r="B66" s="1" t="s">
        <v>608</v>
      </c>
      <c r="C66" s="59" t="s">
        <v>729</v>
      </c>
      <c r="D66" s="1" t="s">
        <v>194</v>
      </c>
      <c r="E66" s="1" t="s">
        <v>748</v>
      </c>
      <c r="F66" s="8" t="s">
        <v>551</v>
      </c>
      <c r="G66" s="8" t="s">
        <v>727</v>
      </c>
      <c r="H66" s="7">
        <v>48148272</v>
      </c>
      <c r="I66" s="7">
        <v>48245390</v>
      </c>
      <c r="J66" s="7">
        <v>2876905</v>
      </c>
      <c r="K66" s="12">
        <v>0</v>
      </c>
      <c r="L66" s="12">
        <v>4630346</v>
      </c>
      <c r="M66" s="12">
        <v>16730012</v>
      </c>
      <c r="N66" s="12">
        <v>0</v>
      </c>
      <c r="O66" s="25">
        <f t="shared" si="11"/>
        <v>21360358</v>
      </c>
      <c r="P66" s="12">
        <v>0</v>
      </c>
      <c r="Q66" s="12">
        <v>4449374</v>
      </c>
      <c r="R66" s="12">
        <v>0</v>
      </c>
      <c r="S66" s="12">
        <f t="shared" si="12"/>
        <v>4449374</v>
      </c>
      <c r="T66" s="7">
        <v>9253077</v>
      </c>
      <c r="U66" s="7">
        <v>5626430</v>
      </c>
      <c r="V66" s="7">
        <v>0</v>
      </c>
      <c r="W66" s="7">
        <v>185889</v>
      </c>
      <c r="X66" s="7">
        <v>44734309</v>
      </c>
      <c r="Y66" s="7" t="s">
        <v>75</v>
      </c>
      <c r="Z66" s="26">
        <v>0.08</v>
      </c>
      <c r="AA66" s="7">
        <v>0</v>
      </c>
      <c r="AB66" s="26">
        <f>3786441/44476944</f>
        <v>8.5132670086326079E-2</v>
      </c>
      <c r="AC66" s="7">
        <v>3787705</v>
      </c>
      <c r="AD66" s="7">
        <v>0</v>
      </c>
      <c r="AE66" s="7">
        <f>97118+661</f>
        <v>97779</v>
      </c>
      <c r="AF66" s="7">
        <v>1505077</v>
      </c>
      <c r="AG66" s="7">
        <v>113825</v>
      </c>
      <c r="AH66" s="7">
        <v>338571</v>
      </c>
      <c r="AI66" s="7">
        <f>310195+35224</f>
        <v>345419</v>
      </c>
      <c r="AJ66" s="7">
        <v>84398</v>
      </c>
      <c r="AK66" s="7">
        <v>54605</v>
      </c>
      <c r="AL66" s="7">
        <v>11750</v>
      </c>
      <c r="AM66" s="7">
        <v>14250</v>
      </c>
      <c r="AN66" s="7">
        <v>0</v>
      </c>
      <c r="AO66" s="7">
        <f>41044+197325+89029</f>
        <v>327398</v>
      </c>
      <c r="AP66" s="7">
        <v>36330</v>
      </c>
      <c r="AQ66" s="7">
        <v>932</v>
      </c>
      <c r="AR66" s="7">
        <v>87146</v>
      </c>
      <c r="AS66" s="7">
        <v>1781</v>
      </c>
      <c r="AT66" s="7">
        <v>132903</v>
      </c>
      <c r="AU66" s="7">
        <v>0</v>
      </c>
      <c r="AV66" s="7">
        <v>4235732</v>
      </c>
      <c r="AW66" s="7">
        <v>4278713</v>
      </c>
      <c r="AX66" s="26">
        <f t="shared" si="10"/>
        <v>0</v>
      </c>
      <c r="AY66" s="7">
        <v>8403</v>
      </c>
      <c r="AZ66" s="7">
        <v>0</v>
      </c>
      <c r="BA66" s="7">
        <v>148368</v>
      </c>
      <c r="BB66" s="7">
        <v>0</v>
      </c>
      <c r="BC66" s="7">
        <v>245185</v>
      </c>
      <c r="BD66" s="7">
        <v>0</v>
      </c>
      <c r="BE66" s="7">
        <v>0</v>
      </c>
      <c r="BF66" s="7">
        <v>0</v>
      </c>
      <c r="BG66" s="7">
        <v>9653</v>
      </c>
      <c r="BH66" s="7">
        <v>6323</v>
      </c>
      <c r="BI66" s="7">
        <v>0</v>
      </c>
      <c r="BJ66" s="7">
        <v>0</v>
      </c>
      <c r="BK66" s="7">
        <f>2+47-16</f>
        <v>33</v>
      </c>
      <c r="BL66" s="7">
        <v>-377</v>
      </c>
      <c r="BM66" s="7">
        <v>-3527</v>
      </c>
      <c r="BN66" s="7">
        <v>-2027</v>
      </c>
      <c r="BO66" s="7">
        <v>0</v>
      </c>
      <c r="BP66" s="7">
        <f t="shared" si="13"/>
        <v>10078</v>
      </c>
      <c r="BQ66" s="1">
        <v>65</v>
      </c>
      <c r="BR66" s="7">
        <v>418</v>
      </c>
      <c r="BS66" s="7">
        <v>211</v>
      </c>
      <c r="BT66" s="7">
        <v>1416</v>
      </c>
      <c r="BU66" s="7">
        <v>136</v>
      </c>
      <c r="BV66" s="7">
        <v>112</v>
      </c>
      <c r="BW66" s="7">
        <v>4</v>
      </c>
      <c r="BX66" s="7">
        <v>6</v>
      </c>
      <c r="BY66" s="7">
        <v>26</v>
      </c>
      <c r="BZ66" s="7">
        <v>128</v>
      </c>
      <c r="CA66" s="7">
        <v>4</v>
      </c>
      <c r="CB66" s="7">
        <v>21</v>
      </c>
      <c r="CC66" s="7">
        <v>26</v>
      </c>
      <c r="CD66" s="7">
        <v>135</v>
      </c>
      <c r="CE66" s="7">
        <v>720</v>
      </c>
      <c r="CF66" s="7">
        <v>88</v>
      </c>
    </row>
    <row r="67" spans="1:84" x14ac:dyDescent="0.25">
      <c r="A67" s="15">
        <v>6</v>
      </c>
      <c r="B67" s="8" t="s">
        <v>742</v>
      </c>
      <c r="C67" s="57" t="s">
        <v>730</v>
      </c>
      <c r="D67" s="8" t="s">
        <v>278</v>
      </c>
      <c r="E67" s="8" t="s">
        <v>748</v>
      </c>
      <c r="F67" s="8" t="s">
        <v>551</v>
      </c>
      <c r="G67" s="8" t="s">
        <v>727</v>
      </c>
      <c r="H67" s="7">
        <v>46844752</v>
      </c>
      <c r="I67" s="7">
        <v>46937098</v>
      </c>
      <c r="J67" s="7">
        <v>2035676</v>
      </c>
      <c r="K67" s="12">
        <v>0</v>
      </c>
      <c r="L67" s="12">
        <v>3230320</v>
      </c>
      <c r="M67" s="12">
        <v>19772619</v>
      </c>
      <c r="N67" s="12">
        <v>0</v>
      </c>
      <c r="O67" s="25">
        <f t="shared" si="11"/>
        <v>23002939</v>
      </c>
      <c r="P67" s="12">
        <v>0</v>
      </c>
      <c r="Q67" s="12">
        <v>4602262</v>
      </c>
      <c r="R67" s="12">
        <v>0</v>
      </c>
      <c r="S67" s="12">
        <f t="shared" si="12"/>
        <v>4602262</v>
      </c>
      <c r="T67" s="12">
        <v>7422708</v>
      </c>
      <c r="U67" s="7">
        <v>5520677</v>
      </c>
      <c r="V67" s="7">
        <v>0</v>
      </c>
      <c r="W67" s="7">
        <v>263260</v>
      </c>
      <c r="X67" s="7">
        <v>43499742</v>
      </c>
      <c r="Y67" s="7" t="s">
        <v>285</v>
      </c>
      <c r="Z67" s="26">
        <v>8.7999999999999995E-2</v>
      </c>
      <c r="AA67" s="7">
        <v>0</v>
      </c>
      <c r="AB67" s="26">
        <f>2687554/43236482</f>
        <v>6.2159405106086106E-2</v>
      </c>
      <c r="AC67" s="7">
        <v>2687896</v>
      </c>
      <c r="AD67" s="7">
        <v>0</v>
      </c>
      <c r="AE67" s="7">
        <f>90066+19228+949</f>
        <v>110243</v>
      </c>
      <c r="AF67" s="7">
        <v>1213526</v>
      </c>
      <c r="AG67" s="7">
        <v>97472</v>
      </c>
      <c r="AH67" s="7">
        <v>251781</v>
      </c>
      <c r="AI67" s="7">
        <v>257217</v>
      </c>
      <c r="AJ67" s="7">
        <v>52500</v>
      </c>
      <c r="AK67" s="7">
        <v>73204</v>
      </c>
      <c r="AL67" s="7">
        <v>9750</v>
      </c>
      <c r="AM67" s="7">
        <v>100600</v>
      </c>
      <c r="AN67" s="7">
        <v>202933</v>
      </c>
      <c r="AO67" s="7">
        <f>38621+47000+54493</f>
        <v>140114</v>
      </c>
      <c r="AP67" s="7">
        <v>28722</v>
      </c>
      <c r="AQ67" s="7">
        <v>19</v>
      </c>
      <c r="AR67" s="7">
        <v>72861</v>
      </c>
      <c r="AS67" s="7">
        <v>50966</v>
      </c>
      <c r="AT67" s="7">
        <v>70298</v>
      </c>
      <c r="AU67" s="7">
        <v>28349</v>
      </c>
      <c r="AV67" s="7">
        <v>2980319</v>
      </c>
      <c r="AW67" s="7">
        <v>3026554</v>
      </c>
      <c r="AX67" s="26">
        <f t="shared" si="10"/>
        <v>9.5120690100623465E-3</v>
      </c>
      <c r="AY67" s="7">
        <v>6517</v>
      </c>
      <c r="AZ67" s="7">
        <v>0</v>
      </c>
      <c r="BA67" s="7">
        <v>148368</v>
      </c>
      <c r="BB67" s="7">
        <v>0</v>
      </c>
      <c r="BC67" s="7">
        <v>367939</v>
      </c>
      <c r="BD67" s="7">
        <v>0</v>
      </c>
      <c r="BE67" s="7">
        <v>0</v>
      </c>
      <c r="BF67" s="7">
        <v>0</v>
      </c>
      <c r="BG67" s="7">
        <v>9496</v>
      </c>
      <c r="BH67" s="7">
        <v>5207</v>
      </c>
      <c r="BI67" s="7">
        <v>0</v>
      </c>
      <c r="BJ67" s="7">
        <v>0</v>
      </c>
      <c r="BK67" s="7">
        <f>3+52-1-171</f>
        <v>-117</v>
      </c>
      <c r="BL67" s="7">
        <v>-269</v>
      </c>
      <c r="BM67" s="7">
        <v>-2519</v>
      </c>
      <c r="BN67" s="7">
        <v>-1355</v>
      </c>
      <c r="BO67" s="7">
        <v>-3</v>
      </c>
      <c r="BP67" s="7">
        <f t="shared" si="13"/>
        <v>10440</v>
      </c>
      <c r="BQ67" s="1">
        <v>2</v>
      </c>
      <c r="BR67" s="7">
        <v>173</v>
      </c>
      <c r="BS67" s="7">
        <v>103</v>
      </c>
      <c r="BT67" s="7">
        <v>1014</v>
      </c>
      <c r="BU67" s="7">
        <v>22</v>
      </c>
      <c r="BV67" s="7">
        <v>46</v>
      </c>
      <c r="BW67" s="7">
        <v>2</v>
      </c>
      <c r="BX67" s="7">
        <v>2</v>
      </c>
      <c r="BY67" s="7">
        <v>34</v>
      </c>
      <c r="BZ67" s="7">
        <v>99</v>
      </c>
      <c r="CA67" s="7">
        <v>1</v>
      </c>
      <c r="CB67" s="7">
        <v>3</v>
      </c>
      <c r="CC67" s="7">
        <v>7</v>
      </c>
      <c r="CD67" s="7">
        <v>90</v>
      </c>
      <c r="CE67" s="7">
        <v>678</v>
      </c>
      <c r="CF67" s="7">
        <v>31</v>
      </c>
    </row>
    <row r="68" spans="1:84" x14ac:dyDescent="0.25">
      <c r="A68" s="15">
        <v>6</v>
      </c>
      <c r="B68" s="8" t="s">
        <v>798</v>
      </c>
      <c r="C68" s="57" t="s">
        <v>646</v>
      </c>
      <c r="D68" s="8" t="s">
        <v>457</v>
      </c>
      <c r="E68" s="8" t="s">
        <v>748</v>
      </c>
      <c r="F68" s="8" t="s">
        <v>551</v>
      </c>
      <c r="G68" s="8" t="s">
        <v>727</v>
      </c>
      <c r="H68" s="7">
        <v>8251797</v>
      </c>
      <c r="I68" s="7">
        <v>8259922</v>
      </c>
      <c r="J68" s="7">
        <v>223112</v>
      </c>
      <c r="K68" s="12">
        <v>0</v>
      </c>
      <c r="L68" s="12">
        <v>302216</v>
      </c>
      <c r="M68" s="12">
        <v>4126487</v>
      </c>
      <c r="N68" s="12">
        <v>0</v>
      </c>
      <c r="O68" s="25">
        <f t="shared" si="11"/>
        <v>4428703</v>
      </c>
      <c r="P68" s="12">
        <v>0</v>
      </c>
      <c r="Q68" s="12">
        <v>305959</v>
      </c>
      <c r="R68" s="12">
        <v>0</v>
      </c>
      <c r="S68" s="12">
        <f t="shared" si="12"/>
        <v>305959</v>
      </c>
      <c r="T68" s="7">
        <v>2082071</v>
      </c>
      <c r="U68" s="7">
        <v>575607</v>
      </c>
      <c r="V68" s="7">
        <v>0</v>
      </c>
      <c r="W68" s="7">
        <v>32455</v>
      </c>
      <c r="X68" s="7">
        <v>8090737</v>
      </c>
      <c r="Y68" s="7" t="s">
        <v>458</v>
      </c>
      <c r="Z68" s="26">
        <v>2.7671999999999999E-2</v>
      </c>
      <c r="AA68" s="7">
        <v>0</v>
      </c>
      <c r="AB68" s="26">
        <f>665941/8058282</f>
        <v>8.2640567803410211E-2</v>
      </c>
      <c r="AC68" s="7">
        <v>665942</v>
      </c>
      <c r="AD68" s="7">
        <v>0</v>
      </c>
      <c r="AE68" s="7">
        <f>7493+849+1068</f>
        <v>9410</v>
      </c>
      <c r="AF68" s="7">
        <v>250153</v>
      </c>
      <c r="AG68" s="7">
        <v>19791</v>
      </c>
      <c r="AH68" s="7">
        <v>28853</v>
      </c>
      <c r="AI68" s="7">
        <f>48285+0</f>
        <v>48285</v>
      </c>
      <c r="AJ68" s="7">
        <v>34960</v>
      </c>
      <c r="AK68" s="7">
        <v>22799</v>
      </c>
      <c r="AL68" s="7">
        <v>5750</v>
      </c>
      <c r="AM68" s="7">
        <v>0</v>
      </c>
      <c r="AN68" s="7">
        <v>36540</v>
      </c>
      <c r="AO68" s="7">
        <f>5086+7920+22908</f>
        <v>35914</v>
      </c>
      <c r="AP68" s="7">
        <v>11962</v>
      </c>
      <c r="AQ68" s="7">
        <v>729</v>
      </c>
      <c r="AR68" s="7">
        <v>7430</v>
      </c>
      <c r="AS68" s="7">
        <v>0</v>
      </c>
      <c r="AT68" s="7">
        <v>4343</v>
      </c>
      <c r="AU68" s="7">
        <v>0</v>
      </c>
      <c r="AV68" s="7">
        <v>565470</v>
      </c>
      <c r="AW68" s="7">
        <v>609200</v>
      </c>
      <c r="AX68" s="26">
        <f t="shared" ref="AX68:AX99" si="14">AU68/AV68</f>
        <v>0</v>
      </c>
      <c r="AY68" s="7">
        <v>1283</v>
      </c>
      <c r="AZ68" s="7">
        <v>0</v>
      </c>
      <c r="BA68" s="7">
        <v>148368</v>
      </c>
      <c r="BB68" s="7">
        <v>0</v>
      </c>
      <c r="BC68" s="7">
        <v>79827</v>
      </c>
      <c r="BD68" s="7">
        <v>0</v>
      </c>
      <c r="BE68" s="7">
        <v>0</v>
      </c>
      <c r="BF68" s="7">
        <v>0</v>
      </c>
      <c r="BG68" s="7">
        <v>1638</v>
      </c>
      <c r="BH68" s="7">
        <v>438</v>
      </c>
      <c r="BI68" s="1">
        <v>1</v>
      </c>
      <c r="BJ68" s="1"/>
      <c r="BK68" s="7">
        <f>-1+1+2-2</f>
        <v>0</v>
      </c>
      <c r="BL68" s="7">
        <v>-110</v>
      </c>
      <c r="BM68" s="7">
        <v>-194</v>
      </c>
      <c r="BN68" s="7">
        <v>-336</v>
      </c>
      <c r="BO68" s="7">
        <v>-1</v>
      </c>
      <c r="BP68" s="7">
        <f t="shared" si="13"/>
        <v>1436</v>
      </c>
      <c r="BQ68" s="1">
        <v>0</v>
      </c>
      <c r="BR68" s="7">
        <v>134</v>
      </c>
      <c r="BS68" s="3">
        <v>57</v>
      </c>
      <c r="BT68" s="7">
        <v>139</v>
      </c>
      <c r="BU68" s="7">
        <v>0</v>
      </c>
      <c r="BV68" s="7">
        <v>6</v>
      </c>
      <c r="BW68" s="7">
        <v>0</v>
      </c>
      <c r="BX68" s="7">
        <v>0</v>
      </c>
      <c r="BY68" s="7">
        <v>33</v>
      </c>
      <c r="BZ68" s="7">
        <v>34</v>
      </c>
      <c r="CA68" s="7">
        <v>1</v>
      </c>
      <c r="CB68" s="7">
        <v>5</v>
      </c>
      <c r="CC68" s="7">
        <v>3</v>
      </c>
      <c r="CD68" s="7">
        <v>29</v>
      </c>
      <c r="CE68" s="7">
        <v>58</v>
      </c>
      <c r="CF68" s="7">
        <v>2</v>
      </c>
    </row>
    <row r="69" spans="1:84" x14ac:dyDescent="0.25">
      <c r="A69" s="15">
        <v>7</v>
      </c>
      <c r="B69" s="8" t="s">
        <v>103</v>
      </c>
      <c r="C69" s="57" t="s">
        <v>158</v>
      </c>
      <c r="D69" s="8" t="s">
        <v>185</v>
      </c>
      <c r="E69" s="8" t="s">
        <v>748</v>
      </c>
      <c r="F69" s="8" t="s">
        <v>693</v>
      </c>
      <c r="G69" s="8" t="s">
        <v>727</v>
      </c>
      <c r="H69" s="7">
        <v>25320118</v>
      </c>
      <c r="I69" s="7">
        <v>25369849</v>
      </c>
      <c r="J69" s="7">
        <v>777099</v>
      </c>
      <c r="K69" s="12">
        <v>71501</v>
      </c>
      <c r="L69" s="2">
        <v>1505930</v>
      </c>
      <c r="M69" s="2">
        <v>11860318</v>
      </c>
      <c r="N69" s="12">
        <v>0</v>
      </c>
      <c r="O69" s="25">
        <f t="shared" si="11"/>
        <v>13437749</v>
      </c>
      <c r="P69" s="12">
        <v>0</v>
      </c>
      <c r="Q69" s="2">
        <v>769311</v>
      </c>
      <c r="R69" s="12">
        <v>1135155</v>
      </c>
      <c r="S69" s="12">
        <f t="shared" si="12"/>
        <v>1904466</v>
      </c>
      <c r="T69" s="7">
        <v>3739001</v>
      </c>
      <c r="U69" s="7">
        <v>2810256</v>
      </c>
      <c r="V69" s="7">
        <v>0</v>
      </c>
      <c r="W69" s="7">
        <v>0</v>
      </c>
      <c r="X69" s="7">
        <v>24189381</v>
      </c>
      <c r="Y69" s="7" t="s">
        <v>39</v>
      </c>
      <c r="Z69" s="26">
        <v>7.5300000000000006E-2</v>
      </c>
      <c r="AA69" s="7">
        <v>0</v>
      </c>
      <c r="AB69" s="26">
        <f>2297991/24189381</f>
        <v>9.4999991938611403E-2</v>
      </c>
      <c r="AC69" s="7">
        <v>2297909</v>
      </c>
      <c r="AD69" s="7">
        <v>0</v>
      </c>
      <c r="AE69" s="7">
        <f>46195+6461+3732</f>
        <v>56388</v>
      </c>
      <c r="AF69" s="7">
        <v>941363</v>
      </c>
      <c r="AG69" s="7">
        <v>81072</v>
      </c>
      <c r="AH69" s="7">
        <v>313144</v>
      </c>
      <c r="AI69" s="7">
        <v>109982</v>
      </c>
      <c r="AJ69" s="7">
        <v>42000</v>
      </c>
      <c r="AK69" s="7">
        <v>37601</v>
      </c>
      <c r="AL69" s="7">
        <v>11000</v>
      </c>
      <c r="AM69" s="7">
        <v>62309</v>
      </c>
      <c r="AN69" s="7">
        <v>96916</v>
      </c>
      <c r="AO69" s="7">
        <f>12839+18737+84026</f>
        <v>115602</v>
      </c>
      <c r="AP69" s="7">
        <v>25587</v>
      </c>
      <c r="AQ69" s="7">
        <v>0</v>
      </c>
      <c r="AR69" s="7">
        <v>14414</v>
      </c>
      <c r="AS69" s="7">
        <v>240</v>
      </c>
      <c r="AT69" s="7">
        <v>165395</v>
      </c>
      <c r="AU69" s="7">
        <v>77521</v>
      </c>
      <c r="AV69" s="7">
        <v>2127081</v>
      </c>
      <c r="AW69" s="7">
        <v>2190001</v>
      </c>
      <c r="AX69" s="26">
        <f t="shared" si="14"/>
        <v>3.64447804291421E-2</v>
      </c>
      <c r="AY69" s="7">
        <v>649</v>
      </c>
      <c r="AZ69" s="7">
        <v>0</v>
      </c>
      <c r="BA69" s="7">
        <v>148368</v>
      </c>
      <c r="BB69" s="7">
        <v>0</v>
      </c>
      <c r="BC69" s="7">
        <v>316372</v>
      </c>
      <c r="BD69" s="7">
        <v>0</v>
      </c>
      <c r="BE69" s="7">
        <v>0</v>
      </c>
      <c r="BF69" s="7">
        <v>0</v>
      </c>
      <c r="BG69" s="7">
        <v>5844</v>
      </c>
      <c r="BH69" s="7">
        <v>2200</v>
      </c>
      <c r="BI69" s="1">
        <v>0</v>
      </c>
      <c r="BJ69" s="1">
        <v>0</v>
      </c>
      <c r="BK69" s="7">
        <f>15-3</f>
        <v>12</v>
      </c>
      <c r="BL69" s="7">
        <v>-120</v>
      </c>
      <c r="BM69" s="7">
        <v>-943</v>
      </c>
      <c r="BN69" s="7">
        <v>-891</v>
      </c>
      <c r="BO69" s="7">
        <v>-9</v>
      </c>
      <c r="BP69" s="7">
        <f t="shared" si="13"/>
        <v>6093</v>
      </c>
      <c r="BQ69" s="1">
        <v>89</v>
      </c>
      <c r="BR69" s="7">
        <v>182</v>
      </c>
      <c r="BS69" s="7">
        <v>122</v>
      </c>
      <c r="BT69" s="7">
        <v>557</v>
      </c>
      <c r="BU69" s="7">
        <v>2</v>
      </c>
      <c r="BV69" s="7">
        <v>37</v>
      </c>
      <c r="BW69" s="7">
        <v>1</v>
      </c>
      <c r="BX69" s="7">
        <v>0</v>
      </c>
      <c r="BY69" s="7">
        <v>22</v>
      </c>
      <c r="BZ69" s="7">
        <v>47</v>
      </c>
      <c r="CA69" s="7">
        <v>2</v>
      </c>
      <c r="CB69" s="7">
        <v>11</v>
      </c>
      <c r="CC69" s="7">
        <v>8</v>
      </c>
      <c r="CD69" s="7">
        <v>58</v>
      </c>
      <c r="CE69" s="7">
        <v>451</v>
      </c>
      <c r="CF69" s="7">
        <v>44</v>
      </c>
    </row>
    <row r="70" spans="1:84" x14ac:dyDescent="0.25">
      <c r="A70" s="15">
        <v>7</v>
      </c>
      <c r="B70" s="8" t="s">
        <v>107</v>
      </c>
      <c r="C70" s="57" t="s">
        <v>599</v>
      </c>
      <c r="D70" s="8" t="s">
        <v>241</v>
      </c>
      <c r="E70" s="8" t="s">
        <v>748</v>
      </c>
      <c r="F70" s="8" t="s">
        <v>787</v>
      </c>
      <c r="G70" s="8" t="s">
        <v>727</v>
      </c>
      <c r="H70" s="7">
        <v>25088809</v>
      </c>
      <c r="I70" s="7">
        <v>25091047</v>
      </c>
      <c r="J70" s="7">
        <v>719411</v>
      </c>
      <c r="K70" s="12">
        <v>0</v>
      </c>
      <c r="L70" s="12">
        <v>1091083</v>
      </c>
      <c r="M70" s="12">
        <v>8723809</v>
      </c>
      <c r="N70" s="12">
        <v>0</v>
      </c>
      <c r="O70" s="25">
        <f t="shared" si="11"/>
        <v>9814892</v>
      </c>
      <c r="P70" s="12">
        <v>0</v>
      </c>
      <c r="Q70" s="12">
        <v>1198671</v>
      </c>
      <c r="R70" s="12">
        <v>0</v>
      </c>
      <c r="S70" s="12">
        <f t="shared" si="12"/>
        <v>1198671</v>
      </c>
      <c r="T70" s="7">
        <v>8418425</v>
      </c>
      <c r="U70" s="7">
        <v>2869252</v>
      </c>
      <c r="V70" s="7">
        <v>0</v>
      </c>
      <c r="W70" s="7">
        <v>0</v>
      </c>
      <c r="X70" s="7">
        <v>23977953</v>
      </c>
      <c r="Y70" s="7" t="s">
        <v>531</v>
      </c>
      <c r="Z70" s="26">
        <v>5.1999999999999998E-2</v>
      </c>
      <c r="AA70" s="7">
        <v>0</v>
      </c>
      <c r="AB70" s="26">
        <f>1476292/23977953</f>
        <v>6.1568725236887403E-2</v>
      </c>
      <c r="AC70" s="7">
        <v>1474043</v>
      </c>
      <c r="AD70" s="7">
        <v>0</v>
      </c>
      <c r="AE70" s="7">
        <f>2238+1283</f>
        <v>3521</v>
      </c>
      <c r="AF70" s="7">
        <v>502124</v>
      </c>
      <c r="AG70" s="7">
        <v>40909</v>
      </c>
      <c r="AH70" s="7">
        <v>164257</v>
      </c>
      <c r="AI70" s="7">
        <f>57709+11440</f>
        <v>69149</v>
      </c>
      <c r="AJ70" s="7">
        <v>43496</v>
      </c>
      <c r="AK70" s="7">
        <v>52972</v>
      </c>
      <c r="AL70" s="7">
        <v>10000</v>
      </c>
      <c r="AM70" s="7">
        <v>11676</v>
      </c>
      <c r="AN70" s="7">
        <v>103208</v>
      </c>
      <c r="AO70" s="7">
        <f>12142+70238+81719</f>
        <v>164099</v>
      </c>
      <c r="AP70" s="7">
        <v>19204</v>
      </c>
      <c r="AQ70" s="7">
        <v>0</v>
      </c>
      <c r="AR70" s="7">
        <v>22500</v>
      </c>
      <c r="AS70" s="7">
        <v>6818</v>
      </c>
      <c r="AT70" s="7">
        <v>76188</v>
      </c>
      <c r="AU70" s="7">
        <v>0</v>
      </c>
      <c r="AV70" s="7">
        <v>1363366</v>
      </c>
      <c r="AW70" s="7">
        <v>1375566</v>
      </c>
      <c r="AX70" s="26">
        <f t="shared" si="14"/>
        <v>0</v>
      </c>
      <c r="AY70" s="7">
        <v>191</v>
      </c>
      <c r="AZ70" s="7">
        <v>0</v>
      </c>
      <c r="BA70" s="7">
        <v>148368</v>
      </c>
      <c r="BB70" s="7">
        <v>0</v>
      </c>
      <c r="BC70" s="7">
        <v>187237</v>
      </c>
      <c r="BD70" s="7">
        <v>0</v>
      </c>
      <c r="BE70" s="7">
        <v>0</v>
      </c>
      <c r="BF70" s="7">
        <v>0</v>
      </c>
      <c r="BG70" s="7">
        <v>6131</v>
      </c>
      <c r="BH70" s="7">
        <v>2047</v>
      </c>
      <c r="BI70" s="7">
        <v>0</v>
      </c>
      <c r="BJ70" s="7">
        <v>0</v>
      </c>
      <c r="BK70" s="7">
        <v>0</v>
      </c>
      <c r="BL70" s="7">
        <v>-162</v>
      </c>
      <c r="BM70" s="7">
        <v>-999</v>
      </c>
      <c r="BN70" s="7">
        <v>-1060</v>
      </c>
      <c r="BO70" s="7">
        <v>0</v>
      </c>
      <c r="BP70" s="7">
        <f t="shared" si="13"/>
        <v>5957</v>
      </c>
      <c r="BQ70" s="1">
        <v>7</v>
      </c>
      <c r="BR70" s="7">
        <v>246</v>
      </c>
      <c r="BS70" s="7">
        <v>264</v>
      </c>
      <c r="BT70" s="7">
        <v>526</v>
      </c>
      <c r="BU70" s="7">
        <v>0</v>
      </c>
      <c r="BV70" s="7">
        <v>0</v>
      </c>
      <c r="BW70" s="7">
        <v>1</v>
      </c>
      <c r="BX70" s="7">
        <v>3</v>
      </c>
      <c r="BY70" s="7">
        <v>60</v>
      </c>
      <c r="BZ70" s="7">
        <v>84</v>
      </c>
      <c r="CA70" s="7">
        <v>0</v>
      </c>
      <c r="CB70" s="7">
        <v>14</v>
      </c>
      <c r="CC70" s="7">
        <v>19</v>
      </c>
      <c r="CD70" s="7">
        <v>166</v>
      </c>
      <c r="CE70" s="7">
        <v>610</v>
      </c>
      <c r="CF70" s="7">
        <v>0</v>
      </c>
    </row>
    <row r="71" spans="1:84" x14ac:dyDescent="0.25">
      <c r="A71" s="15">
        <v>7</v>
      </c>
      <c r="B71" s="8" t="s">
        <v>331</v>
      </c>
      <c r="C71" s="57" t="s">
        <v>794</v>
      </c>
      <c r="D71" s="8" t="s">
        <v>345</v>
      </c>
      <c r="E71" s="8" t="s">
        <v>748</v>
      </c>
      <c r="F71" s="8" t="s">
        <v>693</v>
      </c>
      <c r="G71" s="8" t="s">
        <v>727</v>
      </c>
      <c r="H71" s="7">
        <v>21844591</v>
      </c>
      <c r="I71" s="7">
        <v>21860810</v>
      </c>
      <c r="J71" s="7">
        <v>748078</v>
      </c>
      <c r="K71" s="12">
        <v>0</v>
      </c>
      <c r="L71" s="12">
        <v>3076291</v>
      </c>
      <c r="M71" s="12">
        <v>0</v>
      </c>
      <c r="N71" s="12">
        <v>8670684</v>
      </c>
      <c r="O71" s="25">
        <f t="shared" si="11"/>
        <v>11746975</v>
      </c>
      <c r="P71" s="12">
        <v>0</v>
      </c>
      <c r="Q71" s="12">
        <v>0</v>
      </c>
      <c r="R71" s="12">
        <v>2271953</v>
      </c>
      <c r="S71" s="12">
        <f t="shared" si="12"/>
        <v>2271953</v>
      </c>
      <c r="T71" s="7">
        <v>2594280</v>
      </c>
      <c r="U71" s="7">
        <v>2088300</v>
      </c>
      <c r="V71" s="7">
        <v>0</v>
      </c>
      <c r="W71" s="7">
        <v>0</v>
      </c>
      <c r="X71" s="7">
        <v>20742637</v>
      </c>
      <c r="Y71" s="7" t="s">
        <v>531</v>
      </c>
      <c r="Z71" s="26">
        <v>0.1</v>
      </c>
      <c r="AA71" s="7">
        <v>0</v>
      </c>
      <c r="AB71" s="26">
        <f>1978622/20607803</f>
        <v>9.6013243139018753E-2</v>
      </c>
      <c r="AC71" s="7">
        <v>1978377</v>
      </c>
      <c r="AD71" s="7">
        <v>0</v>
      </c>
      <c r="AE71" s="7">
        <f>16219+574</f>
        <v>16793</v>
      </c>
      <c r="AF71" s="7">
        <v>850398</v>
      </c>
      <c r="AG71" s="7">
        <v>70986</v>
      </c>
      <c r="AH71" s="7">
        <v>227183</v>
      </c>
      <c r="AI71" s="7">
        <v>138584</v>
      </c>
      <c r="AJ71" s="7">
        <v>2687</v>
      </c>
      <c r="AK71" s="7">
        <v>34001</v>
      </c>
      <c r="AL71" s="7">
        <v>10300</v>
      </c>
      <c r="AM71" s="7">
        <v>64817</v>
      </c>
      <c r="AN71" s="7">
        <v>2794</v>
      </c>
      <c r="AO71" s="7">
        <f>17340+65833+47991</f>
        <v>131164</v>
      </c>
      <c r="AP71" s="7">
        <v>18129</v>
      </c>
      <c r="AQ71" s="7">
        <v>0</v>
      </c>
      <c r="AR71" s="7">
        <v>49087</v>
      </c>
      <c r="AS71" s="7">
        <v>9318</v>
      </c>
      <c r="AT71" s="7">
        <v>64140</v>
      </c>
      <c r="AU71" s="7">
        <v>89766</v>
      </c>
      <c r="AV71" s="7">
        <v>1758916</v>
      </c>
      <c r="AW71" s="7">
        <v>1808570</v>
      </c>
      <c r="AX71" s="26">
        <f t="shared" si="14"/>
        <v>5.1034841913997028E-2</v>
      </c>
      <c r="AY71" s="7">
        <v>500</v>
      </c>
      <c r="AZ71" s="7">
        <v>0</v>
      </c>
      <c r="BA71" s="7">
        <v>148368</v>
      </c>
      <c r="BB71" s="7">
        <v>0</v>
      </c>
      <c r="BC71" s="7">
        <v>236712</v>
      </c>
      <c r="BD71" s="7">
        <v>0</v>
      </c>
      <c r="BE71" s="7">
        <v>0</v>
      </c>
      <c r="BF71" s="7">
        <v>0</v>
      </c>
      <c r="BG71" s="7">
        <v>4601</v>
      </c>
      <c r="BH71" s="7">
        <v>2932</v>
      </c>
      <c r="BI71" s="7">
        <v>0</v>
      </c>
      <c r="BJ71" s="7">
        <v>0</v>
      </c>
      <c r="BK71" s="7">
        <v>-2</v>
      </c>
      <c r="BL71" s="7">
        <v>-249</v>
      </c>
      <c r="BM71" s="7">
        <v>-1633</v>
      </c>
      <c r="BN71" s="7">
        <v>-607</v>
      </c>
      <c r="BO71" s="7">
        <v>-1</v>
      </c>
      <c r="BP71" s="7">
        <f t="shared" si="13"/>
        <v>5041</v>
      </c>
      <c r="BQ71" s="1">
        <v>19</v>
      </c>
      <c r="BR71" s="7">
        <v>44</v>
      </c>
      <c r="BS71" s="7">
        <v>33</v>
      </c>
      <c r="BT71" s="7">
        <v>491</v>
      </c>
      <c r="BU71" s="7">
        <v>13</v>
      </c>
      <c r="BV71" s="7">
        <v>26</v>
      </c>
      <c r="BW71" s="7">
        <v>0</v>
      </c>
      <c r="BX71" s="7">
        <v>0</v>
      </c>
      <c r="BY71" s="7">
        <v>21</v>
      </c>
      <c r="BZ71" s="7">
        <v>114</v>
      </c>
      <c r="CA71" s="7">
        <v>4</v>
      </c>
      <c r="CB71" s="7">
        <v>2</v>
      </c>
      <c r="CC71" s="7">
        <v>4</v>
      </c>
      <c r="CD71" s="7">
        <v>51</v>
      </c>
      <c r="CE71" s="7">
        <v>786</v>
      </c>
      <c r="CF71" s="7">
        <v>59</v>
      </c>
    </row>
    <row r="72" spans="1:84" x14ac:dyDescent="0.25">
      <c r="A72" s="15">
        <v>7</v>
      </c>
      <c r="B72" s="8" t="s">
        <v>333</v>
      </c>
      <c r="C72" s="57" t="s">
        <v>621</v>
      </c>
      <c r="D72" s="8" t="s">
        <v>62</v>
      </c>
      <c r="E72" s="8" t="s">
        <v>748</v>
      </c>
      <c r="F72" s="8" t="s">
        <v>787</v>
      </c>
      <c r="G72" s="8" t="s">
        <v>727</v>
      </c>
      <c r="H72" s="7">
        <v>39674338</v>
      </c>
      <c r="I72" s="7">
        <v>39731632</v>
      </c>
      <c r="J72" s="7">
        <v>1642811</v>
      </c>
      <c r="K72" s="12">
        <v>0</v>
      </c>
      <c r="L72" s="12">
        <v>3104694</v>
      </c>
      <c r="M72" s="12">
        <v>15713264</v>
      </c>
      <c r="N72" s="12">
        <v>0</v>
      </c>
      <c r="O72" s="25">
        <f t="shared" si="11"/>
        <v>18817958</v>
      </c>
      <c r="P72" s="12">
        <v>109765</v>
      </c>
      <c r="Q72" s="12">
        <v>2359676</v>
      </c>
      <c r="R72" s="12">
        <v>0</v>
      </c>
      <c r="S72" s="12">
        <f t="shared" si="12"/>
        <v>2469441</v>
      </c>
      <c r="T72" s="7">
        <v>10477027</v>
      </c>
      <c r="U72" s="7">
        <v>2886728</v>
      </c>
      <c r="V72" s="7">
        <v>0</v>
      </c>
      <c r="W72" s="7">
        <v>0</v>
      </c>
      <c r="X72" s="7">
        <v>37483669</v>
      </c>
      <c r="Y72" s="7" t="s">
        <v>284</v>
      </c>
      <c r="Z72" s="26">
        <v>3.8199999999999998E-2</v>
      </c>
      <c r="AA72" s="7">
        <v>0</v>
      </c>
      <c r="AB72" s="26">
        <f>2830226/37445430</f>
        <v>7.5582681251089925E-2</v>
      </c>
      <c r="AC72" s="7">
        <v>2832515</v>
      </c>
      <c r="AD72" s="7">
        <v>0</v>
      </c>
      <c r="AE72" s="7">
        <f>57294+4082</f>
        <v>61376</v>
      </c>
      <c r="AF72" s="7">
        <v>953440</v>
      </c>
      <c r="AG72" s="7">
        <v>76236</v>
      </c>
      <c r="AH72" s="7">
        <v>216449</v>
      </c>
      <c r="AI72" s="7">
        <v>288065</v>
      </c>
      <c r="AJ72" s="7">
        <v>0</v>
      </c>
      <c r="AK72" s="7">
        <v>48288</v>
      </c>
      <c r="AL72" s="7">
        <v>11100</v>
      </c>
      <c r="AM72" s="7">
        <v>38171</v>
      </c>
      <c r="AN72" s="7">
        <v>66103</v>
      </c>
      <c r="AO72" s="7">
        <f>26425+53903+60844</f>
        <v>141172</v>
      </c>
      <c r="AP72" s="7">
        <v>16763</v>
      </c>
      <c r="AQ72" s="7">
        <v>0</v>
      </c>
      <c r="AR72" s="7">
        <v>7832</v>
      </c>
      <c r="AS72" s="7">
        <v>0</v>
      </c>
      <c r="AT72" s="7">
        <v>15821</v>
      </c>
      <c r="AU72" s="7">
        <v>0</v>
      </c>
      <c r="AV72" s="7">
        <v>2155598</v>
      </c>
      <c r="AW72" s="7">
        <v>2306787</v>
      </c>
      <c r="AX72" s="26">
        <f t="shared" si="14"/>
        <v>0</v>
      </c>
      <c r="AY72" s="7">
        <v>3456</v>
      </c>
      <c r="AZ72" s="7">
        <v>0</v>
      </c>
      <c r="BA72" s="7">
        <v>148368</v>
      </c>
      <c r="BB72" s="7">
        <v>0</v>
      </c>
      <c r="BC72" s="7">
        <v>351651</v>
      </c>
      <c r="BD72" s="7">
        <v>0</v>
      </c>
      <c r="BE72" s="7">
        <v>0</v>
      </c>
      <c r="BF72" s="7">
        <v>0</v>
      </c>
      <c r="BG72" s="7">
        <v>6494</v>
      </c>
      <c r="BH72" s="7">
        <v>3276</v>
      </c>
      <c r="BI72" s="7">
        <v>8</v>
      </c>
      <c r="BJ72" s="7">
        <v>0</v>
      </c>
      <c r="BK72" s="7">
        <v>-3</v>
      </c>
      <c r="BL72" s="7">
        <v>-347</v>
      </c>
      <c r="BM72" s="7">
        <v>-1621</v>
      </c>
      <c r="BN72" s="7">
        <v>-999</v>
      </c>
      <c r="BO72" s="7">
        <v>-22</v>
      </c>
      <c r="BP72" s="7">
        <f t="shared" si="13"/>
        <v>6786</v>
      </c>
      <c r="BQ72" s="1">
        <v>3</v>
      </c>
      <c r="BR72" s="7">
        <v>434</v>
      </c>
      <c r="BS72" s="7">
        <v>175</v>
      </c>
      <c r="BT72" s="7">
        <v>372</v>
      </c>
      <c r="BU72" s="7">
        <v>16</v>
      </c>
      <c r="BV72" s="7">
        <v>2</v>
      </c>
      <c r="BW72" s="7">
        <v>55</v>
      </c>
      <c r="BX72" s="7">
        <v>21</v>
      </c>
      <c r="BY72" s="7">
        <v>106</v>
      </c>
      <c r="BZ72" s="7">
        <v>1</v>
      </c>
      <c r="CA72" s="7">
        <v>0</v>
      </c>
      <c r="CB72" s="7">
        <v>215</v>
      </c>
      <c r="CC72" s="7">
        <v>34</v>
      </c>
      <c r="CD72" s="7">
        <v>418</v>
      </c>
      <c r="CE72" s="7">
        <v>16</v>
      </c>
      <c r="CF72" s="7">
        <v>4</v>
      </c>
    </row>
    <row r="73" spans="1:84" x14ac:dyDescent="0.25">
      <c r="A73" s="15">
        <v>7</v>
      </c>
      <c r="B73" s="8" t="s">
        <v>554</v>
      </c>
      <c r="C73" s="57" t="s">
        <v>293</v>
      </c>
      <c r="D73" s="8" t="s">
        <v>497</v>
      </c>
      <c r="E73" s="8" t="s">
        <v>748</v>
      </c>
      <c r="F73" s="8" t="s">
        <v>787</v>
      </c>
      <c r="G73" s="8" t="s">
        <v>727</v>
      </c>
      <c r="H73" s="7">
        <v>2805494</v>
      </c>
      <c r="I73" s="7">
        <v>2806030</v>
      </c>
      <c r="J73" s="7">
        <v>41545</v>
      </c>
      <c r="K73" s="12">
        <v>0</v>
      </c>
      <c r="L73" s="12">
        <v>44906</v>
      </c>
      <c r="M73" s="12">
        <v>1197565</v>
      </c>
      <c r="N73" s="12">
        <v>277369</v>
      </c>
      <c r="O73" s="25">
        <f t="shared" si="11"/>
        <v>1519840</v>
      </c>
      <c r="P73" s="12">
        <v>0</v>
      </c>
      <c r="Q73" s="12">
        <v>207776</v>
      </c>
      <c r="R73" s="12">
        <v>26968</v>
      </c>
      <c r="S73" s="12">
        <f t="shared" si="12"/>
        <v>234744</v>
      </c>
      <c r="T73" s="7">
        <v>565933</v>
      </c>
      <c r="U73" s="7">
        <v>160221</v>
      </c>
      <c r="V73" s="7">
        <v>1369</v>
      </c>
      <c r="W73" s="7">
        <v>0</v>
      </c>
      <c r="X73" s="7">
        <v>2757718</v>
      </c>
      <c r="Y73" s="7" t="s">
        <v>785</v>
      </c>
      <c r="Z73" s="26">
        <v>1.3899999999999999E-2</v>
      </c>
      <c r="AA73" s="7">
        <v>0</v>
      </c>
      <c r="AB73" s="26">
        <f>275635/2756349</f>
        <v>0.10000003627987603</v>
      </c>
      <c r="AC73" s="7">
        <v>275590</v>
      </c>
      <c r="AD73" s="7">
        <v>0</v>
      </c>
      <c r="AE73" s="7">
        <f>536+20</f>
        <v>556</v>
      </c>
      <c r="AF73" s="7">
        <v>79933</v>
      </c>
      <c r="AG73" s="7">
        <v>6389</v>
      </c>
      <c r="AH73" s="7">
        <v>0</v>
      </c>
      <c r="AI73" s="7">
        <v>12730</v>
      </c>
      <c r="AJ73" s="7">
        <v>0</v>
      </c>
      <c r="AK73" s="7">
        <v>17167</v>
      </c>
      <c r="AL73" s="7">
        <v>4300</v>
      </c>
      <c r="AM73" s="7">
        <v>0</v>
      </c>
      <c r="AN73" s="7">
        <v>1206</v>
      </c>
      <c r="AO73" s="7">
        <f>3300+5743+3128</f>
        <v>12171</v>
      </c>
      <c r="AP73" s="7">
        <v>250</v>
      </c>
      <c r="AQ73" s="7">
        <v>0</v>
      </c>
      <c r="AR73" s="7">
        <v>0</v>
      </c>
      <c r="AS73" s="7">
        <v>0</v>
      </c>
      <c r="AT73" s="7">
        <v>606</v>
      </c>
      <c r="AU73" s="7">
        <v>40273</v>
      </c>
      <c r="AV73" s="7">
        <v>143236</v>
      </c>
      <c r="AW73" s="7">
        <v>170000</v>
      </c>
      <c r="AX73" s="26">
        <f t="shared" si="14"/>
        <v>0.2811653494931442</v>
      </c>
      <c r="AY73" s="7">
        <v>0</v>
      </c>
      <c r="AZ73" s="7">
        <v>0</v>
      </c>
      <c r="BA73" s="7">
        <v>137764</v>
      </c>
      <c r="BB73" s="7">
        <v>0</v>
      </c>
      <c r="BC73" s="7">
        <v>8643</v>
      </c>
      <c r="BD73" s="7">
        <v>0</v>
      </c>
      <c r="BE73" s="7">
        <v>0</v>
      </c>
      <c r="BF73" s="7">
        <v>0</v>
      </c>
      <c r="BG73" s="7">
        <v>418</v>
      </c>
      <c r="BH73" s="7">
        <v>145</v>
      </c>
      <c r="BI73" s="7">
        <v>16</v>
      </c>
      <c r="BJ73" s="7">
        <v>-16</v>
      </c>
      <c r="BK73" s="7">
        <v>1</v>
      </c>
      <c r="BL73" s="7">
        <v>-39</v>
      </c>
      <c r="BM73" s="7">
        <v>-74</v>
      </c>
      <c r="BN73" s="7">
        <v>-63</v>
      </c>
      <c r="BO73" s="7">
        <v>0</v>
      </c>
      <c r="BP73" s="7">
        <f t="shared" si="13"/>
        <v>388</v>
      </c>
      <c r="BQ73" s="1">
        <v>0</v>
      </c>
      <c r="BR73" s="7">
        <v>17</v>
      </c>
      <c r="BS73" s="7">
        <v>9</v>
      </c>
      <c r="BT73" s="7">
        <v>37</v>
      </c>
      <c r="BU73" s="7">
        <v>0</v>
      </c>
      <c r="BV73" s="7">
        <v>0</v>
      </c>
      <c r="BW73" s="7">
        <v>1</v>
      </c>
      <c r="BX73" s="7">
        <v>0</v>
      </c>
      <c r="BY73" s="7">
        <v>7</v>
      </c>
      <c r="BZ73" s="7">
        <v>14</v>
      </c>
      <c r="CA73" s="7">
        <v>0</v>
      </c>
      <c r="CB73" s="7">
        <v>0</v>
      </c>
      <c r="CC73" s="7">
        <v>5</v>
      </c>
      <c r="CD73" s="7">
        <v>6</v>
      </c>
      <c r="CE73" s="7">
        <v>40</v>
      </c>
      <c r="CF73" s="7">
        <v>0</v>
      </c>
    </row>
    <row r="74" spans="1:84" x14ac:dyDescent="0.25">
      <c r="A74" s="15">
        <v>7</v>
      </c>
      <c r="B74" s="8" t="s">
        <v>560</v>
      </c>
      <c r="C74" s="57" t="s">
        <v>195</v>
      </c>
      <c r="D74" s="8" t="s">
        <v>435</v>
      </c>
      <c r="E74" s="8" t="s">
        <v>748</v>
      </c>
      <c r="F74" s="8" t="s">
        <v>693</v>
      </c>
      <c r="G74" s="8" t="s">
        <v>727</v>
      </c>
      <c r="H74" s="7">
        <v>19596572</v>
      </c>
      <c r="I74" s="7">
        <v>19606947</v>
      </c>
      <c r="J74" s="7">
        <v>723598</v>
      </c>
      <c r="K74" s="12">
        <v>2443</v>
      </c>
      <c r="L74" s="12">
        <v>1888743</v>
      </c>
      <c r="M74" s="12">
        <v>5832703</v>
      </c>
      <c r="N74" s="12">
        <v>3072933</v>
      </c>
      <c r="O74" s="25">
        <f t="shared" si="11"/>
        <v>10796822</v>
      </c>
      <c r="P74" s="12">
        <v>0</v>
      </c>
      <c r="Q74" s="12">
        <v>643589</v>
      </c>
      <c r="R74" s="12">
        <v>1482255</v>
      </c>
      <c r="S74" s="12">
        <f t="shared" si="12"/>
        <v>2125844</v>
      </c>
      <c r="T74" s="7">
        <v>2722783</v>
      </c>
      <c r="U74" s="7">
        <v>1846062</v>
      </c>
      <c r="V74" s="7">
        <v>0</v>
      </c>
      <c r="W74" s="7">
        <v>0</v>
      </c>
      <c r="X74" s="7">
        <v>19428519</v>
      </c>
      <c r="Y74" s="7" t="s">
        <v>531</v>
      </c>
      <c r="Z74" s="26">
        <v>5.2299999999999999E-2</v>
      </c>
      <c r="AA74" s="7">
        <v>0</v>
      </c>
      <c r="AB74" s="26">
        <f>1836178/19428519</f>
        <v>9.4509416801146814E-2</v>
      </c>
      <c r="AC74" s="7">
        <v>1834167</v>
      </c>
      <c r="AD74" s="7">
        <v>0</v>
      </c>
      <c r="AE74" s="7">
        <f>10375+683+1676</f>
        <v>12734</v>
      </c>
      <c r="AF74" s="7">
        <v>647476</v>
      </c>
      <c r="AG74" s="7">
        <v>58007</v>
      </c>
      <c r="AH74" s="7">
        <v>211529</v>
      </c>
      <c r="AI74" s="7">
        <v>144125</v>
      </c>
      <c r="AJ74" s="7">
        <v>41450</v>
      </c>
      <c r="AK74" s="7">
        <v>74726</v>
      </c>
      <c r="AL74" s="7">
        <v>10300</v>
      </c>
      <c r="AM74" s="7">
        <v>120855</v>
      </c>
      <c r="AN74" s="7">
        <v>174857</v>
      </c>
      <c r="AO74" s="7">
        <f>15228+47363+84869</f>
        <v>147460</v>
      </c>
      <c r="AP74" s="7">
        <v>21357</v>
      </c>
      <c r="AQ74" s="7">
        <v>0</v>
      </c>
      <c r="AR74" s="7">
        <v>16494</v>
      </c>
      <c r="AS74" s="7">
        <v>40875</v>
      </c>
      <c r="AT74" s="7">
        <v>9676</v>
      </c>
      <c r="AU74" s="7">
        <v>0</v>
      </c>
      <c r="AV74" s="7">
        <v>1793448</v>
      </c>
      <c r="AW74" s="7">
        <v>1791876</v>
      </c>
      <c r="AX74" s="26">
        <f t="shared" si="14"/>
        <v>0</v>
      </c>
      <c r="AY74" s="7">
        <v>0</v>
      </c>
      <c r="AZ74" s="7">
        <v>0</v>
      </c>
      <c r="BA74" s="7">
        <v>148368</v>
      </c>
      <c r="BB74" s="7">
        <v>0</v>
      </c>
      <c r="BC74" s="7">
        <v>108361</v>
      </c>
      <c r="BD74" s="7">
        <v>0</v>
      </c>
      <c r="BE74" s="7">
        <v>0</v>
      </c>
      <c r="BF74" s="7">
        <v>0</v>
      </c>
      <c r="BG74" s="7">
        <v>4206</v>
      </c>
      <c r="BH74" s="7">
        <v>2080</v>
      </c>
      <c r="BI74" s="7">
        <v>681</v>
      </c>
      <c r="BJ74" s="7">
        <v>0</v>
      </c>
      <c r="BK74" s="7">
        <v>0</v>
      </c>
      <c r="BL74" s="7">
        <v>-282</v>
      </c>
      <c r="BM74" s="7">
        <v>-1458</v>
      </c>
      <c r="BN74" s="7">
        <v>-956</v>
      </c>
      <c r="BO74" s="7">
        <v>-27</v>
      </c>
      <c r="BP74" s="7">
        <f t="shared" si="13"/>
        <v>4244</v>
      </c>
      <c r="BQ74" s="1">
        <v>18</v>
      </c>
      <c r="BR74" s="7">
        <v>83</v>
      </c>
      <c r="BS74" s="7">
        <v>50</v>
      </c>
      <c r="BT74" s="7">
        <v>552</v>
      </c>
      <c r="BU74" s="7">
        <v>23</v>
      </c>
      <c r="BV74" s="7">
        <v>1</v>
      </c>
      <c r="BW74" s="7">
        <v>0</v>
      </c>
      <c r="BX74" s="7">
        <v>0</v>
      </c>
      <c r="BY74" s="7">
        <v>25</v>
      </c>
      <c r="BZ74" s="7">
        <v>152</v>
      </c>
      <c r="CA74" s="7">
        <v>2</v>
      </c>
      <c r="CB74" s="7">
        <v>4</v>
      </c>
      <c r="CC74" s="7">
        <v>3</v>
      </c>
      <c r="CD74" s="7">
        <v>51</v>
      </c>
      <c r="CE74" s="7">
        <v>633</v>
      </c>
      <c r="CF74" s="7">
        <v>23</v>
      </c>
    </row>
    <row r="75" spans="1:84" x14ac:dyDescent="0.25">
      <c r="A75" s="15">
        <v>7</v>
      </c>
      <c r="B75" s="8" t="s">
        <v>569</v>
      </c>
      <c r="C75" s="57" t="s">
        <v>4</v>
      </c>
      <c r="D75" s="8" t="s">
        <v>665</v>
      </c>
      <c r="E75" s="8" t="s">
        <v>748</v>
      </c>
      <c r="F75" s="8" t="s">
        <v>787</v>
      </c>
      <c r="G75" s="8" t="s">
        <v>727</v>
      </c>
      <c r="H75" s="7">
        <v>40465636</v>
      </c>
      <c r="I75" s="7">
        <v>40535973</v>
      </c>
      <c r="J75" s="7">
        <v>1788335</v>
      </c>
      <c r="K75" s="12">
        <v>0</v>
      </c>
      <c r="L75" s="12">
        <v>2528081</v>
      </c>
      <c r="M75" s="12">
        <v>17481041</v>
      </c>
      <c r="N75" s="12">
        <v>0</v>
      </c>
      <c r="O75" s="25">
        <f t="shared" si="11"/>
        <v>20009122</v>
      </c>
      <c r="P75" s="12">
        <v>0</v>
      </c>
      <c r="Q75" s="12">
        <v>1644297</v>
      </c>
      <c r="R75" s="12">
        <v>35858</v>
      </c>
      <c r="S75" s="12">
        <f t="shared" si="12"/>
        <v>1680155</v>
      </c>
      <c r="T75" s="7">
        <v>9885610</v>
      </c>
      <c r="U75" s="7">
        <v>3955286</v>
      </c>
      <c r="V75" s="7">
        <v>0</v>
      </c>
      <c r="W75" s="7">
        <v>0</v>
      </c>
      <c r="X75" s="7">
        <v>38419397</v>
      </c>
      <c r="Y75" s="7" t="s">
        <v>728</v>
      </c>
      <c r="Z75" s="26">
        <v>4.9799999999999997E-2</v>
      </c>
      <c r="AA75" s="7">
        <v>0</v>
      </c>
      <c r="AB75" s="26">
        <f>2890356/38353992</f>
        <v>7.535997817384954E-2</v>
      </c>
      <c r="AC75" s="7">
        <v>2889195</v>
      </c>
      <c r="AD75" s="7">
        <v>0</v>
      </c>
      <c r="AE75" s="7">
        <f>70337+6593</f>
        <v>76930</v>
      </c>
      <c r="AF75" s="7">
        <v>1273379</v>
      </c>
      <c r="AG75" s="7">
        <v>101828</v>
      </c>
      <c r="AH75" s="7">
        <v>367666</v>
      </c>
      <c r="AI75" s="7">
        <f>276058+1277</f>
        <v>277335</v>
      </c>
      <c r="AJ75" s="7">
        <v>7200</v>
      </c>
      <c r="AK75" s="7">
        <v>49918</v>
      </c>
      <c r="AL75" s="7">
        <v>11700</v>
      </c>
      <c r="AM75" s="7">
        <v>98931</v>
      </c>
      <c r="AN75" s="7">
        <v>122997</v>
      </c>
      <c r="AO75" s="7">
        <f>38618+42786+64047</f>
        <v>145451</v>
      </c>
      <c r="AP75" s="7">
        <v>24645</v>
      </c>
      <c r="AQ75" s="7">
        <v>0</v>
      </c>
      <c r="AR75" s="7">
        <v>37058</v>
      </c>
      <c r="AS75" s="7">
        <v>36422</v>
      </c>
      <c r="AT75" s="7">
        <v>41640</v>
      </c>
      <c r="AU75" s="7">
        <v>0</v>
      </c>
      <c r="AV75" s="7">
        <v>2776440</v>
      </c>
      <c r="AW75" s="7">
        <v>2857174</v>
      </c>
      <c r="AX75" s="26">
        <f t="shared" si="14"/>
        <v>0</v>
      </c>
      <c r="AY75" s="7">
        <v>0</v>
      </c>
      <c r="AZ75" s="7">
        <v>0</v>
      </c>
      <c r="BA75" s="7">
        <v>148364</v>
      </c>
      <c r="BB75" s="7">
        <v>0</v>
      </c>
      <c r="BC75" s="7">
        <v>382798</v>
      </c>
      <c r="BD75" s="7">
        <v>0</v>
      </c>
      <c r="BE75" s="7">
        <v>0</v>
      </c>
      <c r="BF75" s="7">
        <v>0</v>
      </c>
      <c r="BG75" s="7">
        <v>6531</v>
      </c>
      <c r="BH75" s="7">
        <v>2663</v>
      </c>
      <c r="BI75" s="7">
        <v>38</v>
      </c>
      <c r="BJ75" s="7">
        <v>0</v>
      </c>
      <c r="BK75" s="7">
        <v>0</v>
      </c>
      <c r="BL75" s="7">
        <v>-267</v>
      </c>
      <c r="BM75" s="7">
        <v>-1237</v>
      </c>
      <c r="BN75" s="7">
        <v>-1174</v>
      </c>
      <c r="BO75" s="7">
        <v>-32</v>
      </c>
      <c r="BP75" s="7">
        <f t="shared" si="13"/>
        <v>6522</v>
      </c>
      <c r="BQ75" s="1">
        <v>48</v>
      </c>
      <c r="BR75" s="7">
        <v>554</v>
      </c>
      <c r="BS75" s="7">
        <v>205</v>
      </c>
      <c r="BT75" s="7">
        <v>435</v>
      </c>
      <c r="BU75" s="7">
        <v>0</v>
      </c>
      <c r="BV75" s="7">
        <v>12</v>
      </c>
      <c r="BW75" s="7">
        <v>7</v>
      </c>
      <c r="BX75" s="7">
        <v>11</v>
      </c>
      <c r="BY75" s="7">
        <v>78</v>
      </c>
      <c r="BZ75" s="7">
        <v>116</v>
      </c>
      <c r="CA75" s="7">
        <v>212</v>
      </c>
      <c r="CB75" s="7">
        <v>30</v>
      </c>
      <c r="CC75" s="7">
        <v>24</v>
      </c>
      <c r="CD75" s="7">
        <v>119</v>
      </c>
      <c r="CE75" s="7">
        <v>615</v>
      </c>
      <c r="CF75" s="7">
        <v>28</v>
      </c>
    </row>
    <row r="76" spans="1:84" x14ac:dyDescent="0.25">
      <c r="A76" s="15">
        <v>7</v>
      </c>
      <c r="B76" s="8" t="s">
        <v>590</v>
      </c>
      <c r="C76" s="57" t="s">
        <v>197</v>
      </c>
      <c r="D76" s="8" t="s">
        <v>345</v>
      </c>
      <c r="E76" s="8" t="s">
        <v>748</v>
      </c>
      <c r="F76" s="8" t="s">
        <v>693</v>
      </c>
      <c r="G76" s="8" t="s">
        <v>727</v>
      </c>
      <c r="H76" s="7">
        <v>13235469</v>
      </c>
      <c r="I76" s="7">
        <v>13241940</v>
      </c>
      <c r="J76" s="7">
        <v>960023</v>
      </c>
      <c r="K76" s="12">
        <v>0</v>
      </c>
      <c r="L76" s="12">
        <v>1599421</v>
      </c>
      <c r="M76" s="12">
        <v>5246108</v>
      </c>
      <c r="N76" s="12">
        <v>0</v>
      </c>
      <c r="O76" s="25">
        <f t="shared" ref="O76:O107" si="15">SUM(K76:N76)</f>
        <v>6845529</v>
      </c>
      <c r="P76" s="12">
        <v>0</v>
      </c>
      <c r="Q76" s="12">
        <v>1054881</v>
      </c>
      <c r="R76" s="12">
        <v>0</v>
      </c>
      <c r="S76" s="12">
        <f t="shared" ref="S76:S107" si="16">SUM(P76:R76)</f>
        <v>1054881</v>
      </c>
      <c r="T76" s="7">
        <v>1402838</v>
      </c>
      <c r="U76" s="7">
        <v>1520551</v>
      </c>
      <c r="V76" s="7">
        <v>0</v>
      </c>
      <c r="W76" s="7">
        <v>0</v>
      </c>
      <c r="X76" s="7">
        <v>12010155</v>
      </c>
      <c r="Y76" s="7" t="s">
        <v>531</v>
      </c>
      <c r="Z76" s="26">
        <v>0.16070000000000001</v>
      </c>
      <c r="AA76" s="7">
        <v>0</v>
      </c>
      <c r="AB76" s="26">
        <f>1185425/11854236</f>
        <v>0.10000011810124246</v>
      </c>
      <c r="AC76" s="7">
        <v>1186356</v>
      </c>
      <c r="AD76" s="7">
        <v>0</v>
      </c>
      <c r="AE76" s="7">
        <f>6471+529</f>
        <v>7000</v>
      </c>
      <c r="AF76" s="7">
        <v>480198</v>
      </c>
      <c r="AG76" s="7">
        <v>39521</v>
      </c>
      <c r="AH76" s="7">
        <v>75565</v>
      </c>
      <c r="AI76" s="7">
        <v>86332</v>
      </c>
      <c r="AJ76" s="7">
        <v>31495</v>
      </c>
      <c r="AK76" s="7">
        <v>52025</v>
      </c>
      <c r="AL76" s="7">
        <v>9000</v>
      </c>
      <c r="AM76" s="7">
        <v>33177</v>
      </c>
      <c r="AN76" s="7">
        <v>20125</v>
      </c>
      <c r="AO76" s="7">
        <f>45326+57847+35773</f>
        <v>138946</v>
      </c>
      <c r="AP76" s="7">
        <v>9677</v>
      </c>
      <c r="AQ76" s="7">
        <v>0</v>
      </c>
      <c r="AR76" s="7">
        <v>24512</v>
      </c>
      <c r="AS76" s="7">
        <v>18427</v>
      </c>
      <c r="AT76" s="7">
        <v>16069</v>
      </c>
      <c r="AU76" s="7">
        <v>0</v>
      </c>
      <c r="AV76" s="7">
        <v>1086420</v>
      </c>
      <c r="AW76" s="7">
        <v>1070895</v>
      </c>
      <c r="AX76" s="26">
        <f t="shared" si="14"/>
        <v>0</v>
      </c>
      <c r="AY76" s="7">
        <v>0</v>
      </c>
      <c r="AZ76" s="7">
        <v>0</v>
      </c>
      <c r="BA76" s="7">
        <v>148368</v>
      </c>
      <c r="BB76" s="7">
        <v>0</v>
      </c>
      <c r="BC76" s="7">
        <v>20489</v>
      </c>
      <c r="BD76" s="7">
        <v>0</v>
      </c>
      <c r="BE76" s="7">
        <v>0</v>
      </c>
      <c r="BF76" s="7">
        <v>0</v>
      </c>
      <c r="BG76" s="7">
        <v>2826</v>
      </c>
      <c r="BH76" s="7">
        <v>2104</v>
      </c>
      <c r="BI76" s="7">
        <v>0</v>
      </c>
      <c r="BJ76" s="7">
        <v>0</v>
      </c>
      <c r="BK76" s="7">
        <v>-1</v>
      </c>
      <c r="BL76" s="7">
        <v>-120</v>
      </c>
      <c r="BM76" s="7">
        <v>-929</v>
      </c>
      <c r="BN76" s="7">
        <v>-363</v>
      </c>
      <c r="BO76" s="7">
        <v>0</v>
      </c>
      <c r="BP76" s="7">
        <f t="shared" ref="BP76:BP107" si="17">SUM(BG76:BO76)</f>
        <v>3517</v>
      </c>
      <c r="BQ76" s="1">
        <v>9</v>
      </c>
      <c r="BR76" s="7">
        <v>44</v>
      </c>
      <c r="BS76" s="7">
        <v>28</v>
      </c>
      <c r="BT76" s="7">
        <v>255</v>
      </c>
      <c r="BU76" s="7">
        <v>7</v>
      </c>
      <c r="BV76" s="7">
        <v>0</v>
      </c>
      <c r="BW76" s="7">
        <v>0</v>
      </c>
      <c r="BX76" s="7">
        <v>0</v>
      </c>
      <c r="BY76" s="7">
        <v>16</v>
      </c>
      <c r="BZ76" s="7">
        <v>94</v>
      </c>
      <c r="CA76" s="7">
        <v>0</v>
      </c>
      <c r="CB76" s="7">
        <v>1</v>
      </c>
      <c r="CC76" s="7">
        <v>2</v>
      </c>
      <c r="CD76" s="7">
        <v>25</v>
      </c>
      <c r="CE76" s="7">
        <v>426</v>
      </c>
      <c r="CF76" s="7">
        <v>0</v>
      </c>
    </row>
    <row r="77" spans="1:84" x14ac:dyDescent="0.25">
      <c r="A77" s="15">
        <v>8</v>
      </c>
      <c r="B77" s="8" t="s">
        <v>120</v>
      </c>
      <c r="C77" s="57" t="s">
        <v>93</v>
      </c>
      <c r="D77" s="8" t="s">
        <v>445</v>
      </c>
      <c r="E77" s="8" t="s">
        <v>429</v>
      </c>
      <c r="F77" s="8" t="s">
        <v>234</v>
      </c>
      <c r="G77" s="8" t="s">
        <v>418</v>
      </c>
      <c r="H77" s="7">
        <v>15606393</v>
      </c>
      <c r="I77" s="7">
        <v>15626222</v>
      </c>
      <c r="J77" s="7">
        <v>372058</v>
      </c>
      <c r="K77" s="12">
        <v>0</v>
      </c>
      <c r="L77" s="12">
        <v>1179921</v>
      </c>
      <c r="M77" s="12">
        <v>5713154</v>
      </c>
      <c r="N77" s="12">
        <v>0</v>
      </c>
      <c r="O77" s="25">
        <f t="shared" si="15"/>
        <v>6893075</v>
      </c>
      <c r="P77" s="12">
        <v>0</v>
      </c>
      <c r="Q77" s="12">
        <v>791995</v>
      </c>
      <c r="R77" s="12">
        <v>0</v>
      </c>
      <c r="S77" s="12">
        <f t="shared" si="16"/>
        <v>791995</v>
      </c>
      <c r="T77" s="7">
        <v>5531052</v>
      </c>
      <c r="U77" s="7">
        <v>776453</v>
      </c>
      <c r="V77" s="7">
        <v>0</v>
      </c>
      <c r="W77" s="7">
        <v>0</v>
      </c>
      <c r="X77" s="7">
        <v>14989856</v>
      </c>
      <c r="Y77" s="7" t="s">
        <v>531</v>
      </c>
      <c r="Z77" s="26">
        <v>6.9400000000000003E-2</v>
      </c>
      <c r="AA77" s="7">
        <v>0</v>
      </c>
      <c r="AB77" s="26">
        <f>997303/14774855</f>
        <v>6.7500019458735808E-2</v>
      </c>
      <c r="AC77" s="7">
        <v>997281</v>
      </c>
      <c r="AD77" s="7">
        <v>0</v>
      </c>
      <c r="AE77" s="7">
        <f>2884+1109+481</f>
        <v>4474</v>
      </c>
      <c r="AF77" s="7">
        <v>427033</v>
      </c>
      <c r="AG77" s="7">
        <v>40098</v>
      </c>
      <c r="AH77" s="7">
        <v>103001</v>
      </c>
      <c r="AI77" s="7">
        <v>72728</v>
      </c>
      <c r="AJ77" s="7">
        <v>1736</v>
      </c>
      <c r="AK77" s="7">
        <v>50398</v>
      </c>
      <c r="AL77" s="7">
        <v>9236</v>
      </c>
      <c r="AM77" s="7">
        <v>1590</v>
      </c>
      <c r="AN77" s="7">
        <v>0</v>
      </c>
      <c r="AO77" s="7">
        <f>7626+22192+20044</f>
        <v>49862</v>
      </c>
      <c r="AP77" s="7">
        <v>12962</v>
      </c>
      <c r="AQ77" s="7">
        <v>0</v>
      </c>
      <c r="AR77" s="7">
        <v>0</v>
      </c>
      <c r="AS77" s="7">
        <v>4605</v>
      </c>
      <c r="AT77" s="7">
        <v>22236</v>
      </c>
      <c r="AU77" s="7">
        <v>0</v>
      </c>
      <c r="AV77" s="7">
        <v>831552</v>
      </c>
      <c r="AW77" s="7">
        <v>834551</v>
      </c>
      <c r="AX77" s="26">
        <f t="shared" si="14"/>
        <v>0</v>
      </c>
      <c r="AY77" s="7">
        <v>223</v>
      </c>
      <c r="AZ77" s="7">
        <v>0</v>
      </c>
      <c r="BA77" s="7">
        <v>148368</v>
      </c>
      <c r="BB77" s="7">
        <v>0</v>
      </c>
      <c r="BC77" s="7">
        <v>135524</v>
      </c>
      <c r="BD77" s="7">
        <v>0</v>
      </c>
      <c r="BE77" s="7">
        <v>0</v>
      </c>
      <c r="BF77" s="7">
        <v>0</v>
      </c>
      <c r="BG77" s="7">
        <v>3411</v>
      </c>
      <c r="BH77" s="7">
        <v>1485</v>
      </c>
      <c r="BI77" s="7">
        <v>10</v>
      </c>
      <c r="BJ77" s="7">
        <v>-6</v>
      </c>
      <c r="BK77" s="7">
        <v>36</v>
      </c>
      <c r="BL77" s="7">
        <v>-277</v>
      </c>
      <c r="BM77" s="7">
        <v>-606</v>
      </c>
      <c r="BN77" s="7">
        <v>-527</v>
      </c>
      <c r="BO77" s="7">
        <v>-24</v>
      </c>
      <c r="BP77" s="7">
        <f t="shared" si="17"/>
        <v>3502</v>
      </c>
      <c r="BQ77" s="1">
        <v>45</v>
      </c>
      <c r="BR77" s="7">
        <v>212</v>
      </c>
      <c r="BS77" s="7">
        <v>137</v>
      </c>
      <c r="BT77" s="7">
        <v>168</v>
      </c>
      <c r="BU77" s="7">
        <v>0</v>
      </c>
      <c r="BV77" s="7">
        <v>10</v>
      </c>
      <c r="BW77" s="7">
        <v>5</v>
      </c>
      <c r="BX77" s="7">
        <v>10</v>
      </c>
      <c r="BY77" s="7">
        <v>58</v>
      </c>
      <c r="BZ77" s="7">
        <v>135</v>
      </c>
      <c r="CA77" s="7">
        <v>0</v>
      </c>
      <c r="CB77" s="7">
        <v>6</v>
      </c>
      <c r="CC77" s="7">
        <v>23</v>
      </c>
      <c r="CD77" s="7">
        <v>85</v>
      </c>
      <c r="CE77" s="7">
        <v>292</v>
      </c>
      <c r="CF77" s="7">
        <v>11</v>
      </c>
    </row>
    <row r="78" spans="1:84" x14ac:dyDescent="0.25">
      <c r="A78" s="15">
        <v>8</v>
      </c>
      <c r="B78" s="8" t="s">
        <v>244</v>
      </c>
      <c r="C78" s="57" t="s">
        <v>296</v>
      </c>
      <c r="D78" s="8" t="s">
        <v>486</v>
      </c>
      <c r="E78" s="8" t="s">
        <v>732</v>
      </c>
      <c r="F78" s="8" t="s">
        <v>787</v>
      </c>
      <c r="G78" s="8" t="s">
        <v>723</v>
      </c>
      <c r="H78" s="7">
        <v>92798265</v>
      </c>
      <c r="I78" s="7">
        <v>92881480</v>
      </c>
      <c r="J78" s="7">
        <v>2387300</v>
      </c>
      <c r="K78" s="12">
        <v>37370725</v>
      </c>
      <c r="L78" s="12">
        <v>5862702</v>
      </c>
      <c r="M78" s="12">
        <v>21551524</v>
      </c>
      <c r="N78" s="12">
        <v>0</v>
      </c>
      <c r="O78" s="25">
        <f t="shared" si="15"/>
        <v>64784951</v>
      </c>
      <c r="P78" s="12">
        <v>695224</v>
      </c>
      <c r="Q78" s="12">
        <v>2552772</v>
      </c>
      <c r="R78" s="12">
        <v>0</v>
      </c>
      <c r="S78" s="12">
        <f t="shared" si="16"/>
        <v>3247996</v>
      </c>
      <c r="T78" s="7">
        <v>11257628</v>
      </c>
      <c r="U78" s="7">
        <v>3842569</v>
      </c>
      <c r="V78" s="7">
        <v>0</v>
      </c>
      <c r="W78" s="7">
        <v>0</v>
      </c>
      <c r="X78" s="7">
        <v>89548423</v>
      </c>
      <c r="Y78" s="7" t="s">
        <v>531</v>
      </c>
      <c r="Z78" s="26">
        <v>0.08</v>
      </c>
      <c r="AA78" s="7">
        <f>37370725+695224</f>
        <v>38065949</v>
      </c>
      <c r="AB78" s="26">
        <f>2162009/51393552</f>
        <v>4.2067709194336285E-2</v>
      </c>
      <c r="AC78" s="7">
        <v>2161143</v>
      </c>
      <c r="AD78" s="7">
        <v>0</v>
      </c>
      <c r="AE78" s="7">
        <f>77574+12964</f>
        <v>90538</v>
      </c>
      <c r="AF78" s="7">
        <v>1076841</v>
      </c>
      <c r="AG78" s="7">
        <v>86282</v>
      </c>
      <c r="AH78" s="7">
        <v>362324</v>
      </c>
      <c r="AI78" s="7">
        <v>159607</v>
      </c>
      <c r="AJ78" s="7">
        <v>0</v>
      </c>
      <c r="AK78" s="7">
        <v>27116</v>
      </c>
      <c r="AL78" s="7">
        <v>13767</v>
      </c>
      <c r="AM78" s="7">
        <v>2851</v>
      </c>
      <c r="AN78" s="7">
        <v>0</v>
      </c>
      <c r="AO78" s="7">
        <f>15864+86801+82905</f>
        <v>185570</v>
      </c>
      <c r="AP78" s="7">
        <v>19715</v>
      </c>
      <c r="AQ78" s="7">
        <v>0</v>
      </c>
      <c r="AR78" s="7">
        <v>0</v>
      </c>
      <c r="AS78" s="7">
        <v>0</v>
      </c>
      <c r="AT78" s="7">
        <v>100738</v>
      </c>
      <c r="AU78" s="7">
        <v>0</v>
      </c>
      <c r="AV78" s="7">
        <v>2151617</v>
      </c>
      <c r="AW78" s="7">
        <v>2151346</v>
      </c>
      <c r="AX78" s="26">
        <f t="shared" si="14"/>
        <v>0</v>
      </c>
      <c r="AY78" s="7">
        <v>0</v>
      </c>
      <c r="AZ78" s="7">
        <v>0</v>
      </c>
      <c r="BA78" s="7">
        <v>148368</v>
      </c>
      <c r="BB78" s="7">
        <v>0</v>
      </c>
      <c r="BC78" s="7">
        <v>221892</v>
      </c>
      <c r="BD78" s="7">
        <v>0</v>
      </c>
      <c r="BE78" s="7">
        <v>0</v>
      </c>
      <c r="BF78" s="7">
        <v>0</v>
      </c>
      <c r="BG78" s="7">
        <v>14487</v>
      </c>
      <c r="BH78" s="7">
        <v>7970</v>
      </c>
      <c r="BI78" s="7">
        <v>0</v>
      </c>
      <c r="BJ78" s="7"/>
      <c r="BK78" s="7">
        <v>-6</v>
      </c>
      <c r="BL78" s="7">
        <v>-438</v>
      </c>
      <c r="BM78" s="7">
        <v>-5332</v>
      </c>
      <c r="BN78" s="7">
        <v>-1732</v>
      </c>
      <c r="BO78" s="7">
        <v>-1</v>
      </c>
      <c r="BP78" s="7">
        <f t="shared" si="17"/>
        <v>14948</v>
      </c>
      <c r="BQ78" s="1">
        <v>260</v>
      </c>
      <c r="BR78" s="7">
        <v>828</v>
      </c>
      <c r="BS78" s="7">
        <v>239</v>
      </c>
      <c r="BT78" s="7">
        <v>622</v>
      </c>
      <c r="BU78" s="7">
        <v>4</v>
      </c>
      <c r="BV78" s="7">
        <v>39</v>
      </c>
      <c r="BW78" s="7">
        <v>6</v>
      </c>
      <c r="BX78" s="7">
        <v>10</v>
      </c>
      <c r="BY78" s="7">
        <v>128</v>
      </c>
      <c r="BZ78" s="7">
        <v>241</v>
      </c>
      <c r="CA78" s="7">
        <v>3</v>
      </c>
      <c r="CB78" s="7">
        <v>77</v>
      </c>
      <c r="CC78" s="7">
        <v>102</v>
      </c>
      <c r="CD78" s="7">
        <v>886</v>
      </c>
      <c r="CE78" s="7">
        <v>2136</v>
      </c>
      <c r="CF78" s="7">
        <v>81</v>
      </c>
    </row>
    <row r="79" spans="1:84" x14ac:dyDescent="0.25">
      <c r="A79" s="15">
        <v>8</v>
      </c>
      <c r="B79" s="8" t="s">
        <v>340</v>
      </c>
      <c r="C79" s="57" t="s">
        <v>335</v>
      </c>
      <c r="D79" s="8" t="s">
        <v>525</v>
      </c>
      <c r="E79" s="8" t="s">
        <v>732</v>
      </c>
      <c r="F79" s="8" t="s">
        <v>496</v>
      </c>
      <c r="G79" s="8" t="s">
        <v>723</v>
      </c>
      <c r="H79" s="7">
        <v>102762430</v>
      </c>
      <c r="I79" s="7">
        <v>102848129</v>
      </c>
      <c r="J79" s="7">
        <v>3618735</v>
      </c>
      <c r="K79" s="12">
        <v>37970071</v>
      </c>
      <c r="L79" s="12">
        <v>4719515</v>
      </c>
      <c r="M79" s="12">
        <v>24675009</v>
      </c>
      <c r="N79" s="12">
        <v>0</v>
      </c>
      <c r="O79" s="25">
        <f t="shared" si="15"/>
        <v>67364595</v>
      </c>
      <c r="P79" s="12">
        <v>1997338</v>
      </c>
      <c r="Q79" s="12">
        <v>3071374</v>
      </c>
      <c r="R79" s="12">
        <v>0</v>
      </c>
      <c r="S79" s="12">
        <f t="shared" si="16"/>
        <v>5068712</v>
      </c>
      <c r="T79" s="7">
        <v>17979661</v>
      </c>
      <c r="U79" s="7">
        <v>4664287</v>
      </c>
      <c r="V79" s="7">
        <v>0</v>
      </c>
      <c r="W79" s="7">
        <v>0</v>
      </c>
      <c r="X79" s="7">
        <v>98785524</v>
      </c>
      <c r="Y79" s="7" t="s">
        <v>531</v>
      </c>
      <c r="Z79" s="26">
        <v>2.3699999999999999E-2</v>
      </c>
      <c r="AA79" s="7">
        <f>37970071+1997338</f>
        <v>39967409</v>
      </c>
      <c r="AB79" s="26">
        <f>2982097/58025313</f>
        <v>5.1393036001374091E-2</v>
      </c>
      <c r="AC79" s="7">
        <v>2984514</v>
      </c>
      <c r="AD79" s="7">
        <v>0</v>
      </c>
      <c r="AE79" s="7">
        <f>79267+15055</f>
        <v>94322</v>
      </c>
      <c r="AF79" s="7">
        <v>1486289</v>
      </c>
      <c r="AG79" s="7">
        <v>112588</v>
      </c>
      <c r="AH79" s="7">
        <v>352412</v>
      </c>
      <c r="AI79" s="7">
        <v>240142</v>
      </c>
      <c r="AJ79" s="7">
        <v>0</v>
      </c>
      <c r="AK79" s="7">
        <v>38779</v>
      </c>
      <c r="AL79" s="7">
        <v>15079</v>
      </c>
      <c r="AM79" s="7">
        <v>18378</v>
      </c>
      <c r="AN79" s="7">
        <v>41900</v>
      </c>
      <c r="AO79" s="7">
        <f>48865+76018+76275</f>
        <v>201158</v>
      </c>
      <c r="AP79" s="7">
        <v>22467</v>
      </c>
      <c r="AQ79" s="7">
        <v>0</v>
      </c>
      <c r="AR79" s="7">
        <v>5890</v>
      </c>
      <c r="AS79" s="7">
        <v>17946</v>
      </c>
      <c r="AT79" s="7">
        <v>75057</v>
      </c>
      <c r="AU79" s="7">
        <v>0</v>
      </c>
      <c r="AV79" s="7">
        <v>2743716</v>
      </c>
      <c r="AW79" s="7">
        <v>2748854</v>
      </c>
      <c r="AX79" s="26">
        <f t="shared" si="14"/>
        <v>0</v>
      </c>
      <c r="AY79" s="7">
        <v>651</v>
      </c>
      <c r="AZ79" s="7">
        <v>0</v>
      </c>
      <c r="BA79" s="7">
        <v>148367</v>
      </c>
      <c r="BB79" s="7">
        <v>0</v>
      </c>
      <c r="BC79" s="7">
        <v>448996</v>
      </c>
      <c r="BD79" s="7">
        <v>0</v>
      </c>
      <c r="BE79" s="7">
        <v>0</v>
      </c>
      <c r="BF79" s="7">
        <v>0</v>
      </c>
      <c r="BG79" s="7">
        <v>11730</v>
      </c>
      <c r="BH79" s="7">
        <v>5628</v>
      </c>
      <c r="BI79" s="7">
        <v>0</v>
      </c>
      <c r="BJ79" s="7"/>
      <c r="BK79" s="7">
        <v>-1</v>
      </c>
      <c r="BL79" s="7">
        <v>-850</v>
      </c>
      <c r="BM79" s="7">
        <v>-2264</v>
      </c>
      <c r="BN79" s="7">
        <v>-1999</v>
      </c>
      <c r="BO79" s="7">
        <v>0</v>
      </c>
      <c r="BP79" s="7">
        <f t="shared" si="17"/>
        <v>12244</v>
      </c>
      <c r="BQ79" s="1">
        <v>57</v>
      </c>
      <c r="BR79" s="7">
        <v>1035</v>
      </c>
      <c r="BS79" s="7">
        <v>351</v>
      </c>
      <c r="BT79" s="7">
        <v>548</v>
      </c>
      <c r="BU79" s="7">
        <v>34</v>
      </c>
      <c r="BV79" s="7">
        <v>0</v>
      </c>
      <c r="BW79" s="7">
        <v>5</v>
      </c>
      <c r="BX79" s="7">
        <v>24</v>
      </c>
      <c r="BY79" s="7">
        <v>229</v>
      </c>
      <c r="BZ79" s="7">
        <v>501</v>
      </c>
      <c r="CA79" s="7">
        <v>0</v>
      </c>
      <c r="CB79" s="7">
        <v>45</v>
      </c>
      <c r="CC79" s="7">
        <v>68</v>
      </c>
      <c r="CD79" s="7">
        <v>386</v>
      </c>
      <c r="CE79" s="7">
        <v>1417</v>
      </c>
      <c r="CF79" s="7">
        <v>0</v>
      </c>
    </row>
    <row r="80" spans="1:84" x14ac:dyDescent="0.25">
      <c r="A80" s="15">
        <v>8</v>
      </c>
      <c r="B80" s="8" t="s">
        <v>383</v>
      </c>
      <c r="C80" s="57" t="s">
        <v>731</v>
      </c>
      <c r="D80" s="8" t="s">
        <v>388</v>
      </c>
      <c r="E80" s="8" t="s">
        <v>732</v>
      </c>
      <c r="F80" s="8" t="s">
        <v>787</v>
      </c>
      <c r="G80" s="8" t="s">
        <v>723</v>
      </c>
      <c r="H80" s="7">
        <v>38749228</v>
      </c>
      <c r="I80" s="7">
        <v>38799826</v>
      </c>
      <c r="J80" s="7">
        <v>841858</v>
      </c>
      <c r="K80" s="12">
        <v>12426480</v>
      </c>
      <c r="L80" s="12">
        <v>1507102</v>
      </c>
      <c r="M80" s="12">
        <v>13199143</v>
      </c>
      <c r="N80" s="12">
        <v>0</v>
      </c>
      <c r="O80" s="25">
        <f t="shared" si="15"/>
        <v>27132725</v>
      </c>
      <c r="P80" s="12">
        <v>40349</v>
      </c>
      <c r="Q80" s="12">
        <v>571682</v>
      </c>
      <c r="R80" s="12">
        <v>0</v>
      </c>
      <c r="S80" s="12">
        <f t="shared" si="16"/>
        <v>612031</v>
      </c>
      <c r="T80" s="7">
        <v>4097556</v>
      </c>
      <c r="U80" s="7">
        <v>2021748</v>
      </c>
      <c r="V80" s="7">
        <v>0</v>
      </c>
      <c r="W80" s="7">
        <v>0</v>
      </c>
      <c r="X80" s="7">
        <v>37410467</v>
      </c>
      <c r="Y80" s="7" t="s">
        <v>531</v>
      </c>
      <c r="Z80" s="26">
        <v>9.5200000000000007E-2</v>
      </c>
      <c r="AA80" s="7">
        <f>12426480+40349</f>
        <v>12466829</v>
      </c>
      <c r="AB80" s="26">
        <f>1535159/24920664</f>
        <v>6.1601849774147267E-2</v>
      </c>
      <c r="AC80" s="7">
        <v>1535157</v>
      </c>
      <c r="AD80" s="7">
        <v>0</v>
      </c>
      <c r="AE80" s="7">
        <f>50312+2002+1412</f>
        <v>53726</v>
      </c>
      <c r="AF80" s="7">
        <v>881948</v>
      </c>
      <c r="AG80" s="7">
        <v>72112</v>
      </c>
      <c r="AH80" s="7">
        <v>160993</v>
      </c>
      <c r="AI80" s="7">
        <v>89053</v>
      </c>
      <c r="AJ80" s="7">
        <v>2130</v>
      </c>
      <c r="AK80" s="7">
        <v>33150</v>
      </c>
      <c r="AL80" s="7">
        <v>11481</v>
      </c>
      <c r="AM80" s="7">
        <v>1965</v>
      </c>
      <c r="AN80" s="7">
        <v>0</v>
      </c>
      <c r="AO80" s="7">
        <f>21666+56000+28673</f>
        <v>106339</v>
      </c>
      <c r="AP80" s="7">
        <v>9899</v>
      </c>
      <c r="AQ80" s="7">
        <v>62</v>
      </c>
      <c r="AR80" s="7">
        <v>0</v>
      </c>
      <c r="AS80" s="7">
        <v>12298</v>
      </c>
      <c r="AT80" s="7">
        <v>10277</v>
      </c>
      <c r="AU80" s="7">
        <v>0</v>
      </c>
      <c r="AV80" s="7">
        <v>1443769</v>
      </c>
      <c r="AW80" s="7">
        <v>1455790</v>
      </c>
      <c r="AX80" s="26">
        <f t="shared" si="14"/>
        <v>0</v>
      </c>
      <c r="AY80" s="7">
        <v>0</v>
      </c>
      <c r="AZ80" s="7">
        <v>0</v>
      </c>
      <c r="BA80" s="7">
        <v>148368</v>
      </c>
      <c r="BB80" s="7">
        <v>0</v>
      </c>
      <c r="BC80" s="7">
        <v>189489</v>
      </c>
      <c r="BD80" s="7">
        <v>0</v>
      </c>
      <c r="BE80" s="7">
        <v>0</v>
      </c>
      <c r="BF80" s="7">
        <v>0</v>
      </c>
      <c r="BG80" s="7">
        <v>7011</v>
      </c>
      <c r="BH80" s="7">
        <v>3699</v>
      </c>
      <c r="BI80" s="7">
        <v>121</v>
      </c>
      <c r="BJ80" s="7"/>
      <c r="BK80" s="7">
        <f>1+30-1</f>
        <v>30</v>
      </c>
      <c r="BL80" s="7">
        <v>-304</v>
      </c>
      <c r="BM80" s="7">
        <v>-2245</v>
      </c>
      <c r="BN80" s="7">
        <v>-952</v>
      </c>
      <c r="BO80" s="7">
        <v>0</v>
      </c>
      <c r="BP80" s="7">
        <f t="shared" si="17"/>
        <v>7360</v>
      </c>
      <c r="BQ80" s="1">
        <v>26</v>
      </c>
      <c r="BR80" s="7">
        <v>329</v>
      </c>
      <c r="BS80" s="7">
        <v>128</v>
      </c>
      <c r="BT80" s="7">
        <v>489</v>
      </c>
      <c r="BU80" s="7">
        <v>0</v>
      </c>
      <c r="BV80" s="7">
        <v>6</v>
      </c>
      <c r="BW80" s="7">
        <v>51</v>
      </c>
      <c r="BX80" s="7">
        <v>22</v>
      </c>
      <c r="BY80" s="7">
        <v>86</v>
      </c>
      <c r="BZ80" s="7">
        <v>0</v>
      </c>
      <c r="CA80" s="7">
        <v>1</v>
      </c>
      <c r="CB80" s="7">
        <v>319</v>
      </c>
      <c r="CC80" s="7">
        <v>113</v>
      </c>
      <c r="CD80" s="7">
        <v>392</v>
      </c>
      <c r="CE80" s="7">
        <v>0</v>
      </c>
      <c r="CF80" s="7">
        <v>18</v>
      </c>
    </row>
    <row r="81" spans="1:84" x14ac:dyDescent="0.25">
      <c r="A81" s="15">
        <v>8</v>
      </c>
      <c r="B81" s="8" t="s">
        <v>419</v>
      </c>
      <c r="C81" s="57" t="s">
        <v>317</v>
      </c>
      <c r="D81" s="8" t="s">
        <v>424</v>
      </c>
      <c r="E81" s="8" t="s">
        <v>732</v>
      </c>
      <c r="F81" s="8" t="s">
        <v>234</v>
      </c>
      <c r="G81" s="8" t="s">
        <v>723</v>
      </c>
      <c r="H81" s="7">
        <v>46745072</v>
      </c>
      <c r="I81" s="7">
        <v>46767177</v>
      </c>
      <c r="J81" s="7">
        <v>1499157</v>
      </c>
      <c r="K81" s="12">
        <v>13365288</v>
      </c>
      <c r="L81" s="12">
        <v>1827249</v>
      </c>
      <c r="M81" s="12">
        <v>14555256</v>
      </c>
      <c r="N81" s="12">
        <v>0</v>
      </c>
      <c r="O81" s="25">
        <f t="shared" si="15"/>
        <v>29747793</v>
      </c>
      <c r="P81" s="12">
        <v>1150</v>
      </c>
      <c r="Q81" s="12">
        <v>800921</v>
      </c>
      <c r="R81" s="12">
        <v>0</v>
      </c>
      <c r="S81" s="12">
        <f t="shared" si="16"/>
        <v>802071</v>
      </c>
      <c r="T81" s="7">
        <v>11235460</v>
      </c>
      <c r="U81" s="7">
        <v>2109127</v>
      </c>
      <c r="V81" s="7">
        <v>0</v>
      </c>
      <c r="W81" s="7">
        <v>0</v>
      </c>
      <c r="X81" s="7">
        <v>45462371</v>
      </c>
      <c r="Y81" s="7" t="s">
        <v>84</v>
      </c>
      <c r="Z81" s="26">
        <v>7.2400000000000006E-2</v>
      </c>
      <c r="AA81" s="7">
        <f>1150+13365288</f>
        <v>13366438</v>
      </c>
      <c r="AB81" s="26">
        <f>1223400/32095933</f>
        <v>3.8116978870812078E-2</v>
      </c>
      <c r="AC81" s="7">
        <v>1224175</v>
      </c>
      <c r="AD81" s="7">
        <v>0</v>
      </c>
      <c r="AE81" s="7">
        <f>22105+308</f>
        <v>22413</v>
      </c>
      <c r="AF81" s="7">
        <v>529258</v>
      </c>
      <c r="AG81" s="7">
        <v>43183</v>
      </c>
      <c r="AH81" s="7">
        <v>128664</v>
      </c>
      <c r="AI81" s="7">
        <v>77449</v>
      </c>
      <c r="AJ81" s="7">
        <v>0</v>
      </c>
      <c r="AK81" s="7">
        <v>24750</v>
      </c>
      <c r="AL81" s="7">
        <v>11386</v>
      </c>
      <c r="AM81" s="7">
        <v>41221</v>
      </c>
      <c r="AN81" s="7">
        <v>31774</v>
      </c>
      <c r="AO81" s="7">
        <f>16619+58075+54173</f>
        <v>128867</v>
      </c>
      <c r="AP81" s="7">
        <v>11822</v>
      </c>
      <c r="AQ81" s="7">
        <v>0</v>
      </c>
      <c r="AR81" s="7">
        <v>0</v>
      </c>
      <c r="AS81" s="7">
        <v>0</v>
      </c>
      <c r="AT81" s="7">
        <v>19820</v>
      </c>
      <c r="AU81" s="7">
        <v>0</v>
      </c>
      <c r="AV81" s="7">
        <v>1104884</v>
      </c>
      <c r="AW81" s="7">
        <v>1124337</v>
      </c>
      <c r="AX81" s="26">
        <f t="shared" si="14"/>
        <v>0</v>
      </c>
      <c r="AY81" s="7">
        <v>0</v>
      </c>
      <c r="AZ81" s="7">
        <v>0</v>
      </c>
      <c r="BA81" s="7">
        <v>148368</v>
      </c>
      <c r="BB81" s="7">
        <v>0</v>
      </c>
      <c r="BC81" s="7">
        <v>58283</v>
      </c>
      <c r="BD81" s="7">
        <v>0</v>
      </c>
      <c r="BE81" s="7">
        <v>0</v>
      </c>
      <c r="BF81" s="7">
        <v>0</v>
      </c>
      <c r="BG81" s="7">
        <v>6547</v>
      </c>
      <c r="BH81" s="7">
        <v>2869</v>
      </c>
      <c r="BI81" s="7">
        <v>96</v>
      </c>
      <c r="BJ81" s="7"/>
      <c r="BK81" s="7">
        <v>-488</v>
      </c>
      <c r="BL81" s="7">
        <v>-346</v>
      </c>
      <c r="BM81" s="7">
        <v>-1022</v>
      </c>
      <c r="BN81" s="7">
        <v>-730</v>
      </c>
      <c r="BO81" s="7">
        <v>-6</v>
      </c>
      <c r="BP81" s="7">
        <f t="shared" si="17"/>
        <v>6920</v>
      </c>
      <c r="BQ81" s="1">
        <v>15</v>
      </c>
      <c r="BR81" s="7">
        <v>493</v>
      </c>
      <c r="BS81" s="7">
        <v>122</v>
      </c>
      <c r="BT81" s="7">
        <v>108</v>
      </c>
      <c r="BU81" s="7">
        <v>0</v>
      </c>
      <c r="BV81" s="7">
        <v>7</v>
      </c>
      <c r="BW81" s="7">
        <v>7</v>
      </c>
      <c r="BX81" s="7">
        <v>33</v>
      </c>
      <c r="BY81" s="7">
        <v>85</v>
      </c>
      <c r="BZ81" s="7">
        <v>213</v>
      </c>
      <c r="CA81" s="7">
        <v>8</v>
      </c>
      <c r="CB81" s="7">
        <v>52</v>
      </c>
      <c r="CC81" s="7">
        <v>69</v>
      </c>
      <c r="CD81" s="7">
        <v>214</v>
      </c>
      <c r="CE81" s="7">
        <v>521</v>
      </c>
      <c r="CF81" s="7">
        <v>166</v>
      </c>
    </row>
    <row r="82" spans="1:84" x14ac:dyDescent="0.25">
      <c r="A82" s="15">
        <v>8</v>
      </c>
      <c r="B82" s="8" t="s">
        <v>443</v>
      </c>
      <c r="C82" s="57" t="s">
        <v>794</v>
      </c>
      <c r="D82" s="8" t="s">
        <v>456</v>
      </c>
      <c r="E82" s="8" t="s">
        <v>429</v>
      </c>
      <c r="F82" s="8" t="s">
        <v>787</v>
      </c>
      <c r="G82" s="8" t="s">
        <v>418</v>
      </c>
      <c r="H82" s="7">
        <v>24200869</v>
      </c>
      <c r="I82" s="7">
        <v>24222025</v>
      </c>
      <c r="J82" s="7">
        <v>413182</v>
      </c>
      <c r="K82" s="12">
        <v>0</v>
      </c>
      <c r="L82" s="12">
        <v>1684829</v>
      </c>
      <c r="M82" s="12">
        <v>8064193</v>
      </c>
      <c r="N82" s="12">
        <v>0</v>
      </c>
      <c r="O82" s="25">
        <f t="shared" si="15"/>
        <v>9749022</v>
      </c>
      <c r="P82" s="12">
        <v>0</v>
      </c>
      <c r="Q82" s="12">
        <v>1677458</v>
      </c>
      <c r="R82" s="12">
        <v>0</v>
      </c>
      <c r="S82" s="12">
        <f t="shared" si="16"/>
        <v>1677458</v>
      </c>
      <c r="T82" s="7">
        <v>8313702</v>
      </c>
      <c r="U82" s="7">
        <v>2624825</v>
      </c>
      <c r="V82" s="7">
        <v>0</v>
      </c>
      <c r="W82" s="7">
        <v>0</v>
      </c>
      <c r="X82" s="7">
        <v>23412643</v>
      </c>
      <c r="Y82" s="7" t="s">
        <v>74</v>
      </c>
      <c r="Z82" s="26">
        <v>0.14360000000000001</v>
      </c>
      <c r="AA82" s="7">
        <v>0</v>
      </c>
      <c r="AB82" s="26">
        <f>862182/23412643</f>
        <v>3.6825487835781719E-2</v>
      </c>
      <c r="AC82" s="7">
        <v>862243</v>
      </c>
      <c r="AD82" s="7">
        <v>0</v>
      </c>
      <c r="AE82" s="7">
        <f>21156+1012</f>
        <v>22168</v>
      </c>
      <c r="AF82" s="7">
        <v>347873</v>
      </c>
      <c r="AG82" s="7">
        <v>27593</v>
      </c>
      <c r="AH82" s="7">
        <v>76238</v>
      </c>
      <c r="AI82" s="7">
        <v>55518</v>
      </c>
      <c r="AJ82" s="7">
        <v>15180</v>
      </c>
      <c r="AK82" s="7">
        <v>41243</v>
      </c>
      <c r="AL82" s="7">
        <v>9645</v>
      </c>
      <c r="AM82" s="7">
        <v>11100</v>
      </c>
      <c r="AN82" s="7">
        <v>0</v>
      </c>
      <c r="AO82" s="7">
        <f>7287+15196+10052</f>
        <v>32535</v>
      </c>
      <c r="AP82" s="7">
        <v>4071</v>
      </c>
      <c r="AQ82" s="7">
        <v>0</v>
      </c>
      <c r="AR82" s="7">
        <v>75</v>
      </c>
      <c r="AS82" s="7">
        <v>770</v>
      </c>
      <c r="AT82" s="7">
        <v>76922</v>
      </c>
      <c r="AU82" s="7">
        <v>55223</v>
      </c>
      <c r="AV82" s="7">
        <v>732891</v>
      </c>
      <c r="AW82" s="7">
        <v>863760</v>
      </c>
      <c r="AX82" s="26">
        <f t="shared" si="14"/>
        <v>7.5349540381857608E-2</v>
      </c>
      <c r="AY82" s="7">
        <v>0</v>
      </c>
      <c r="AZ82" s="7">
        <v>0</v>
      </c>
      <c r="BA82" s="7">
        <v>148368</v>
      </c>
      <c r="BB82" s="7">
        <v>0</v>
      </c>
      <c r="BC82" s="7">
        <v>66593</v>
      </c>
      <c r="BD82" s="7">
        <v>0</v>
      </c>
      <c r="BE82" s="7">
        <v>0</v>
      </c>
      <c r="BF82" s="7">
        <v>0</v>
      </c>
      <c r="BG82" s="7">
        <v>5364</v>
      </c>
      <c r="BH82" s="7">
        <v>2991</v>
      </c>
      <c r="BI82" s="7">
        <v>0</v>
      </c>
      <c r="BJ82" s="7"/>
      <c r="BK82" s="7">
        <v>0</v>
      </c>
      <c r="BL82" s="7">
        <v>-440</v>
      </c>
      <c r="BM82" s="7">
        <v>-1365</v>
      </c>
      <c r="BN82" s="7">
        <v>-817</v>
      </c>
      <c r="BO82" s="7">
        <v>-20</v>
      </c>
      <c r="BP82" s="7">
        <f t="shared" si="17"/>
        <v>5713</v>
      </c>
      <c r="BQ82" s="1">
        <v>24</v>
      </c>
      <c r="BR82" s="7">
        <v>740</v>
      </c>
      <c r="BS82" s="7">
        <v>44</v>
      </c>
      <c r="BT82" s="7">
        <v>33</v>
      </c>
      <c r="BU82" s="7">
        <v>0</v>
      </c>
      <c r="BV82" s="7">
        <v>0</v>
      </c>
      <c r="BW82" s="7">
        <v>9</v>
      </c>
      <c r="BX82" s="7">
        <v>14</v>
      </c>
      <c r="BY82" s="7">
        <v>78</v>
      </c>
      <c r="BZ82" s="7">
        <v>261</v>
      </c>
      <c r="CA82" s="7">
        <v>26</v>
      </c>
      <c r="CB82" s="7">
        <v>19</v>
      </c>
      <c r="CC82" s="7">
        <v>50</v>
      </c>
      <c r="CD82" s="7">
        <v>157</v>
      </c>
      <c r="CE82" s="7">
        <v>776</v>
      </c>
      <c r="CF82" s="7">
        <v>98</v>
      </c>
    </row>
    <row r="83" spans="1:84" x14ac:dyDescent="0.25">
      <c r="A83" s="15">
        <v>8</v>
      </c>
      <c r="B83" s="8" t="s">
        <v>707</v>
      </c>
      <c r="C83" s="57" t="s">
        <v>296</v>
      </c>
      <c r="D83" s="8" t="s">
        <v>486</v>
      </c>
      <c r="E83" s="8" t="s">
        <v>732</v>
      </c>
      <c r="F83" s="8" t="s">
        <v>787</v>
      </c>
      <c r="G83" s="8" t="s">
        <v>723</v>
      </c>
      <c r="H83" s="7">
        <v>92480989</v>
      </c>
      <c r="I83" s="7">
        <v>92564880</v>
      </c>
      <c r="J83" s="7">
        <v>2432749</v>
      </c>
      <c r="K83" s="12">
        <v>37699348</v>
      </c>
      <c r="L83" s="12">
        <v>5723408</v>
      </c>
      <c r="M83" s="12">
        <v>21892599</v>
      </c>
      <c r="N83" s="12">
        <v>0</v>
      </c>
      <c r="O83" s="25">
        <f t="shared" si="15"/>
        <v>65315355</v>
      </c>
      <c r="P83" s="12">
        <v>717776</v>
      </c>
      <c r="Q83" s="12">
        <v>2448696</v>
      </c>
      <c r="R83" s="12">
        <v>0</v>
      </c>
      <c r="S83" s="12">
        <f t="shared" si="16"/>
        <v>3166472</v>
      </c>
      <c r="T83" s="7">
        <v>10580567</v>
      </c>
      <c r="U83" s="7">
        <v>3774515</v>
      </c>
      <c r="V83" s="7">
        <v>0</v>
      </c>
      <c r="W83" s="7">
        <v>0</v>
      </c>
      <c r="X83" s="7">
        <v>89074097</v>
      </c>
      <c r="Y83" s="7" t="s">
        <v>531</v>
      </c>
      <c r="Z83" s="26">
        <v>0.09</v>
      </c>
      <c r="AA83" s="7">
        <f>37699348+717776</f>
        <v>38417124</v>
      </c>
      <c r="AB83" s="26">
        <f>2127258/50597906</f>
        <v>4.2042411794669922E-2</v>
      </c>
      <c r="AC83" s="7">
        <v>2126566</v>
      </c>
      <c r="AD83" s="7">
        <v>0</v>
      </c>
      <c r="AE83" s="7">
        <f>78380+13625</f>
        <v>92005</v>
      </c>
      <c r="AF83" s="7">
        <v>1060199</v>
      </c>
      <c r="AG83" s="7">
        <v>85107</v>
      </c>
      <c r="AH83" s="7">
        <v>358834</v>
      </c>
      <c r="AI83" s="7">
        <v>159607</v>
      </c>
      <c r="AJ83" s="7">
        <v>0</v>
      </c>
      <c r="AK83" s="7">
        <v>27116</v>
      </c>
      <c r="AL83" s="7">
        <v>13767</v>
      </c>
      <c r="AM83" s="7">
        <v>904</v>
      </c>
      <c r="AN83" s="7">
        <v>0</v>
      </c>
      <c r="AO83" s="7">
        <f>15864+86801+82905</f>
        <v>185570</v>
      </c>
      <c r="AP83" s="7">
        <v>19715</v>
      </c>
      <c r="AQ83" s="7">
        <v>0</v>
      </c>
      <c r="AR83" s="7">
        <v>0</v>
      </c>
      <c r="AS83" s="7">
        <v>0</v>
      </c>
      <c r="AT83" s="7">
        <v>100738</v>
      </c>
      <c r="AU83" s="7">
        <v>0</v>
      </c>
      <c r="AV83" s="7">
        <v>2128363</v>
      </c>
      <c r="AW83" s="7">
        <v>2153405</v>
      </c>
      <c r="AX83" s="26">
        <f t="shared" si="14"/>
        <v>0</v>
      </c>
      <c r="AY83" s="7">
        <v>0</v>
      </c>
      <c r="AZ83" s="7">
        <v>0</v>
      </c>
      <c r="BA83" s="7">
        <v>148368</v>
      </c>
      <c r="BB83" s="7">
        <v>0</v>
      </c>
      <c r="BC83" s="7">
        <v>194069</v>
      </c>
      <c r="BD83" s="7">
        <v>0</v>
      </c>
      <c r="BE83" s="7">
        <v>0</v>
      </c>
      <c r="BF83" s="7">
        <v>0</v>
      </c>
      <c r="BG83" s="7">
        <v>14342</v>
      </c>
      <c r="BH83" s="7">
        <v>8036</v>
      </c>
      <c r="BI83" s="7">
        <v>0</v>
      </c>
      <c r="BJ83" s="7"/>
      <c r="BK83" s="7">
        <v>-9</v>
      </c>
      <c r="BL83" s="7">
        <v>-435</v>
      </c>
      <c r="BM83" s="7">
        <v>-5301</v>
      </c>
      <c r="BN83" s="7">
        <v>-1673</v>
      </c>
      <c r="BO83" s="7">
        <v>0</v>
      </c>
      <c r="BP83" s="7">
        <f t="shared" si="17"/>
        <v>14960</v>
      </c>
      <c r="BQ83" s="1">
        <v>245</v>
      </c>
      <c r="BR83" s="7">
        <v>834</v>
      </c>
      <c r="BS83" s="7">
        <v>218</v>
      </c>
      <c r="BT83" s="7">
        <v>588</v>
      </c>
      <c r="BU83" s="7">
        <v>5</v>
      </c>
      <c r="BV83" s="7">
        <v>28</v>
      </c>
      <c r="BW83" s="7">
        <v>2</v>
      </c>
      <c r="BX83" s="7">
        <v>19</v>
      </c>
      <c r="BY83" s="7">
        <v>129</v>
      </c>
      <c r="BZ83" s="7">
        <v>234</v>
      </c>
      <c r="CA83" s="7">
        <v>3</v>
      </c>
      <c r="CB83" s="7">
        <v>74</v>
      </c>
      <c r="CC83" s="7">
        <v>99</v>
      </c>
      <c r="CD83" s="7">
        <v>788</v>
      </c>
      <c r="CE83" s="7">
        <v>2057</v>
      </c>
      <c r="CF83" s="7">
        <v>72</v>
      </c>
    </row>
    <row r="84" spans="1:84" x14ac:dyDescent="0.25">
      <c r="A84" s="15">
        <v>8</v>
      </c>
      <c r="B84" s="8" t="s">
        <v>709</v>
      </c>
      <c r="C84" s="57" t="s">
        <v>124</v>
      </c>
      <c r="D84" s="8" t="s">
        <v>150</v>
      </c>
      <c r="E84" s="8" t="s">
        <v>732</v>
      </c>
      <c r="F84" s="8" t="s">
        <v>234</v>
      </c>
      <c r="G84" s="8" t="s">
        <v>723</v>
      </c>
      <c r="H84" s="7">
        <v>73072558</v>
      </c>
      <c r="I84" s="7">
        <v>73095290</v>
      </c>
      <c r="J84" s="7">
        <v>885230</v>
      </c>
      <c r="K84" s="12">
        <v>15017304</v>
      </c>
      <c r="L84" s="12">
        <v>1477583</v>
      </c>
      <c r="M84" s="12">
        <v>0</v>
      </c>
      <c r="N84" s="12">
        <v>33893628</v>
      </c>
      <c r="O84" s="25">
        <f t="shared" si="15"/>
        <v>50388515</v>
      </c>
      <c r="P84" s="12">
        <v>36320</v>
      </c>
      <c r="Q84" s="12">
        <v>0</v>
      </c>
      <c r="R84" s="12">
        <v>1470334</v>
      </c>
      <c r="S84" s="12">
        <f t="shared" si="16"/>
        <v>1506654</v>
      </c>
      <c r="T84" s="7">
        <v>13957989</v>
      </c>
      <c r="U84" s="7">
        <v>3304360</v>
      </c>
      <c r="V84" s="7">
        <v>0</v>
      </c>
      <c r="W84" s="7">
        <v>0</v>
      </c>
      <c r="X84" s="7">
        <v>71491077</v>
      </c>
      <c r="Y84" s="7" t="s">
        <v>19</v>
      </c>
      <c r="Z84" s="26">
        <v>8.0299999999999996E-2</v>
      </c>
      <c r="AA84" s="7">
        <v>21039552</v>
      </c>
      <c r="AB84" s="26">
        <f>1746222/50451525</f>
        <v>3.4611877440771113E-2</v>
      </c>
      <c r="AC84" s="7">
        <v>1746222</v>
      </c>
      <c r="AD84" s="7">
        <v>0</v>
      </c>
      <c r="AE84" s="7">
        <f>22732+1299</f>
        <v>24031</v>
      </c>
      <c r="AF84" s="7">
        <v>854510</v>
      </c>
      <c r="AG84" s="7">
        <v>68594</v>
      </c>
      <c r="AH84" s="7">
        <v>139658</v>
      </c>
      <c r="AI84" s="7">
        <v>118641</v>
      </c>
      <c r="AJ84" s="7">
        <v>1261</v>
      </c>
      <c r="AK84" s="7">
        <v>61809</v>
      </c>
      <c r="AL84" s="7">
        <v>11724</v>
      </c>
      <c r="AM84" s="7">
        <v>17295</v>
      </c>
      <c r="AN84" s="7">
        <v>31752</v>
      </c>
      <c r="AO84" s="7">
        <f>18048+36213+138722</f>
        <v>192983</v>
      </c>
      <c r="AP84" s="7">
        <v>11634</v>
      </c>
      <c r="AQ84" s="7">
        <v>0</v>
      </c>
      <c r="AR84" s="7">
        <v>0</v>
      </c>
      <c r="AS84" s="7">
        <v>33258</v>
      </c>
      <c r="AT84" s="7">
        <v>29200</v>
      </c>
      <c r="AU84" s="7">
        <v>0</v>
      </c>
      <c r="AV84" s="7">
        <v>1618893</v>
      </c>
      <c r="AW84" s="7">
        <v>1652660</v>
      </c>
      <c r="AX84" s="26">
        <f t="shared" si="14"/>
        <v>0</v>
      </c>
      <c r="AY84" s="7">
        <v>0</v>
      </c>
      <c r="AZ84" s="7">
        <v>0</v>
      </c>
      <c r="BA84" s="7">
        <v>148368</v>
      </c>
      <c r="BB84" s="7">
        <v>0</v>
      </c>
      <c r="BC84" s="7">
        <v>116524</v>
      </c>
      <c r="BD84" s="7">
        <v>0</v>
      </c>
      <c r="BE84" s="7">
        <v>0</v>
      </c>
      <c r="BF84" s="7">
        <v>0</v>
      </c>
      <c r="BG84" s="7">
        <v>9511</v>
      </c>
      <c r="BH84" s="7">
        <v>4471</v>
      </c>
      <c r="BI84" s="7">
        <v>1506</v>
      </c>
      <c r="BJ84" s="7"/>
      <c r="BK84" s="7">
        <v>-13</v>
      </c>
      <c r="BL84" s="7">
        <v>-915</v>
      </c>
      <c r="BM84" s="7">
        <v>-2651</v>
      </c>
      <c r="BN84" s="7">
        <v>-2324</v>
      </c>
      <c r="BO84" s="7">
        <v>-3</v>
      </c>
      <c r="BP84" s="7">
        <f t="shared" si="17"/>
        <v>9582</v>
      </c>
      <c r="BQ84" s="1">
        <v>241</v>
      </c>
      <c r="BR84" s="7">
        <v>1171</v>
      </c>
      <c r="BS84" s="7">
        <v>65</v>
      </c>
      <c r="BT84" s="7">
        <v>187</v>
      </c>
      <c r="BU84" s="7">
        <v>3</v>
      </c>
      <c r="BV84" s="7">
        <v>11</v>
      </c>
      <c r="BW84" s="7">
        <v>468</v>
      </c>
      <c r="BX84" s="7">
        <v>21</v>
      </c>
      <c r="BY84" s="7">
        <v>95</v>
      </c>
      <c r="BZ84" s="7">
        <v>56</v>
      </c>
      <c r="CA84" s="7">
        <v>115</v>
      </c>
      <c r="CB84" s="7">
        <v>1306</v>
      </c>
      <c r="CC84" s="7">
        <v>53</v>
      </c>
      <c r="CD84" s="7">
        <v>169</v>
      </c>
      <c r="CE84" s="7">
        <v>172</v>
      </c>
      <c r="CF84" s="7">
        <v>632</v>
      </c>
    </row>
    <row r="85" spans="1:84" x14ac:dyDescent="0.25">
      <c r="A85" s="15">
        <v>9</v>
      </c>
      <c r="B85" s="8" t="s">
        <v>87</v>
      </c>
      <c r="C85" s="57" t="s">
        <v>133</v>
      </c>
      <c r="D85" s="8" t="s">
        <v>274</v>
      </c>
      <c r="E85" s="1" t="s">
        <v>492</v>
      </c>
      <c r="F85" s="8" t="s">
        <v>234</v>
      </c>
      <c r="G85" s="8" t="s">
        <v>494</v>
      </c>
      <c r="H85" s="7">
        <v>19666134</v>
      </c>
      <c r="I85" s="7">
        <v>20028834</v>
      </c>
      <c r="J85" s="7">
        <v>1029611</v>
      </c>
      <c r="K85" s="12">
        <v>8578134</v>
      </c>
      <c r="L85" s="12">
        <v>899566</v>
      </c>
      <c r="M85" s="12">
        <v>3616092</v>
      </c>
      <c r="N85" s="12">
        <v>0</v>
      </c>
      <c r="O85" s="25">
        <f t="shared" si="15"/>
        <v>13093792</v>
      </c>
      <c r="P85" s="12">
        <v>0</v>
      </c>
      <c r="Q85" s="12">
        <v>663848</v>
      </c>
      <c r="R85" s="12">
        <v>0</v>
      </c>
      <c r="S85" s="12">
        <f t="shared" si="16"/>
        <v>663848</v>
      </c>
      <c r="T85" s="7">
        <v>2402971</v>
      </c>
      <c r="U85" s="7">
        <v>776147</v>
      </c>
      <c r="V85" s="7">
        <v>0</v>
      </c>
      <c r="W85" s="7">
        <v>0</v>
      </c>
      <c r="X85" s="7">
        <v>18005928</v>
      </c>
      <c r="Y85" s="7" t="s">
        <v>74</v>
      </c>
      <c r="Z85" s="26">
        <v>0.15010000000000001</v>
      </c>
      <c r="AA85" s="7">
        <v>0</v>
      </c>
      <c r="AB85" s="26">
        <f>1052641/17320751</f>
        <v>6.0773404109325281E-2</v>
      </c>
      <c r="AC85" s="7">
        <v>1052641</v>
      </c>
      <c r="AD85" s="7">
        <v>0</v>
      </c>
      <c r="AE85" s="7">
        <f>38139+1257</f>
        <v>39396</v>
      </c>
      <c r="AF85" s="7">
        <v>295622</v>
      </c>
      <c r="AG85" s="7">
        <v>27948</v>
      </c>
      <c r="AH85" s="7">
        <v>61890</v>
      </c>
      <c r="AI85" s="7">
        <f>33756+6862</f>
        <v>40618</v>
      </c>
      <c r="AJ85" s="7">
        <v>37080</v>
      </c>
      <c r="AK85" s="7">
        <v>43598</v>
      </c>
      <c r="AL85" s="7">
        <v>9424</v>
      </c>
      <c r="AM85" s="7">
        <v>17840</v>
      </c>
      <c r="AN85" s="7">
        <v>0</v>
      </c>
      <c r="AO85" s="7">
        <f>11061+33047+33835</f>
        <v>77943</v>
      </c>
      <c r="AP85" s="7">
        <v>18173</v>
      </c>
      <c r="AQ85" s="7">
        <v>0</v>
      </c>
      <c r="AR85" s="7">
        <v>4880</v>
      </c>
      <c r="AS85" s="7">
        <v>375</v>
      </c>
      <c r="AT85" s="7">
        <v>115459</v>
      </c>
      <c r="AU85" s="7">
        <v>0</v>
      </c>
      <c r="AV85" s="7">
        <v>916068</v>
      </c>
      <c r="AW85" s="7">
        <v>941448</v>
      </c>
      <c r="AX85" s="26">
        <f t="shared" si="14"/>
        <v>0</v>
      </c>
      <c r="AY85" s="7">
        <v>8246</v>
      </c>
      <c r="AZ85" s="7">
        <v>0</v>
      </c>
      <c r="BA85" s="7">
        <v>148368</v>
      </c>
      <c r="BB85" s="7">
        <v>0</v>
      </c>
      <c r="BC85" s="7">
        <v>99913</v>
      </c>
      <c r="BD85" s="7">
        <v>0</v>
      </c>
      <c r="BE85" s="7">
        <v>0</v>
      </c>
      <c r="BF85" s="7">
        <v>0</v>
      </c>
      <c r="BG85" s="7">
        <v>1794</v>
      </c>
      <c r="BH85" s="7">
        <v>1122</v>
      </c>
      <c r="BI85" s="7">
        <v>1</v>
      </c>
      <c r="BJ85" s="7"/>
      <c r="BK85" s="7">
        <f>2+8-4</f>
        <v>6</v>
      </c>
      <c r="BL85" s="7">
        <v>-172</v>
      </c>
      <c r="BM85" s="7">
        <v>-383</v>
      </c>
      <c r="BN85" s="7">
        <v>-286</v>
      </c>
      <c r="BO85" s="7">
        <v>-2</v>
      </c>
      <c r="BP85" s="7">
        <f t="shared" si="17"/>
        <v>2080</v>
      </c>
      <c r="BQ85" s="1">
        <v>1</v>
      </c>
      <c r="BR85" s="7">
        <v>101</v>
      </c>
      <c r="BS85" s="7">
        <v>47</v>
      </c>
      <c r="BT85" s="7">
        <v>128</v>
      </c>
      <c r="BU85" s="7">
        <v>6</v>
      </c>
      <c r="BV85" s="7">
        <v>4</v>
      </c>
      <c r="BW85" s="7">
        <v>0</v>
      </c>
      <c r="BX85" s="7">
        <v>5</v>
      </c>
      <c r="BY85" s="7">
        <v>18</v>
      </c>
      <c r="BZ85" s="7">
        <v>78</v>
      </c>
      <c r="CA85" s="7">
        <v>0</v>
      </c>
      <c r="CB85" s="7">
        <v>1</v>
      </c>
      <c r="CC85" s="7">
        <v>4</v>
      </c>
      <c r="CD85" s="7">
        <v>22</v>
      </c>
      <c r="CE85" s="7">
        <v>130</v>
      </c>
      <c r="CF85" s="7">
        <v>3</v>
      </c>
    </row>
    <row r="86" spans="1:84" x14ac:dyDescent="0.25">
      <c r="A86" s="15">
        <v>9</v>
      </c>
      <c r="B86" s="8" t="s">
        <v>121</v>
      </c>
      <c r="C86" s="57" t="s">
        <v>470</v>
      </c>
      <c r="D86" s="8" t="s">
        <v>157</v>
      </c>
      <c r="E86" s="8" t="s">
        <v>564</v>
      </c>
      <c r="F86" s="8" t="s">
        <v>693</v>
      </c>
      <c r="G86" s="8" t="s">
        <v>565</v>
      </c>
      <c r="H86" s="7">
        <v>19399763</v>
      </c>
      <c r="I86" s="7">
        <v>19403696</v>
      </c>
      <c r="J86" s="7">
        <v>780052</v>
      </c>
      <c r="K86" s="12">
        <v>597223</v>
      </c>
      <c r="L86" s="12">
        <v>2339660</v>
      </c>
      <c r="M86" s="12">
        <v>6899691</v>
      </c>
      <c r="N86" s="12">
        <v>0</v>
      </c>
      <c r="O86" s="25">
        <f t="shared" si="15"/>
        <v>9836574</v>
      </c>
      <c r="P86" s="12">
        <v>24451</v>
      </c>
      <c r="Q86" s="12">
        <v>794499</v>
      </c>
      <c r="R86" s="12">
        <v>0</v>
      </c>
      <c r="S86" s="12">
        <f t="shared" si="16"/>
        <v>818950</v>
      </c>
      <c r="T86" s="7">
        <v>5360172</v>
      </c>
      <c r="U86" s="7">
        <v>1368687</v>
      </c>
      <c r="V86" s="7">
        <v>0</v>
      </c>
      <c r="W86" s="7">
        <v>87371</v>
      </c>
      <c r="X86" s="7">
        <v>18567085</v>
      </c>
      <c r="Y86" s="7" t="s">
        <v>531</v>
      </c>
      <c r="Z86" s="26">
        <v>5.3699999999999998E-2</v>
      </c>
      <c r="AA86" s="7">
        <v>0</v>
      </c>
      <c r="AB86" s="26">
        <f>1094625/18478789</f>
        <v>5.9236836353291335E-2</v>
      </c>
      <c r="AC86" s="7">
        <v>1094406</v>
      </c>
      <c r="AD86" s="7">
        <v>0</v>
      </c>
      <c r="AE86" s="7">
        <f>3917+541</f>
        <v>4458</v>
      </c>
      <c r="AF86" s="7">
        <v>462306</v>
      </c>
      <c r="AG86" s="7">
        <v>36785</v>
      </c>
      <c r="AH86" s="7">
        <v>98781</v>
      </c>
      <c r="AI86" s="7">
        <f>49650+7466</f>
        <v>57116</v>
      </c>
      <c r="AJ86" s="7">
        <v>3009</v>
      </c>
      <c r="AK86" s="7">
        <v>48980</v>
      </c>
      <c r="AL86" s="7">
        <v>9921</v>
      </c>
      <c r="AM86" s="7">
        <v>570</v>
      </c>
      <c r="AN86" s="7">
        <v>70011</v>
      </c>
      <c r="AO86" s="7">
        <f>12827+13023+19233</f>
        <v>45083</v>
      </c>
      <c r="AP86" s="7">
        <v>10124</v>
      </c>
      <c r="AQ86" s="7">
        <v>0</v>
      </c>
      <c r="AR86" s="7">
        <v>400</v>
      </c>
      <c r="AS86" s="7">
        <v>22880</v>
      </c>
      <c r="AT86" s="7">
        <v>91926</v>
      </c>
      <c r="AU86" s="7">
        <v>0</v>
      </c>
      <c r="AV86" s="7">
        <v>1013151</v>
      </c>
      <c r="AW86" s="7">
        <v>1014358</v>
      </c>
      <c r="AX86" s="26">
        <f t="shared" si="14"/>
        <v>0</v>
      </c>
      <c r="AY86" s="7">
        <v>0</v>
      </c>
      <c r="AZ86" s="7">
        <v>0</v>
      </c>
      <c r="BA86" s="7">
        <v>148368</v>
      </c>
      <c r="BB86" s="7">
        <v>0</v>
      </c>
      <c r="BC86" s="7">
        <v>130351</v>
      </c>
      <c r="BD86" s="7">
        <v>0</v>
      </c>
      <c r="BE86" s="7">
        <v>0</v>
      </c>
      <c r="BF86" s="7">
        <v>0</v>
      </c>
      <c r="BG86" s="7">
        <v>3601</v>
      </c>
      <c r="BH86" s="7">
        <v>1931</v>
      </c>
      <c r="BI86" s="7">
        <v>5</v>
      </c>
      <c r="BJ86" s="7"/>
      <c r="BK86" s="7">
        <v>0</v>
      </c>
      <c r="BL86" s="7">
        <v>-233</v>
      </c>
      <c r="BM86" s="7">
        <v>-692</v>
      </c>
      <c r="BN86" s="7">
        <v>-552</v>
      </c>
      <c r="BO86" s="7">
        <v>-8</v>
      </c>
      <c r="BP86" s="7">
        <f t="shared" si="17"/>
        <v>4052</v>
      </c>
      <c r="BQ86" s="1">
        <v>7</v>
      </c>
      <c r="BR86" s="7">
        <v>324</v>
      </c>
      <c r="BS86" s="7">
        <v>72</v>
      </c>
      <c r="BT86" s="7">
        <v>122</v>
      </c>
      <c r="BU86" s="7">
        <v>1</v>
      </c>
      <c r="BV86" s="7">
        <v>31</v>
      </c>
      <c r="BW86" s="7">
        <v>2</v>
      </c>
      <c r="BX86" s="7">
        <v>4</v>
      </c>
      <c r="BY86" s="7">
        <v>46</v>
      </c>
      <c r="BZ86" s="7">
        <v>128</v>
      </c>
      <c r="CA86" s="7">
        <v>6</v>
      </c>
      <c r="CB86" s="7">
        <v>6</v>
      </c>
      <c r="CC86" s="7">
        <v>23</v>
      </c>
      <c r="CD86" s="7">
        <v>101</v>
      </c>
      <c r="CE86" s="7">
        <v>369</v>
      </c>
      <c r="CF86" s="7">
        <v>59</v>
      </c>
    </row>
    <row r="87" spans="1:84" x14ac:dyDescent="0.25">
      <c r="A87" s="15">
        <v>9</v>
      </c>
      <c r="B87" s="1" t="s">
        <v>137</v>
      </c>
      <c r="C87" s="59" t="s">
        <v>425</v>
      </c>
      <c r="D87" s="8" t="s">
        <v>216</v>
      </c>
      <c r="E87" s="8" t="s">
        <v>492</v>
      </c>
      <c r="F87" s="8" t="s">
        <v>234</v>
      </c>
      <c r="G87" s="8" t="s">
        <v>494</v>
      </c>
      <c r="H87" s="7">
        <v>44989417</v>
      </c>
      <c r="I87" s="7">
        <v>45014337</v>
      </c>
      <c r="J87" s="7">
        <v>2021154</v>
      </c>
      <c r="K87" s="12">
        <v>18545471</v>
      </c>
      <c r="L87" s="12">
        <v>2731364</v>
      </c>
      <c r="M87" s="12">
        <v>7433849</v>
      </c>
      <c r="N87" s="12">
        <v>0</v>
      </c>
      <c r="O87" s="25">
        <f t="shared" si="15"/>
        <v>28710684</v>
      </c>
      <c r="P87" s="12">
        <v>0</v>
      </c>
      <c r="Q87" s="12">
        <v>1002806</v>
      </c>
      <c r="R87" s="12">
        <v>0</v>
      </c>
      <c r="S87" s="12">
        <f t="shared" si="16"/>
        <v>1002806</v>
      </c>
      <c r="T87" s="7">
        <v>6097921</v>
      </c>
      <c r="U87" s="7">
        <v>2723899</v>
      </c>
      <c r="V87" s="7">
        <v>53830</v>
      </c>
      <c r="W87" s="7">
        <v>0</v>
      </c>
      <c r="X87" s="7">
        <v>40113544</v>
      </c>
      <c r="Y87" s="7" t="s">
        <v>531</v>
      </c>
      <c r="Z87" s="26">
        <v>0.152</v>
      </c>
      <c r="AA87" s="7">
        <v>0</v>
      </c>
      <c r="AB87" s="26">
        <f>1523113/39761080</f>
        <v>3.8306630504000391E-2</v>
      </c>
      <c r="AC87" s="7">
        <v>1523561</v>
      </c>
      <c r="AD87" s="7">
        <v>0</v>
      </c>
      <c r="AE87" s="7">
        <f>24920+1365</f>
        <v>26285</v>
      </c>
      <c r="AF87" s="7">
        <v>724392</v>
      </c>
      <c r="AG87" s="7">
        <v>60714</v>
      </c>
      <c r="AH87" s="7">
        <v>203736</v>
      </c>
      <c r="AI87" s="7">
        <f>137162+10857</f>
        <v>148019</v>
      </c>
      <c r="AJ87" s="7">
        <v>2434</v>
      </c>
      <c r="AK87" s="7">
        <v>21450</v>
      </c>
      <c r="AL87" s="7">
        <v>9500</v>
      </c>
      <c r="AM87" s="7">
        <v>3140</v>
      </c>
      <c r="AN87" s="7">
        <v>0</v>
      </c>
      <c r="AO87" s="7">
        <f>17719+37200+44951</f>
        <v>99870</v>
      </c>
      <c r="AP87" s="7">
        <v>16496</v>
      </c>
      <c r="AQ87" s="7">
        <v>0</v>
      </c>
      <c r="AR87" s="7">
        <v>0</v>
      </c>
      <c r="AS87" s="7">
        <v>1002</v>
      </c>
      <c r="AT87" s="7">
        <v>83589</v>
      </c>
      <c r="AU87" s="7">
        <v>0</v>
      </c>
      <c r="AV87" s="7">
        <v>1437874</v>
      </c>
      <c r="AW87" s="7">
        <v>1479985</v>
      </c>
      <c r="AX87" s="26">
        <f t="shared" si="14"/>
        <v>0</v>
      </c>
      <c r="AY87" s="7">
        <v>0</v>
      </c>
      <c r="AZ87" s="7">
        <v>0</v>
      </c>
      <c r="BA87" s="7">
        <v>148368</v>
      </c>
      <c r="BB87" s="7">
        <v>0</v>
      </c>
      <c r="BC87" s="7">
        <v>215034</v>
      </c>
      <c r="BD87" s="7">
        <v>0</v>
      </c>
      <c r="BE87" s="7">
        <v>0</v>
      </c>
      <c r="BF87" s="7">
        <v>0</v>
      </c>
      <c r="BG87" s="7">
        <v>4461</v>
      </c>
      <c r="BH87" s="7">
        <v>3386</v>
      </c>
      <c r="BI87" s="7">
        <v>0</v>
      </c>
      <c r="BJ87" s="7"/>
      <c r="BK87" s="7">
        <v>-20</v>
      </c>
      <c r="BL87" s="7">
        <v>-236</v>
      </c>
      <c r="BM87" s="7">
        <v>-1733</v>
      </c>
      <c r="BN87" s="7">
        <v>-370</v>
      </c>
      <c r="BO87" s="7">
        <v>0</v>
      </c>
      <c r="BP87" s="7">
        <f t="shared" si="17"/>
        <v>5488</v>
      </c>
      <c r="BQ87" s="1">
        <v>0</v>
      </c>
      <c r="BR87" s="7">
        <v>167</v>
      </c>
      <c r="BS87" s="7">
        <v>64</v>
      </c>
      <c r="BT87" s="7">
        <v>117</v>
      </c>
      <c r="BU87" s="7">
        <v>0</v>
      </c>
      <c r="BV87" s="7">
        <v>22</v>
      </c>
      <c r="BW87" s="7">
        <v>3</v>
      </c>
      <c r="BX87" s="7">
        <v>11</v>
      </c>
      <c r="BY87" s="7">
        <v>85</v>
      </c>
      <c r="BZ87" s="7">
        <v>135</v>
      </c>
      <c r="CA87" s="7">
        <v>2</v>
      </c>
      <c r="CB87" s="7">
        <v>18</v>
      </c>
      <c r="CC87" s="7">
        <v>28</v>
      </c>
      <c r="CD87" s="7">
        <v>256</v>
      </c>
      <c r="CE87" s="7">
        <v>1266</v>
      </c>
      <c r="CF87" s="7">
        <v>165</v>
      </c>
    </row>
    <row r="88" spans="1:84" x14ac:dyDescent="0.25">
      <c r="A88" s="15">
        <v>9</v>
      </c>
      <c r="B88" s="8" t="s">
        <v>220</v>
      </c>
      <c r="C88" s="57" t="s">
        <v>50</v>
      </c>
      <c r="D88" s="8" t="s">
        <v>736</v>
      </c>
      <c r="E88" s="8" t="s">
        <v>564</v>
      </c>
      <c r="F88" s="8" t="s">
        <v>551</v>
      </c>
      <c r="G88" s="8" t="s">
        <v>565</v>
      </c>
      <c r="H88" s="7">
        <v>5497384</v>
      </c>
      <c r="I88" s="7">
        <v>5499832</v>
      </c>
      <c r="J88" s="7">
        <v>161615</v>
      </c>
      <c r="K88" s="12">
        <v>92068</v>
      </c>
      <c r="L88" s="12">
        <v>781590</v>
      </c>
      <c r="M88" s="12">
        <v>709464</v>
      </c>
      <c r="N88" s="12">
        <v>210815</v>
      </c>
      <c r="O88" s="25">
        <f t="shared" si="15"/>
        <v>1793937</v>
      </c>
      <c r="P88" s="12">
        <v>15448</v>
      </c>
      <c r="Q88" s="12">
        <v>224633</v>
      </c>
      <c r="R88" s="12">
        <v>65451</v>
      </c>
      <c r="S88" s="12">
        <f t="shared" si="16"/>
        <v>305532</v>
      </c>
      <c r="T88" s="7">
        <v>2532736</v>
      </c>
      <c r="U88" s="7">
        <v>136846</v>
      </c>
      <c r="V88" s="7">
        <v>0</v>
      </c>
      <c r="W88" s="7">
        <v>0</v>
      </c>
      <c r="X88" s="7">
        <v>5284280</v>
      </c>
      <c r="Y88" s="7" t="s">
        <v>688</v>
      </c>
      <c r="Z88" s="26">
        <v>5.1499999999999997E-2</v>
      </c>
      <c r="AA88" s="7">
        <v>0</v>
      </c>
      <c r="AB88" s="26">
        <f>515827/5284280</f>
        <v>9.761537995715594E-2</v>
      </c>
      <c r="AC88" s="7">
        <v>515229</v>
      </c>
      <c r="AD88" s="7">
        <v>0</v>
      </c>
      <c r="AE88" s="7">
        <f>2448+92</f>
        <v>2540</v>
      </c>
      <c r="AF88" s="7">
        <v>151358</v>
      </c>
      <c r="AG88" s="7">
        <v>13079</v>
      </c>
      <c r="AH88" s="7">
        <v>46664</v>
      </c>
      <c r="AI88" s="7">
        <f>17800+2296</f>
        <v>20096</v>
      </c>
      <c r="AJ88" s="7">
        <v>7525</v>
      </c>
      <c r="AK88" s="7">
        <v>26729</v>
      </c>
      <c r="AL88" s="7">
        <v>8726</v>
      </c>
      <c r="AM88" s="7">
        <v>0</v>
      </c>
      <c r="AN88" s="7">
        <v>39165</v>
      </c>
      <c r="AO88" s="7">
        <f>4001+11809+5248</f>
        <v>21058</v>
      </c>
      <c r="AP88" s="7">
        <v>250</v>
      </c>
      <c r="AQ88" s="7">
        <v>0</v>
      </c>
      <c r="AR88" s="7">
        <v>0</v>
      </c>
      <c r="AS88" s="7">
        <v>1008</v>
      </c>
      <c r="AT88" s="7">
        <v>6759</v>
      </c>
      <c r="AU88" s="7">
        <v>0</v>
      </c>
      <c r="AV88" s="7">
        <v>367162</v>
      </c>
      <c r="AW88" s="7">
        <v>367797</v>
      </c>
      <c r="AX88" s="26">
        <f t="shared" si="14"/>
        <v>0</v>
      </c>
      <c r="AY88" s="7">
        <v>0</v>
      </c>
      <c r="AZ88" s="7">
        <v>0</v>
      </c>
      <c r="BA88" s="7">
        <v>148368</v>
      </c>
      <c r="BB88" s="7">
        <v>0</v>
      </c>
      <c r="BC88" s="7">
        <v>46150</v>
      </c>
      <c r="BD88" s="7">
        <v>0</v>
      </c>
      <c r="BE88" s="7">
        <v>0</v>
      </c>
      <c r="BF88" s="7">
        <v>0</v>
      </c>
      <c r="BG88" s="7">
        <v>1033</v>
      </c>
      <c r="BH88" s="7">
        <v>634</v>
      </c>
      <c r="BI88" s="7">
        <v>73</v>
      </c>
      <c r="BJ88" s="7"/>
      <c r="BK88" s="7">
        <v>0</v>
      </c>
      <c r="BL88" s="7">
        <v>-127</v>
      </c>
      <c r="BM88" s="7">
        <v>-368</v>
      </c>
      <c r="BN88" s="7">
        <v>-163</v>
      </c>
      <c r="BO88" s="7">
        <v>-3</v>
      </c>
      <c r="BP88" s="7">
        <f t="shared" si="17"/>
        <v>1079</v>
      </c>
      <c r="BQ88" s="1">
        <v>0</v>
      </c>
      <c r="BR88" s="7">
        <v>136</v>
      </c>
      <c r="BS88" s="7">
        <v>5</v>
      </c>
      <c r="BT88" s="7">
        <v>3</v>
      </c>
      <c r="BU88" s="7">
        <v>0</v>
      </c>
      <c r="BV88" s="7">
        <v>3</v>
      </c>
      <c r="BW88" s="7">
        <v>65</v>
      </c>
      <c r="BX88" s="7">
        <v>1</v>
      </c>
      <c r="BY88" s="7">
        <v>1</v>
      </c>
      <c r="BZ88" s="7">
        <v>0</v>
      </c>
      <c r="CA88" s="7">
        <v>1</v>
      </c>
      <c r="CB88" s="7">
        <v>226</v>
      </c>
      <c r="CC88" s="7">
        <v>1</v>
      </c>
      <c r="CD88" s="7">
        <v>2</v>
      </c>
      <c r="CE88" s="7">
        <v>0</v>
      </c>
      <c r="CF88" s="7">
        <v>15</v>
      </c>
    </row>
    <row r="89" spans="1:84" x14ac:dyDescent="0.25">
      <c r="A89" s="15">
        <v>9</v>
      </c>
      <c r="B89" s="8" t="s">
        <v>291</v>
      </c>
      <c r="C89" s="57" t="s">
        <v>493</v>
      </c>
      <c r="D89" s="8" t="s">
        <v>857</v>
      </c>
      <c r="E89" s="8" t="s">
        <v>564</v>
      </c>
      <c r="F89" s="8" t="s">
        <v>551</v>
      </c>
      <c r="G89" s="8" t="s">
        <v>565</v>
      </c>
      <c r="H89" s="7">
        <v>9110431</v>
      </c>
      <c r="I89" s="7">
        <v>9115785</v>
      </c>
      <c r="J89" s="7">
        <v>430672</v>
      </c>
      <c r="K89" s="12">
        <v>74805</v>
      </c>
      <c r="L89" s="12">
        <v>497450</v>
      </c>
      <c r="M89" s="12">
        <v>0</v>
      </c>
      <c r="N89" s="12">
        <v>3247579</v>
      </c>
      <c r="O89" s="25">
        <f t="shared" si="15"/>
        <v>3819834</v>
      </c>
      <c r="P89" s="12">
        <v>0</v>
      </c>
      <c r="Q89" s="12">
        <v>0</v>
      </c>
      <c r="R89" s="12">
        <v>388558</v>
      </c>
      <c r="S89" s="12">
        <f t="shared" si="16"/>
        <v>388558</v>
      </c>
      <c r="T89" s="7">
        <v>2982660</v>
      </c>
      <c r="U89" s="7">
        <v>848552</v>
      </c>
      <c r="V89" s="7">
        <v>0</v>
      </c>
      <c r="W89" s="7">
        <v>0</v>
      </c>
      <c r="X89" s="7">
        <v>8855170</v>
      </c>
      <c r="Y89" s="7" t="s">
        <v>529</v>
      </c>
      <c r="Z89" s="26">
        <v>9.5000000000000001E-2</v>
      </c>
      <c r="AA89" s="7">
        <v>0</v>
      </c>
      <c r="AB89" s="26">
        <f>721090/8776533</f>
        <v>8.2161144953252038E-2</v>
      </c>
      <c r="AC89" s="7">
        <v>716271</v>
      </c>
      <c r="AD89" s="7">
        <v>0</v>
      </c>
      <c r="AE89" s="7">
        <f>5212+80-19281</f>
        <v>-13989</v>
      </c>
      <c r="AF89" s="7">
        <v>246591</v>
      </c>
      <c r="AG89" s="7">
        <v>21456</v>
      </c>
      <c r="AH89" s="7">
        <v>40899</v>
      </c>
      <c r="AI89" s="7">
        <v>51188</v>
      </c>
      <c r="AJ89" s="7">
        <v>1295</v>
      </c>
      <c r="AK89" s="7">
        <v>74518</v>
      </c>
      <c r="AL89" s="7">
        <v>8874</v>
      </c>
      <c r="AM89" s="7">
        <v>0</v>
      </c>
      <c r="AN89" s="7">
        <v>21921</v>
      </c>
      <c r="AO89" s="7">
        <f>4893+16104+14285</f>
        <v>35282</v>
      </c>
      <c r="AP89" s="7">
        <v>250</v>
      </c>
      <c r="AQ89" s="7">
        <v>0</v>
      </c>
      <c r="AR89" s="7">
        <v>0</v>
      </c>
      <c r="AS89" s="7">
        <v>972</v>
      </c>
      <c r="AT89" s="7">
        <v>7777</v>
      </c>
      <c r="AU89" s="7">
        <v>0</v>
      </c>
      <c r="AV89" s="7">
        <v>536748</v>
      </c>
      <c r="AW89" s="7">
        <v>543434</v>
      </c>
      <c r="AX89" s="26">
        <f t="shared" si="14"/>
        <v>0</v>
      </c>
      <c r="AY89" s="7">
        <v>0</v>
      </c>
      <c r="AZ89" s="7">
        <v>0</v>
      </c>
      <c r="BA89" s="7">
        <v>143628</v>
      </c>
      <c r="BB89" s="7">
        <v>0</v>
      </c>
      <c r="BC89" s="7">
        <v>101661</v>
      </c>
      <c r="BD89" s="7">
        <v>10414</v>
      </c>
      <c r="BE89" s="7">
        <v>10414</v>
      </c>
      <c r="BF89" s="7">
        <v>0</v>
      </c>
      <c r="BG89" s="7">
        <v>1998</v>
      </c>
      <c r="BH89" s="7">
        <v>1061</v>
      </c>
      <c r="BI89" s="7">
        <v>0</v>
      </c>
      <c r="BJ89" s="7"/>
      <c r="BK89" s="7">
        <v>6</v>
      </c>
      <c r="BL89" s="7">
        <v>-129</v>
      </c>
      <c r="BM89" s="7">
        <v>-346</v>
      </c>
      <c r="BN89" s="7">
        <v>-309</v>
      </c>
      <c r="BO89" s="7">
        <v>-7</v>
      </c>
      <c r="BP89" s="7">
        <f t="shared" si="17"/>
        <v>2274</v>
      </c>
      <c r="BQ89" s="1">
        <v>6</v>
      </c>
      <c r="BR89" s="7">
        <v>64</v>
      </c>
      <c r="BS89" s="7">
        <v>45</v>
      </c>
      <c r="BT89" s="7">
        <v>260</v>
      </c>
      <c r="BU89" s="7">
        <v>1</v>
      </c>
      <c r="BV89" s="7">
        <v>0</v>
      </c>
      <c r="BW89" s="7">
        <v>26</v>
      </c>
      <c r="BX89" s="7">
        <v>12</v>
      </c>
      <c r="BY89" s="7">
        <v>121</v>
      </c>
      <c r="BZ89" s="7">
        <v>0</v>
      </c>
      <c r="CA89" s="7">
        <v>0</v>
      </c>
      <c r="CB89" s="7">
        <v>76</v>
      </c>
      <c r="CC89" s="7">
        <v>15</v>
      </c>
      <c r="CD89" s="7">
        <v>158</v>
      </c>
      <c r="CE89" s="7">
        <v>0</v>
      </c>
      <c r="CF89" s="7">
        <v>7</v>
      </c>
    </row>
    <row r="90" spans="1:84" x14ac:dyDescent="0.25">
      <c r="A90" s="15">
        <v>9</v>
      </c>
      <c r="B90" s="1" t="s">
        <v>320</v>
      </c>
      <c r="C90" s="59" t="s">
        <v>476</v>
      </c>
      <c r="D90" s="1" t="s">
        <v>408</v>
      </c>
      <c r="E90" s="1" t="s">
        <v>492</v>
      </c>
      <c r="F90" s="8" t="s">
        <v>787</v>
      </c>
      <c r="G90" s="8" t="s">
        <v>494</v>
      </c>
      <c r="H90" s="7">
        <v>21441985</v>
      </c>
      <c r="I90" s="7">
        <v>21501332</v>
      </c>
      <c r="J90" s="7">
        <v>1188837</v>
      </c>
      <c r="K90" s="12">
        <v>6643581</v>
      </c>
      <c r="L90" s="12">
        <v>801029</v>
      </c>
      <c r="M90" s="12">
        <v>4191305</v>
      </c>
      <c r="N90" s="12">
        <v>0</v>
      </c>
      <c r="O90" s="25">
        <f t="shared" si="15"/>
        <v>11635915</v>
      </c>
      <c r="P90" s="12">
        <v>0</v>
      </c>
      <c r="Q90" s="12">
        <v>794548</v>
      </c>
      <c r="R90" s="12">
        <v>0</v>
      </c>
      <c r="S90" s="12">
        <f t="shared" si="16"/>
        <v>794548</v>
      </c>
      <c r="T90" s="7">
        <v>4555187</v>
      </c>
      <c r="U90" s="7">
        <v>877167</v>
      </c>
      <c r="V90" s="7">
        <v>0</v>
      </c>
      <c r="W90" s="7">
        <v>0</v>
      </c>
      <c r="X90" s="7">
        <v>18733127</v>
      </c>
      <c r="Y90" s="7" t="s">
        <v>263</v>
      </c>
      <c r="Z90" s="26">
        <v>0.16889999999999999</v>
      </c>
      <c r="AA90" s="7">
        <v>0</v>
      </c>
      <c r="AB90" s="26">
        <f>829311/18733127</f>
        <v>4.4269758060146602E-2</v>
      </c>
      <c r="AC90" s="7">
        <v>829071</v>
      </c>
      <c r="AD90" s="7">
        <v>0</v>
      </c>
      <c r="AE90" s="7">
        <f>59347+466</f>
        <v>59813</v>
      </c>
      <c r="AF90" s="7">
        <v>320942</v>
      </c>
      <c r="AG90" s="7">
        <v>26222</v>
      </c>
      <c r="AH90" s="7">
        <v>35994</v>
      </c>
      <c r="AI90" s="7">
        <f>66351+7364</f>
        <v>73715</v>
      </c>
      <c r="AJ90" s="7">
        <v>9600</v>
      </c>
      <c r="AK90" s="7">
        <v>42909</v>
      </c>
      <c r="AL90" s="7">
        <v>10472</v>
      </c>
      <c r="AM90" s="7">
        <v>3684</v>
      </c>
      <c r="AN90" s="7">
        <v>423</v>
      </c>
      <c r="AO90" s="7">
        <f>8714+21001+16592</f>
        <v>46307</v>
      </c>
      <c r="AP90" s="7">
        <v>11544</v>
      </c>
      <c r="AQ90" s="7">
        <v>1700</v>
      </c>
      <c r="AR90" s="7">
        <v>0</v>
      </c>
      <c r="AS90" s="7">
        <v>0</v>
      </c>
      <c r="AT90" s="7">
        <v>63517</v>
      </c>
      <c r="AU90" s="7">
        <v>0</v>
      </c>
      <c r="AV90" s="7">
        <v>708748</v>
      </c>
      <c r="AW90" s="7">
        <v>724178</v>
      </c>
      <c r="AX90" s="26">
        <f t="shared" si="14"/>
        <v>0</v>
      </c>
      <c r="AY90" s="7">
        <v>0</v>
      </c>
      <c r="AZ90" s="7">
        <v>0</v>
      </c>
      <c r="BA90" s="7">
        <v>148368</v>
      </c>
      <c r="BB90" s="7">
        <v>0</v>
      </c>
      <c r="BC90" s="7">
        <v>88835</v>
      </c>
      <c r="BD90" s="7">
        <v>0</v>
      </c>
      <c r="BE90" s="7">
        <v>0</v>
      </c>
      <c r="BF90" s="7">
        <v>0</v>
      </c>
      <c r="BG90" s="7">
        <v>2160</v>
      </c>
      <c r="BH90" s="7">
        <v>951</v>
      </c>
      <c r="BI90" s="7">
        <v>299</v>
      </c>
      <c r="BJ90" s="7"/>
      <c r="BK90" s="7">
        <f>-2-4</f>
        <v>-6</v>
      </c>
      <c r="BL90" s="7">
        <v>-163</v>
      </c>
      <c r="BM90" s="7">
        <v>-613</v>
      </c>
      <c r="BN90" s="7">
        <v>-303</v>
      </c>
      <c r="BO90" s="7">
        <v>-4</v>
      </c>
      <c r="BP90" s="7">
        <f t="shared" si="17"/>
        <v>2321</v>
      </c>
      <c r="BQ90" s="1">
        <v>9</v>
      </c>
      <c r="BR90" s="7">
        <v>157</v>
      </c>
      <c r="BS90" s="7">
        <v>41</v>
      </c>
      <c r="BT90" s="7">
        <v>105</v>
      </c>
      <c r="BU90" s="7">
        <v>0</v>
      </c>
      <c r="BV90" s="7">
        <v>0</v>
      </c>
      <c r="BW90" s="7">
        <v>48</v>
      </c>
      <c r="BX90" s="7">
        <v>23</v>
      </c>
      <c r="BY90" s="7">
        <v>54</v>
      </c>
      <c r="BZ90" s="7">
        <v>0</v>
      </c>
      <c r="CA90" s="7">
        <v>0</v>
      </c>
      <c r="CB90" s="7">
        <v>194</v>
      </c>
      <c r="CC90" s="7">
        <v>25</v>
      </c>
      <c r="CD90" s="7">
        <v>128</v>
      </c>
      <c r="CE90" s="7">
        <v>1</v>
      </c>
      <c r="CF90" s="7">
        <v>0</v>
      </c>
    </row>
    <row r="91" spans="1:84" x14ac:dyDescent="0.25">
      <c r="A91" s="15">
        <v>9</v>
      </c>
      <c r="B91" s="8" t="s">
        <v>341</v>
      </c>
      <c r="C91" s="57" t="s">
        <v>395</v>
      </c>
      <c r="D91" s="8" t="s">
        <v>31</v>
      </c>
      <c r="E91" s="8" t="s">
        <v>564</v>
      </c>
      <c r="F91" s="8" t="s">
        <v>551</v>
      </c>
      <c r="G91" s="8" t="s">
        <v>565</v>
      </c>
      <c r="H91" s="7">
        <v>9579735</v>
      </c>
      <c r="I91" s="7">
        <v>9588202</v>
      </c>
      <c r="J91" s="7">
        <v>473762</v>
      </c>
      <c r="K91" s="12">
        <v>0</v>
      </c>
      <c r="L91" s="12">
        <v>962434</v>
      </c>
      <c r="M91" s="12">
        <v>2984526</v>
      </c>
      <c r="N91" s="12">
        <v>0</v>
      </c>
      <c r="O91" s="25">
        <f t="shared" si="15"/>
        <v>3946960</v>
      </c>
      <c r="P91" s="12">
        <v>0</v>
      </c>
      <c r="Q91" s="12">
        <v>852834</v>
      </c>
      <c r="R91" s="12">
        <v>0</v>
      </c>
      <c r="S91" s="12">
        <f t="shared" si="16"/>
        <v>852834</v>
      </c>
      <c r="T91" s="7">
        <v>2347345</v>
      </c>
      <c r="U91" s="7">
        <v>766746</v>
      </c>
      <c r="V91" s="7">
        <v>3100</v>
      </c>
      <c r="W91" s="7">
        <v>0</v>
      </c>
      <c r="X91" s="7">
        <v>8734657</v>
      </c>
      <c r="Y91" s="7" t="s">
        <v>529</v>
      </c>
      <c r="Z91" s="26">
        <v>8.7599999999999997E-2</v>
      </c>
      <c r="AA91" s="7">
        <v>0</v>
      </c>
      <c r="AB91" s="26">
        <f>776703/8726999</f>
        <v>8.9000010198236529E-2</v>
      </c>
      <c r="AC91" s="7">
        <v>776657</v>
      </c>
      <c r="AD91" s="7">
        <v>0</v>
      </c>
      <c r="AE91" s="7">
        <f>8467+729</f>
        <v>9196</v>
      </c>
      <c r="AF91" s="7">
        <v>278054</v>
      </c>
      <c r="AG91" s="7">
        <v>23421</v>
      </c>
      <c r="AH91" s="7">
        <v>77500</v>
      </c>
      <c r="AI91" s="7">
        <f>62976+6502</f>
        <v>69478</v>
      </c>
      <c r="AJ91" s="7">
        <v>2971</v>
      </c>
      <c r="AK91" s="7">
        <v>14156</v>
      </c>
      <c r="AL91" s="7">
        <v>8730</v>
      </c>
      <c r="AM91" s="7">
        <v>3923</v>
      </c>
      <c r="AN91" s="7">
        <v>20096</v>
      </c>
      <c r="AO91" s="7">
        <f>6381+5024+17598</f>
        <v>29003</v>
      </c>
      <c r="AP91" s="7">
        <v>9721</v>
      </c>
      <c r="AQ91" s="7">
        <v>0</v>
      </c>
      <c r="AR91" s="7">
        <v>0</v>
      </c>
      <c r="AS91" s="7">
        <v>8055</v>
      </c>
      <c r="AT91" s="7">
        <v>13564</v>
      </c>
      <c r="AU91" s="7">
        <v>0</v>
      </c>
      <c r="AV91" s="7">
        <v>612535</v>
      </c>
      <c r="AW91" s="7">
        <v>615632</v>
      </c>
      <c r="AX91" s="26">
        <f t="shared" si="14"/>
        <v>0</v>
      </c>
      <c r="AY91" s="7">
        <v>0</v>
      </c>
      <c r="AZ91" s="7">
        <v>0</v>
      </c>
      <c r="BA91" s="7">
        <v>148368</v>
      </c>
      <c r="BB91" s="7">
        <v>0</v>
      </c>
      <c r="BC91" s="7">
        <v>96317</v>
      </c>
      <c r="BD91" s="7">
        <v>0</v>
      </c>
      <c r="BE91" s="7">
        <v>0</v>
      </c>
      <c r="BF91" s="7">
        <v>0</v>
      </c>
      <c r="BG91" s="7">
        <v>2014</v>
      </c>
      <c r="BH91" s="7">
        <v>1068</v>
      </c>
      <c r="BI91" s="7">
        <v>23</v>
      </c>
      <c r="BJ91" s="7"/>
      <c r="BK91" s="7">
        <v>-19</v>
      </c>
      <c r="BL91" s="7">
        <v>-159</v>
      </c>
      <c r="BM91" s="7">
        <v>-305</v>
      </c>
      <c r="BN91" s="7">
        <v>-306</v>
      </c>
      <c r="BO91" s="7">
        <v>-12</v>
      </c>
      <c r="BP91" s="7">
        <f t="shared" si="17"/>
        <v>2304</v>
      </c>
      <c r="BQ91" s="1">
        <v>11</v>
      </c>
      <c r="BR91" s="7">
        <v>74</v>
      </c>
      <c r="BS91" s="7">
        <v>31</v>
      </c>
      <c r="BT91" s="7">
        <v>201</v>
      </c>
      <c r="BU91" s="7">
        <v>3</v>
      </c>
      <c r="BV91" s="7">
        <v>9</v>
      </c>
      <c r="BW91" s="7">
        <v>0</v>
      </c>
      <c r="BX91" s="7">
        <v>2</v>
      </c>
      <c r="BY91" s="7">
        <v>24</v>
      </c>
      <c r="BZ91" s="7">
        <v>98</v>
      </c>
      <c r="CA91" s="7">
        <v>3</v>
      </c>
      <c r="CB91" s="7">
        <v>2</v>
      </c>
      <c r="CC91" s="7">
        <v>2</v>
      </c>
      <c r="CD91" s="7">
        <v>29</v>
      </c>
      <c r="CE91" s="7">
        <v>143</v>
      </c>
      <c r="CF91" s="7">
        <v>7</v>
      </c>
    </row>
    <row r="92" spans="1:84" x14ac:dyDescent="0.25">
      <c r="A92" s="15">
        <v>9</v>
      </c>
      <c r="B92" s="8" t="s">
        <v>400</v>
      </c>
      <c r="C92" s="57" t="s">
        <v>622</v>
      </c>
      <c r="D92" s="8" t="s">
        <v>305</v>
      </c>
      <c r="E92" s="8" t="s">
        <v>492</v>
      </c>
      <c r="F92" s="8" t="s">
        <v>787</v>
      </c>
      <c r="G92" s="8" t="s">
        <v>494</v>
      </c>
      <c r="H92" s="7">
        <v>23859355</v>
      </c>
      <c r="I92" s="7">
        <v>23901971</v>
      </c>
      <c r="J92" s="7">
        <v>807021</v>
      </c>
      <c r="K92" s="12">
        <v>7601058</v>
      </c>
      <c r="L92" s="12">
        <v>1215486</v>
      </c>
      <c r="M92" s="12">
        <v>0</v>
      </c>
      <c r="N92" s="12">
        <v>5034329</v>
      </c>
      <c r="O92" s="25">
        <f t="shared" si="15"/>
        <v>13850873</v>
      </c>
      <c r="P92" s="12">
        <v>0</v>
      </c>
      <c r="Q92" s="12">
        <v>0</v>
      </c>
      <c r="R92" s="12">
        <v>878784</v>
      </c>
      <c r="S92" s="12">
        <f t="shared" si="16"/>
        <v>878784</v>
      </c>
      <c r="T92" s="7">
        <v>4355304</v>
      </c>
      <c r="U92" s="7">
        <v>1782835</v>
      </c>
      <c r="V92" s="7">
        <v>0</v>
      </c>
      <c r="W92" s="7">
        <v>320</v>
      </c>
      <c r="X92" s="7">
        <v>22289947</v>
      </c>
      <c r="Y92" s="7" t="s">
        <v>263</v>
      </c>
      <c r="Z92" s="26">
        <v>0.13289999999999999</v>
      </c>
      <c r="AA92" s="7">
        <v>0</v>
      </c>
      <c r="AB92" s="26">
        <f>1217182/22289627</f>
        <v>5.4607553549460473E-2</v>
      </c>
      <c r="AC92" s="7">
        <v>1218092</v>
      </c>
      <c r="AD92" s="7">
        <v>0</v>
      </c>
      <c r="AE92" s="7">
        <f>42616+6600</f>
        <v>49216</v>
      </c>
      <c r="AF92" s="7">
        <v>571465</v>
      </c>
      <c r="AG92" s="7">
        <v>48541</v>
      </c>
      <c r="AH92" s="7">
        <v>142597</v>
      </c>
      <c r="AI92" s="7">
        <f>103892+12348</f>
        <v>116240</v>
      </c>
      <c r="AJ92" s="7">
        <v>0</v>
      </c>
      <c r="AK92" s="7">
        <v>43062</v>
      </c>
      <c r="AL92" s="7">
        <v>10472</v>
      </c>
      <c r="AM92" s="7">
        <v>5904</v>
      </c>
      <c r="AN92" s="7">
        <v>0</v>
      </c>
      <c r="AO92" s="7">
        <f>14712+31956+35057</f>
        <v>81725</v>
      </c>
      <c r="AP92" s="7">
        <v>9319</v>
      </c>
      <c r="AQ92" s="7">
        <v>1011</v>
      </c>
      <c r="AR92" s="7">
        <v>0</v>
      </c>
      <c r="AS92" s="7">
        <v>1179</v>
      </c>
      <c r="AT92" s="7">
        <v>19872</v>
      </c>
      <c r="AU92" s="7">
        <v>0</v>
      </c>
      <c r="AV92" s="7">
        <v>1106066</v>
      </c>
      <c r="AW92" s="7">
        <v>1136985</v>
      </c>
      <c r="AX92" s="26">
        <f t="shared" si="14"/>
        <v>0</v>
      </c>
      <c r="AY92" s="7">
        <v>0</v>
      </c>
      <c r="AZ92" s="7">
        <v>0</v>
      </c>
      <c r="BA92" s="7">
        <v>148368</v>
      </c>
      <c r="BB92" s="7">
        <v>0</v>
      </c>
      <c r="BC92" s="7">
        <v>175838</v>
      </c>
      <c r="BD92" s="7">
        <v>0</v>
      </c>
      <c r="BE92" s="7">
        <v>0</v>
      </c>
      <c r="BF92" s="7">
        <v>0</v>
      </c>
      <c r="BG92" s="7">
        <v>3411</v>
      </c>
      <c r="BH92" s="7">
        <v>1449</v>
      </c>
      <c r="BI92" s="7">
        <v>6</v>
      </c>
      <c r="BJ92" s="7"/>
      <c r="BK92" s="7">
        <f>-4-4</f>
        <v>-8</v>
      </c>
      <c r="BL92" s="7">
        <v>-153</v>
      </c>
      <c r="BM92" s="7">
        <v>-562</v>
      </c>
      <c r="BN92" s="7">
        <v>-582</v>
      </c>
      <c r="BO92" s="7">
        <v>-2</v>
      </c>
      <c r="BP92" s="7">
        <f t="shared" si="17"/>
        <v>3559</v>
      </c>
      <c r="BQ92" s="1">
        <v>8</v>
      </c>
      <c r="BR92" s="7">
        <v>153</v>
      </c>
      <c r="BS92" s="7">
        <v>94</v>
      </c>
      <c r="BT92" s="7">
        <v>327</v>
      </c>
      <c r="BU92" s="7">
        <v>0</v>
      </c>
      <c r="BV92" s="7">
        <v>10</v>
      </c>
      <c r="BW92" s="7">
        <v>1</v>
      </c>
      <c r="BX92" s="7">
        <v>4</v>
      </c>
      <c r="BY92" s="7">
        <v>31</v>
      </c>
      <c r="BZ92" s="7">
        <v>90</v>
      </c>
      <c r="CA92" s="7">
        <v>1</v>
      </c>
      <c r="CB92" s="7">
        <v>1</v>
      </c>
      <c r="CC92" s="7">
        <v>15</v>
      </c>
      <c r="CD92" s="7">
        <v>57</v>
      </c>
      <c r="CE92" s="7">
        <v>257</v>
      </c>
      <c r="CF92" s="7">
        <v>9</v>
      </c>
    </row>
    <row r="93" spans="1:84" x14ac:dyDescent="0.25">
      <c r="A93" s="15">
        <v>9</v>
      </c>
      <c r="B93" s="8" t="s">
        <v>417</v>
      </c>
      <c r="C93" s="57" t="s">
        <v>394</v>
      </c>
      <c r="D93" s="8" t="s">
        <v>248</v>
      </c>
      <c r="E93" s="8" t="s">
        <v>564</v>
      </c>
      <c r="F93" s="8" t="s">
        <v>693</v>
      </c>
      <c r="G93" s="8" t="s">
        <v>565</v>
      </c>
      <c r="H93" s="7">
        <v>41159484</v>
      </c>
      <c r="I93" s="7">
        <v>41228021</v>
      </c>
      <c r="J93" s="7">
        <v>5407959</v>
      </c>
      <c r="K93" s="12">
        <v>14289703</v>
      </c>
      <c r="L93" s="12">
        <v>2247088</v>
      </c>
      <c r="M93" s="12">
        <v>6654099</v>
      </c>
      <c r="N93" s="12">
        <v>0</v>
      </c>
      <c r="O93" s="25">
        <f t="shared" si="15"/>
        <v>23190890</v>
      </c>
      <c r="P93" s="12">
        <v>0</v>
      </c>
      <c r="Q93" s="12">
        <v>1006315</v>
      </c>
      <c r="R93" s="12">
        <v>0</v>
      </c>
      <c r="S93" s="12">
        <f t="shared" si="16"/>
        <v>1006315</v>
      </c>
      <c r="T93" s="7">
        <v>6874965</v>
      </c>
      <c r="U93" s="7">
        <v>2070447</v>
      </c>
      <c r="V93" s="7">
        <v>4852</v>
      </c>
      <c r="W93" s="7">
        <v>134407</v>
      </c>
      <c r="X93" s="7">
        <v>35434745</v>
      </c>
      <c r="Y93" s="7" t="s">
        <v>603</v>
      </c>
      <c r="Z93" s="26">
        <v>0.18129999999999999</v>
      </c>
      <c r="AA93" s="7">
        <v>0</v>
      </c>
      <c r="AB93" s="26">
        <f>2152880/35293119</f>
        <v>6.0999992661459022E-2</v>
      </c>
      <c r="AC93" s="7">
        <v>2152869</v>
      </c>
      <c r="AD93" s="7">
        <v>0</v>
      </c>
      <c r="AE93" s="7">
        <v>68537</v>
      </c>
      <c r="AF93" s="7">
        <v>1178425</v>
      </c>
      <c r="AG93" s="7">
        <v>90478</v>
      </c>
      <c r="AH93" s="7">
        <v>258199</v>
      </c>
      <c r="AI93" s="7">
        <v>144024</v>
      </c>
      <c r="AJ93" s="7">
        <v>1190</v>
      </c>
      <c r="AK93" s="7">
        <v>33212</v>
      </c>
      <c r="AL93" s="7">
        <v>12615</v>
      </c>
      <c r="AM93" s="7">
        <v>3650</v>
      </c>
      <c r="AN93" s="7">
        <v>88147</v>
      </c>
      <c r="AO93" s="7">
        <f>14862+80383+23014</f>
        <v>118259</v>
      </c>
      <c r="AP93" s="7">
        <v>22557</v>
      </c>
      <c r="AQ93" s="7">
        <v>0</v>
      </c>
      <c r="AR93" s="7">
        <v>0</v>
      </c>
      <c r="AS93" s="7">
        <v>36872</v>
      </c>
      <c r="AT93" s="7">
        <v>82124</v>
      </c>
      <c r="AU93" s="7">
        <v>1668</v>
      </c>
      <c r="AV93" s="7">
        <v>2136658</v>
      </c>
      <c r="AW93" s="7">
        <v>2161470</v>
      </c>
      <c r="AX93" s="26">
        <f t="shared" si="14"/>
        <v>7.8065839268614818E-4</v>
      </c>
      <c r="AY93" s="7">
        <v>0</v>
      </c>
      <c r="AZ93" s="7">
        <v>0</v>
      </c>
      <c r="BA93" s="7">
        <v>148368</v>
      </c>
      <c r="BB93" s="7">
        <v>0</v>
      </c>
      <c r="BC93" s="7">
        <v>142526</v>
      </c>
      <c r="BD93" s="7">
        <v>0</v>
      </c>
      <c r="BE93" s="7">
        <v>0</v>
      </c>
      <c r="BF93" s="7">
        <v>0</v>
      </c>
      <c r="BG93" s="7">
        <v>5430</v>
      </c>
      <c r="BH93" s="7">
        <v>2320</v>
      </c>
      <c r="BI93" s="7">
        <v>0</v>
      </c>
      <c r="BJ93" s="7"/>
      <c r="BK93" s="7">
        <f>25-1</f>
        <v>24</v>
      </c>
      <c r="BL93" s="7">
        <v>-217</v>
      </c>
      <c r="BM93" s="7">
        <v>-863</v>
      </c>
      <c r="BN93" s="7">
        <v>-1163</v>
      </c>
      <c r="BO93" s="7">
        <v>0</v>
      </c>
      <c r="BP93" s="7">
        <f t="shared" si="17"/>
        <v>5531</v>
      </c>
      <c r="BQ93" s="1">
        <v>25</v>
      </c>
      <c r="BR93" s="7">
        <v>204</v>
      </c>
      <c r="BS93" s="7">
        <v>103</v>
      </c>
      <c r="BT93" s="7">
        <v>840</v>
      </c>
      <c r="BU93" s="7">
        <v>16</v>
      </c>
      <c r="BV93" s="7">
        <v>0</v>
      </c>
      <c r="BW93" s="7">
        <v>33</v>
      </c>
      <c r="BX93" s="7">
        <v>7</v>
      </c>
      <c r="BY93" s="7">
        <v>125</v>
      </c>
      <c r="BZ93" s="7">
        <v>1</v>
      </c>
      <c r="CA93" s="7">
        <v>0</v>
      </c>
      <c r="CB93" s="7">
        <v>162</v>
      </c>
      <c r="CC93" s="7">
        <v>36</v>
      </c>
      <c r="CD93" s="7">
        <v>429</v>
      </c>
      <c r="CE93" s="7">
        <v>24</v>
      </c>
      <c r="CF93" s="7">
        <v>0</v>
      </c>
    </row>
    <row r="94" spans="1:84" x14ac:dyDescent="0.25">
      <c r="A94" s="15">
        <v>9</v>
      </c>
      <c r="B94" s="8" t="s">
        <v>480</v>
      </c>
      <c r="C94" s="57" t="s">
        <v>729</v>
      </c>
      <c r="D94" s="8" t="s">
        <v>661</v>
      </c>
      <c r="E94" s="8" t="s">
        <v>492</v>
      </c>
      <c r="F94" s="8" t="s">
        <v>234</v>
      </c>
      <c r="G94" s="8" t="s">
        <v>494</v>
      </c>
      <c r="H94" s="7">
        <v>8126447</v>
      </c>
      <c r="I94" s="7">
        <v>8155556</v>
      </c>
      <c r="J94" s="7">
        <v>394303</v>
      </c>
      <c r="K94" s="12">
        <v>2668374</v>
      </c>
      <c r="L94" s="12">
        <v>941320</v>
      </c>
      <c r="M94" s="12">
        <v>1325281</v>
      </c>
      <c r="N94" s="12">
        <v>0</v>
      </c>
      <c r="O94" s="25">
        <f t="shared" si="15"/>
        <v>4934975</v>
      </c>
      <c r="P94" s="12">
        <v>0</v>
      </c>
      <c r="Q94" s="12">
        <v>256822</v>
      </c>
      <c r="R94" s="12">
        <v>0</v>
      </c>
      <c r="S94" s="12">
        <f t="shared" si="16"/>
        <v>256822</v>
      </c>
      <c r="T94" s="7">
        <v>1380843</v>
      </c>
      <c r="U94" s="7">
        <v>470937</v>
      </c>
      <c r="V94" s="7">
        <v>0</v>
      </c>
      <c r="W94" s="7">
        <v>0</v>
      </c>
      <c r="X94" s="7">
        <v>7369272</v>
      </c>
      <c r="Y94" s="7" t="s">
        <v>700</v>
      </c>
      <c r="Z94" s="26">
        <v>0.13819999999999999</v>
      </c>
      <c r="AA94" s="7">
        <v>0</v>
      </c>
      <c r="AB94" s="26">
        <f>321079/7369272</f>
        <v>4.356997543312284E-2</v>
      </c>
      <c r="AC94" s="7">
        <v>319938</v>
      </c>
      <c r="AD94" s="7">
        <v>0</v>
      </c>
      <c r="AE94" s="7">
        <f>28553+212</f>
        <v>28765</v>
      </c>
      <c r="AF94" s="7">
        <v>87691</v>
      </c>
      <c r="AG94" s="7">
        <v>6880</v>
      </c>
      <c r="AH94" s="7">
        <v>11559</v>
      </c>
      <c r="AI94" s="7">
        <v>820</v>
      </c>
      <c r="AJ94" s="7">
        <v>120</v>
      </c>
      <c r="AK94" s="7">
        <v>8811</v>
      </c>
      <c r="AL94" s="7">
        <v>10172</v>
      </c>
      <c r="AM94" s="7">
        <v>0</v>
      </c>
      <c r="AN94" s="7">
        <v>0</v>
      </c>
      <c r="AO94" s="7">
        <f>2726+15811+10978</f>
        <v>29515</v>
      </c>
      <c r="AP94" s="7">
        <v>3447</v>
      </c>
      <c r="AQ94" s="7">
        <v>0</v>
      </c>
      <c r="AR94" s="7">
        <v>0</v>
      </c>
      <c r="AS94" s="7">
        <v>0</v>
      </c>
      <c r="AT94" s="7">
        <v>5688</v>
      </c>
      <c r="AU94" s="7">
        <v>0</v>
      </c>
      <c r="AV94" s="7">
        <v>200464</v>
      </c>
      <c r="AW94" s="7">
        <v>205890</v>
      </c>
      <c r="AX94" s="26">
        <f t="shared" si="14"/>
        <v>0</v>
      </c>
      <c r="AY94" s="7">
        <v>0</v>
      </c>
      <c r="AZ94" s="7">
        <v>0</v>
      </c>
      <c r="BA94" s="7">
        <v>148368</v>
      </c>
      <c r="BB94" s="7">
        <v>0</v>
      </c>
      <c r="BC94" s="7">
        <v>21220</v>
      </c>
      <c r="BD94" s="7">
        <v>0</v>
      </c>
      <c r="BE94" s="7">
        <v>0</v>
      </c>
      <c r="BF94" s="7">
        <v>0</v>
      </c>
      <c r="BG94" s="7">
        <v>782</v>
      </c>
      <c r="BH94" s="7">
        <v>581</v>
      </c>
      <c r="BI94" s="7">
        <v>3</v>
      </c>
      <c r="BJ94" s="7"/>
      <c r="BK94" s="7">
        <f>4+8</f>
        <v>12</v>
      </c>
      <c r="BL94" s="7">
        <v>-76</v>
      </c>
      <c r="BM94" s="7">
        <v>-178</v>
      </c>
      <c r="BN94" s="7">
        <v>-99</v>
      </c>
      <c r="BO94" s="7">
        <v>-4</v>
      </c>
      <c r="BP94" s="7">
        <f t="shared" si="17"/>
        <v>1021</v>
      </c>
      <c r="BQ94" s="1">
        <v>0</v>
      </c>
      <c r="BR94" s="7">
        <v>27</v>
      </c>
      <c r="BS94" s="7">
        <v>21</v>
      </c>
      <c r="BT94" s="7">
        <v>46</v>
      </c>
      <c r="BU94" s="7">
        <v>0</v>
      </c>
      <c r="BV94" s="7">
        <v>5</v>
      </c>
      <c r="BW94" s="7">
        <v>0</v>
      </c>
      <c r="BX94" s="7">
        <v>2</v>
      </c>
      <c r="BY94" s="7">
        <v>6</v>
      </c>
      <c r="BZ94" s="7">
        <v>36</v>
      </c>
      <c r="CA94" s="7">
        <v>0</v>
      </c>
      <c r="CB94" s="7">
        <v>0</v>
      </c>
      <c r="CC94" s="7">
        <v>0</v>
      </c>
      <c r="CD94" s="7">
        <v>8</v>
      </c>
      <c r="CE94" s="7">
        <v>61</v>
      </c>
      <c r="CF94" s="7">
        <v>2</v>
      </c>
    </row>
    <row r="95" spans="1:84" x14ac:dyDescent="0.25">
      <c r="A95" s="15">
        <v>9</v>
      </c>
      <c r="B95" s="8" t="s">
        <v>591</v>
      </c>
      <c r="C95" s="57" t="s">
        <v>280</v>
      </c>
      <c r="D95" s="8" t="s">
        <v>803</v>
      </c>
      <c r="E95" s="8" t="s">
        <v>564</v>
      </c>
      <c r="F95" s="8" t="s">
        <v>693</v>
      </c>
      <c r="G95" s="8" t="s">
        <v>565</v>
      </c>
      <c r="H95" s="7">
        <v>67542575</v>
      </c>
      <c r="I95" s="7">
        <v>67664056</v>
      </c>
      <c r="J95" s="7">
        <v>1506072</v>
      </c>
      <c r="K95" s="12">
        <v>26439103</v>
      </c>
      <c r="L95" s="12">
        <v>2925633</v>
      </c>
      <c r="M95" s="12">
        <v>0</v>
      </c>
      <c r="N95" s="12">
        <v>16620852</v>
      </c>
      <c r="O95" s="25">
        <f t="shared" si="15"/>
        <v>45985588</v>
      </c>
      <c r="P95" s="12">
        <v>34511</v>
      </c>
      <c r="Q95" s="12">
        <v>0</v>
      </c>
      <c r="R95" s="12">
        <v>2435009</v>
      </c>
      <c r="S95" s="12">
        <f t="shared" si="16"/>
        <v>2469520</v>
      </c>
      <c r="T95" s="7">
        <v>10517283</v>
      </c>
      <c r="U95" s="7">
        <v>3291444</v>
      </c>
      <c r="V95" s="7">
        <v>24476</v>
      </c>
      <c r="W95" s="7">
        <v>268297</v>
      </c>
      <c r="X95" s="7">
        <v>65152364</v>
      </c>
      <c r="Y95" s="7" t="s">
        <v>74</v>
      </c>
      <c r="Z95" s="26">
        <v>8.2500000000000004E-2</v>
      </c>
      <c r="AA95" s="7">
        <v>0</v>
      </c>
      <c r="AB95" s="26">
        <f>2464664/64859591</f>
        <v>3.7999992938592533E-2</v>
      </c>
      <c r="AC95" s="7">
        <v>2464762</v>
      </c>
      <c r="AD95" s="7">
        <v>0</v>
      </c>
      <c r="AE95" s="7">
        <f>112679+24183+1977</f>
        <v>138839</v>
      </c>
      <c r="AF95" s="7">
        <v>1153140</v>
      </c>
      <c r="AG95" s="7">
        <v>90467</v>
      </c>
      <c r="AH95" s="7">
        <v>267945</v>
      </c>
      <c r="AI95" s="7">
        <v>283037</v>
      </c>
      <c r="AJ95" s="7">
        <v>7240</v>
      </c>
      <c r="AK95" s="7">
        <v>43396</v>
      </c>
      <c r="AL95" s="7">
        <v>12036</v>
      </c>
      <c r="AM95" s="7">
        <v>0</v>
      </c>
      <c r="AN95" s="7">
        <v>198602</v>
      </c>
      <c r="AO95" s="7">
        <f>50328+66255+89357</f>
        <v>205940</v>
      </c>
      <c r="AP95" s="7">
        <v>18917</v>
      </c>
      <c r="AQ95" s="7">
        <v>0</v>
      </c>
      <c r="AR95" s="7">
        <v>19369</v>
      </c>
      <c r="AS95" s="7">
        <v>79127</v>
      </c>
      <c r="AT95" s="7">
        <v>84117</v>
      </c>
      <c r="AU95" s="7">
        <v>0</v>
      </c>
      <c r="AV95" s="7">
        <v>2750821</v>
      </c>
      <c r="AW95" s="7">
        <v>2553492</v>
      </c>
      <c r="AX95" s="26">
        <f t="shared" si="14"/>
        <v>0</v>
      </c>
      <c r="AY95" s="7">
        <v>0</v>
      </c>
      <c r="AZ95" s="7">
        <v>0</v>
      </c>
      <c r="BA95" s="7">
        <v>148368</v>
      </c>
      <c r="BB95" s="7">
        <v>0</v>
      </c>
      <c r="BC95" s="7">
        <v>282186</v>
      </c>
      <c r="BD95" s="7">
        <v>0</v>
      </c>
      <c r="BE95" s="7">
        <v>0</v>
      </c>
      <c r="BF95" s="7">
        <v>0</v>
      </c>
      <c r="BG95" s="7">
        <v>8287</v>
      </c>
      <c r="BH95" s="7">
        <v>3929</v>
      </c>
      <c r="BI95" s="7">
        <v>0</v>
      </c>
      <c r="BJ95" s="7"/>
      <c r="BK95" s="7">
        <v>0</v>
      </c>
      <c r="BL95" s="7">
        <v>-406</v>
      </c>
      <c r="BM95" s="7">
        <v>-1479</v>
      </c>
      <c r="BN95" s="7">
        <v>-1306</v>
      </c>
      <c r="BO95" s="7">
        <v>-6</v>
      </c>
      <c r="BP95" s="7">
        <f t="shared" si="17"/>
        <v>9019</v>
      </c>
      <c r="BQ95" s="1">
        <v>115</v>
      </c>
      <c r="BR95" s="7">
        <v>411</v>
      </c>
      <c r="BS95" s="7">
        <v>99</v>
      </c>
      <c r="BT95" s="7">
        <v>796</v>
      </c>
      <c r="BU95" s="7">
        <v>0</v>
      </c>
      <c r="BV95" s="7">
        <v>0</v>
      </c>
      <c r="BW95" s="7">
        <v>0</v>
      </c>
      <c r="BX95" s="7">
        <v>65</v>
      </c>
      <c r="BY95" s="7">
        <v>20</v>
      </c>
      <c r="BZ95" s="7">
        <v>238</v>
      </c>
      <c r="CA95" s="7">
        <v>0</v>
      </c>
      <c r="CB95" s="7">
        <v>299</v>
      </c>
      <c r="CC95" s="7">
        <v>56</v>
      </c>
      <c r="CD95" s="7">
        <v>632</v>
      </c>
      <c r="CE95" s="7">
        <v>0</v>
      </c>
      <c r="CF95" s="7">
        <v>0</v>
      </c>
    </row>
    <row r="96" spans="1:84" x14ac:dyDescent="0.25">
      <c r="A96" s="15">
        <v>9</v>
      </c>
      <c r="B96" s="8" t="s">
        <v>651</v>
      </c>
      <c r="C96" s="57" t="s">
        <v>110</v>
      </c>
      <c r="D96" s="8" t="s">
        <v>305</v>
      </c>
      <c r="E96" s="8" t="s">
        <v>492</v>
      </c>
      <c r="F96" s="8" t="s">
        <v>787</v>
      </c>
      <c r="G96" s="8" t="s">
        <v>494</v>
      </c>
      <c r="H96" s="7">
        <v>14542729</v>
      </c>
      <c r="I96" s="7">
        <v>14556545</v>
      </c>
      <c r="J96" s="7">
        <v>449498</v>
      </c>
      <c r="K96" s="12">
        <v>4398766</v>
      </c>
      <c r="L96" s="12">
        <v>664182</v>
      </c>
      <c r="M96" s="12">
        <v>3511901</v>
      </c>
      <c r="N96" s="12">
        <v>0</v>
      </c>
      <c r="O96" s="25">
        <f t="shared" si="15"/>
        <v>8574849</v>
      </c>
      <c r="P96" s="12">
        <v>0</v>
      </c>
      <c r="Q96" s="12">
        <v>473325</v>
      </c>
      <c r="R96" s="12">
        <v>0</v>
      </c>
      <c r="S96" s="12">
        <f t="shared" si="16"/>
        <v>473325</v>
      </c>
      <c r="T96" s="7">
        <v>2795383</v>
      </c>
      <c r="U96" s="7">
        <v>989167</v>
      </c>
      <c r="V96" s="7">
        <v>112</v>
      </c>
      <c r="W96" s="7">
        <v>0</v>
      </c>
      <c r="X96" s="7">
        <v>13823489</v>
      </c>
      <c r="Y96" s="7" t="s">
        <v>263</v>
      </c>
      <c r="Z96" s="26">
        <v>0.1191</v>
      </c>
      <c r="AA96" s="7">
        <v>0</v>
      </c>
      <c r="AB96" s="26">
        <f>898520/13823377</f>
        <v>6.5000035808905454E-2</v>
      </c>
      <c r="AC96" s="7">
        <v>898225</v>
      </c>
      <c r="AD96" s="7">
        <v>0</v>
      </c>
      <c r="AE96" s="7">
        <f>13816-1086+2200</f>
        <v>14930</v>
      </c>
      <c r="AF96" s="7">
        <v>393297</v>
      </c>
      <c r="AG96" s="7">
        <v>33353</v>
      </c>
      <c r="AH96" s="7">
        <v>114926</v>
      </c>
      <c r="AI96" s="7">
        <v>83236</v>
      </c>
      <c r="AJ96" s="7">
        <v>0</v>
      </c>
      <c r="AK96" s="7">
        <v>25182</v>
      </c>
      <c r="AL96" s="7">
        <v>10518</v>
      </c>
      <c r="AM96" s="7">
        <v>3684</v>
      </c>
      <c r="AN96" s="7">
        <v>23</v>
      </c>
      <c r="AO96" s="7">
        <f>12763+25256+19895</f>
        <v>57914</v>
      </c>
      <c r="AP96" s="7">
        <v>10109</v>
      </c>
      <c r="AQ96" s="7">
        <v>2821</v>
      </c>
      <c r="AR96" s="7">
        <v>0</v>
      </c>
      <c r="AS96" s="7">
        <v>0</v>
      </c>
      <c r="AT96" s="7">
        <v>12096</v>
      </c>
      <c r="AU96" s="7">
        <v>-4230</v>
      </c>
      <c r="AV96" s="7">
        <v>780126</v>
      </c>
      <c r="AW96" s="7">
        <v>812833</v>
      </c>
      <c r="AX96" s="26">
        <f t="shared" si="14"/>
        <v>-5.4222010290645361E-3</v>
      </c>
      <c r="AY96" s="7">
        <v>0</v>
      </c>
      <c r="AZ96" s="7">
        <v>0</v>
      </c>
      <c r="BA96" s="7">
        <v>148368</v>
      </c>
      <c r="BB96" s="7">
        <v>0</v>
      </c>
      <c r="BC96" s="7">
        <v>90584</v>
      </c>
      <c r="BD96" s="7">
        <v>0</v>
      </c>
      <c r="BE96" s="7">
        <v>0</v>
      </c>
      <c r="BF96" s="7">
        <v>0</v>
      </c>
      <c r="BG96" s="7">
        <v>2129</v>
      </c>
      <c r="BH96" s="7">
        <v>969</v>
      </c>
      <c r="BI96" s="7">
        <v>38</v>
      </c>
      <c r="BJ96" s="7"/>
      <c r="BK96" s="7">
        <f>-32-2</f>
        <v>-34</v>
      </c>
      <c r="BL96" s="7">
        <v>-93</v>
      </c>
      <c r="BM96" s="7">
        <v>-402</v>
      </c>
      <c r="BN96" s="7">
        <v>-376</v>
      </c>
      <c r="BO96" s="7">
        <v>0</v>
      </c>
      <c r="BP96" s="7">
        <f t="shared" si="17"/>
        <v>2231</v>
      </c>
      <c r="BQ96" s="1">
        <v>3</v>
      </c>
      <c r="BR96" s="7">
        <v>95</v>
      </c>
      <c r="BS96" s="7">
        <v>56</v>
      </c>
      <c r="BT96" s="7">
        <v>217</v>
      </c>
      <c r="BU96" s="7">
        <v>0</v>
      </c>
      <c r="BV96" s="7">
        <v>7</v>
      </c>
      <c r="BW96" s="7">
        <v>2</v>
      </c>
      <c r="BX96" s="7">
        <v>2</v>
      </c>
      <c r="BY96" s="7">
        <v>13</v>
      </c>
      <c r="BZ96" s="7">
        <v>55</v>
      </c>
      <c r="CA96" s="7">
        <v>0</v>
      </c>
      <c r="CB96" s="7">
        <v>4</v>
      </c>
      <c r="CC96" s="7">
        <v>4</v>
      </c>
      <c r="CD96" s="7">
        <v>46</v>
      </c>
      <c r="CE96" s="7">
        <v>192</v>
      </c>
      <c r="CF96" s="7">
        <v>8</v>
      </c>
    </row>
    <row r="97" spans="1:84" x14ac:dyDescent="0.25">
      <c r="A97" s="15">
        <v>9</v>
      </c>
      <c r="B97" s="8" t="s">
        <v>656</v>
      </c>
      <c r="C97" s="57" t="s">
        <v>735</v>
      </c>
      <c r="D97" s="8" t="s">
        <v>131</v>
      </c>
      <c r="E97" s="8" t="s">
        <v>564</v>
      </c>
      <c r="F97" s="8" t="s">
        <v>551</v>
      </c>
      <c r="G97" s="8" t="s">
        <v>565</v>
      </c>
      <c r="H97" s="7">
        <v>12553411</v>
      </c>
      <c r="I97" s="7">
        <v>12553626</v>
      </c>
      <c r="J97" s="7">
        <v>310602</v>
      </c>
      <c r="K97" s="12">
        <v>2068056</v>
      </c>
      <c r="L97" s="12">
        <v>1016178</v>
      </c>
      <c r="M97" s="12">
        <v>3565697</v>
      </c>
      <c r="N97" s="12">
        <v>0</v>
      </c>
      <c r="O97" s="25">
        <f t="shared" si="15"/>
        <v>6649931</v>
      </c>
      <c r="P97" s="12">
        <v>0</v>
      </c>
      <c r="Q97" s="12">
        <v>454415</v>
      </c>
      <c r="R97" s="12">
        <v>0</v>
      </c>
      <c r="S97" s="12">
        <f t="shared" si="16"/>
        <v>454415</v>
      </c>
      <c r="T97" s="7">
        <v>3076340</v>
      </c>
      <c r="U97" s="7">
        <v>607811</v>
      </c>
      <c r="V97" s="7">
        <v>6352</v>
      </c>
      <c r="W97" s="7">
        <v>0</v>
      </c>
      <c r="X97" s="7">
        <v>11958122</v>
      </c>
      <c r="Y97" s="7" t="s">
        <v>531</v>
      </c>
      <c r="Z97" s="26">
        <v>0.1124</v>
      </c>
      <c r="AA97" s="7">
        <v>0</v>
      </c>
      <c r="AB97" s="26">
        <f>812388/11619907</f>
        <v>6.9913468326381609E-2</v>
      </c>
      <c r="AC97" s="7">
        <v>812374</v>
      </c>
      <c r="AD97" s="7">
        <v>0</v>
      </c>
      <c r="AE97" s="7">
        <f>215+1269</f>
        <v>1484</v>
      </c>
      <c r="AF97" s="7">
        <v>258177</v>
      </c>
      <c r="AG97" s="7">
        <v>23101</v>
      </c>
      <c r="AH97" s="7">
        <v>47669</v>
      </c>
      <c r="AI97" s="7">
        <v>74749</v>
      </c>
      <c r="AJ97" s="7">
        <v>423</v>
      </c>
      <c r="AK97" s="7">
        <v>15140</v>
      </c>
      <c r="AL97" s="7">
        <v>9348</v>
      </c>
      <c r="AM97" s="7">
        <v>3688</v>
      </c>
      <c r="AN97" s="7">
        <v>0</v>
      </c>
      <c r="AO97" s="7">
        <f>6647+21906+16359</f>
        <v>44912</v>
      </c>
      <c r="AP97" s="7">
        <v>14763</v>
      </c>
      <c r="AQ97" s="7">
        <v>0</v>
      </c>
      <c r="AR97" s="7">
        <v>910</v>
      </c>
      <c r="AS97" s="7">
        <v>7445</v>
      </c>
      <c r="AT97" s="7">
        <v>106699</v>
      </c>
      <c r="AU97" s="7">
        <v>0</v>
      </c>
      <c r="AV97" s="7">
        <v>662420</v>
      </c>
      <c r="AW97" s="7">
        <v>691673</v>
      </c>
      <c r="AX97" s="26">
        <f t="shared" si="14"/>
        <v>0</v>
      </c>
      <c r="AY97" s="7">
        <v>0</v>
      </c>
      <c r="AZ97" s="7">
        <v>0</v>
      </c>
      <c r="BA97" s="7">
        <v>148368</v>
      </c>
      <c r="BB97" s="7">
        <v>0</v>
      </c>
      <c r="BC97" s="7">
        <v>58347</v>
      </c>
      <c r="BD97" s="7">
        <v>0</v>
      </c>
      <c r="BE97" s="7">
        <v>0</v>
      </c>
      <c r="BF97" s="7">
        <v>0</v>
      </c>
      <c r="BG97" s="7">
        <v>1956</v>
      </c>
      <c r="BH97" s="7">
        <v>830</v>
      </c>
      <c r="BI97" s="7">
        <v>3</v>
      </c>
      <c r="BJ97" s="7"/>
      <c r="BK97" s="7">
        <v>0</v>
      </c>
      <c r="BL97" s="7">
        <v>-155</v>
      </c>
      <c r="BM97" s="7">
        <v>-234</v>
      </c>
      <c r="BN97" s="7">
        <v>-339</v>
      </c>
      <c r="BO97" s="7">
        <v>-5</v>
      </c>
      <c r="BP97" s="7">
        <f t="shared" si="17"/>
        <v>2056</v>
      </c>
      <c r="BQ97" s="1">
        <v>0</v>
      </c>
      <c r="BR97" s="7">
        <v>82</v>
      </c>
      <c r="BS97" s="7">
        <v>40</v>
      </c>
      <c r="BT97" s="7">
        <v>211</v>
      </c>
      <c r="BU97" s="7">
        <v>1</v>
      </c>
      <c r="BV97" s="7">
        <v>10</v>
      </c>
      <c r="BW97" s="7">
        <v>1</v>
      </c>
      <c r="BX97" s="7">
        <v>0</v>
      </c>
      <c r="BY97" s="7">
        <v>32</v>
      </c>
      <c r="BZ97" s="7">
        <v>88</v>
      </c>
      <c r="CA97" s="7">
        <v>0</v>
      </c>
      <c r="CB97" s="7">
        <v>8</v>
      </c>
      <c r="CC97" s="7">
        <v>5</v>
      </c>
      <c r="CD97" s="7">
        <v>24</v>
      </c>
      <c r="CE97" s="7">
        <v>125</v>
      </c>
      <c r="CF97" s="7">
        <v>5</v>
      </c>
    </row>
    <row r="98" spans="1:84" x14ac:dyDescent="0.25">
      <c r="A98" s="15">
        <v>9</v>
      </c>
      <c r="B98" s="8" t="s">
        <v>658</v>
      </c>
      <c r="C98" s="57" t="s">
        <v>197</v>
      </c>
      <c r="D98" s="8" t="s">
        <v>694</v>
      </c>
      <c r="E98" s="8" t="s">
        <v>492</v>
      </c>
      <c r="F98" s="8" t="s">
        <v>234</v>
      </c>
      <c r="G98" s="8" t="s">
        <v>494</v>
      </c>
      <c r="H98" s="7">
        <v>51011500</v>
      </c>
      <c r="I98" s="7">
        <v>51499716</v>
      </c>
      <c r="J98" s="7">
        <v>3258466</v>
      </c>
      <c r="K98" s="12">
        <v>19585444</v>
      </c>
      <c r="L98" s="12">
        <v>2965294</v>
      </c>
      <c r="M98" s="12">
        <v>8171371</v>
      </c>
      <c r="N98" s="12">
        <v>0</v>
      </c>
      <c r="O98" s="25">
        <f t="shared" si="15"/>
        <v>30722109</v>
      </c>
      <c r="P98" s="12">
        <v>0</v>
      </c>
      <c r="Q98" s="12">
        <v>0</v>
      </c>
      <c r="R98" s="12">
        <v>1480554</v>
      </c>
      <c r="S98" s="12">
        <f t="shared" si="16"/>
        <v>1480554</v>
      </c>
      <c r="T98" s="7">
        <v>9513175</v>
      </c>
      <c r="U98" s="7">
        <v>2657643</v>
      </c>
      <c r="V98" s="7">
        <v>62549</v>
      </c>
      <c r="W98" s="7">
        <v>0</v>
      </c>
      <c r="X98" s="7">
        <v>46843329</v>
      </c>
      <c r="Y98" s="7" t="s">
        <v>352</v>
      </c>
      <c r="Z98" s="26">
        <v>0.11749999999999999</v>
      </c>
      <c r="AA98" s="7">
        <v>0</v>
      </c>
      <c r="AB98" s="26">
        <f>2404564/46559106</f>
        <v>5.1645407452625913E-2</v>
      </c>
      <c r="AC98" s="7">
        <v>2406189</v>
      </c>
      <c r="AD98" s="7">
        <v>0</v>
      </c>
      <c r="AE98" s="7">
        <f>271+4635</f>
        <v>4906</v>
      </c>
      <c r="AF98" s="7">
        <v>1138641</v>
      </c>
      <c r="AG98" s="7">
        <v>95453</v>
      </c>
      <c r="AH98" s="7">
        <v>273506</v>
      </c>
      <c r="AI98" s="7">
        <f>311464+15179</f>
        <v>326643</v>
      </c>
      <c r="AJ98" s="7">
        <v>4841</v>
      </c>
      <c r="AK98" s="7">
        <v>21800</v>
      </c>
      <c r="AL98" s="7">
        <v>11500</v>
      </c>
      <c r="AM98" s="7">
        <v>5271</v>
      </c>
      <c r="AN98" s="7">
        <v>0</v>
      </c>
      <c r="AO98" s="7">
        <f>39838+70043+70030</f>
        <v>179911</v>
      </c>
      <c r="AP98" s="7">
        <v>23530</v>
      </c>
      <c r="AQ98" s="7">
        <v>0</v>
      </c>
      <c r="AR98" s="7">
        <v>0</v>
      </c>
      <c r="AS98" s="7">
        <v>1569</v>
      </c>
      <c r="AT98" s="7">
        <v>75976</v>
      </c>
      <c r="AU98" s="7">
        <v>18444</v>
      </c>
      <c r="AV98" s="7">
        <v>2354047</v>
      </c>
      <c r="AW98" s="7">
        <v>2551491</v>
      </c>
      <c r="AX98" s="26">
        <f t="shared" si="14"/>
        <v>7.8350177375388005E-3</v>
      </c>
      <c r="AY98" s="7">
        <v>0</v>
      </c>
      <c r="AZ98" s="7">
        <v>0</v>
      </c>
      <c r="BA98" s="7">
        <v>148368</v>
      </c>
      <c r="BB98" s="7">
        <v>0</v>
      </c>
      <c r="BC98" s="7">
        <v>286960</v>
      </c>
      <c r="BD98" s="7">
        <v>0</v>
      </c>
      <c r="BE98" s="7">
        <v>0</v>
      </c>
      <c r="BF98" s="7">
        <v>0</v>
      </c>
      <c r="BG98" s="7">
        <v>5528</v>
      </c>
      <c r="BH98" s="7">
        <v>3467</v>
      </c>
      <c r="BI98" s="7">
        <v>0</v>
      </c>
      <c r="BJ98" s="7"/>
      <c r="BK98" s="7">
        <v>-25</v>
      </c>
      <c r="BL98" s="7">
        <v>-299</v>
      </c>
      <c r="BM98" s="7">
        <v>-2193</v>
      </c>
      <c r="BN98" s="7">
        <v>-841</v>
      </c>
      <c r="BO98" s="7">
        <v>0</v>
      </c>
      <c r="BP98" s="7">
        <f t="shared" si="17"/>
        <v>5637</v>
      </c>
      <c r="BQ98" s="1">
        <v>104</v>
      </c>
      <c r="BR98" s="7">
        <v>547</v>
      </c>
      <c r="BS98" s="7">
        <v>256</v>
      </c>
      <c r="BT98" s="7">
        <v>496</v>
      </c>
      <c r="BU98" s="7">
        <v>6</v>
      </c>
      <c r="BV98" s="7">
        <v>20</v>
      </c>
      <c r="BW98" s="7">
        <v>3</v>
      </c>
      <c r="BX98" s="7">
        <v>7</v>
      </c>
      <c r="BY98" s="7">
        <v>69</v>
      </c>
      <c r="BZ98" s="7">
        <v>120</v>
      </c>
      <c r="CA98" s="7">
        <v>0</v>
      </c>
      <c r="CB98" s="7">
        <v>51</v>
      </c>
      <c r="CC98" s="7">
        <v>79</v>
      </c>
      <c r="CD98" s="7">
        <v>276</v>
      </c>
      <c r="CE98" s="7">
        <v>721</v>
      </c>
      <c r="CF98" s="7">
        <v>51</v>
      </c>
    </row>
    <row r="99" spans="1:84" x14ac:dyDescent="0.25">
      <c r="A99" s="15">
        <v>9</v>
      </c>
      <c r="B99" s="8" t="s">
        <v>726</v>
      </c>
      <c r="C99" s="57" t="s">
        <v>720</v>
      </c>
      <c r="D99" s="8" t="s">
        <v>216</v>
      </c>
      <c r="E99" s="8" t="s">
        <v>492</v>
      </c>
      <c r="F99" s="8" t="s">
        <v>234</v>
      </c>
      <c r="G99" s="8" t="s">
        <v>494</v>
      </c>
      <c r="H99" s="7">
        <v>45460171</v>
      </c>
      <c r="I99" s="7">
        <v>45495407</v>
      </c>
      <c r="J99" s="7">
        <v>2296333</v>
      </c>
      <c r="K99" s="12">
        <v>18490248</v>
      </c>
      <c r="L99" s="12">
        <v>2622057</v>
      </c>
      <c r="M99" s="12">
        <v>7572419</v>
      </c>
      <c r="N99" s="12">
        <v>0</v>
      </c>
      <c r="O99" s="25">
        <f t="shared" si="15"/>
        <v>28684724</v>
      </c>
      <c r="P99" s="12">
        <v>0</v>
      </c>
      <c r="Q99" s="12">
        <v>934137</v>
      </c>
      <c r="R99" s="12">
        <v>0</v>
      </c>
      <c r="S99" s="12">
        <f t="shared" si="16"/>
        <v>934137</v>
      </c>
      <c r="T99" s="7">
        <v>6346654</v>
      </c>
      <c r="U99" s="7">
        <v>2514948</v>
      </c>
      <c r="V99" s="7">
        <v>50586</v>
      </c>
      <c r="W99" s="7">
        <v>0</v>
      </c>
      <c r="X99" s="7">
        <v>40477021</v>
      </c>
      <c r="Y99" s="7" t="s">
        <v>531</v>
      </c>
      <c r="Z99" s="26">
        <v>0.16930000000000001</v>
      </c>
      <c r="AA99" s="7">
        <v>0</v>
      </c>
      <c r="AB99" s="26">
        <f>1956021/40426435</f>
        <v>4.8384701742807644E-2</v>
      </c>
      <c r="AC99" s="7">
        <v>1938669</v>
      </c>
      <c r="AD99" s="7">
        <v>0</v>
      </c>
      <c r="AE99" s="7">
        <f>35236+2268</f>
        <v>37504</v>
      </c>
      <c r="AF99" s="7">
        <v>1170004</v>
      </c>
      <c r="AG99" s="7">
        <v>0</v>
      </c>
      <c r="AH99" s="7">
        <v>0</v>
      </c>
      <c r="AI99" s="7">
        <f>149875+16672</f>
        <v>166547</v>
      </c>
      <c r="AJ99" s="7">
        <v>12838</v>
      </c>
      <c r="AK99" s="7">
        <v>38379</v>
      </c>
      <c r="AL99" s="7">
        <v>9500</v>
      </c>
      <c r="AM99" s="7">
        <v>13464</v>
      </c>
      <c r="AN99" s="7">
        <v>0</v>
      </c>
      <c r="AO99" s="7">
        <f>30507+68966+92049</f>
        <v>191522</v>
      </c>
      <c r="AP99" s="7">
        <v>23723</v>
      </c>
      <c r="AQ99" s="7">
        <v>240</v>
      </c>
      <c r="AR99" s="7">
        <v>0</v>
      </c>
      <c r="AS99" s="7">
        <v>0</v>
      </c>
      <c r="AT99" s="7">
        <v>68082</v>
      </c>
      <c r="AU99" s="7">
        <v>0</v>
      </c>
      <c r="AV99" s="7">
        <v>1764063</v>
      </c>
      <c r="AW99" s="7">
        <v>1865015</v>
      </c>
      <c r="AX99" s="26">
        <f t="shared" si="14"/>
        <v>0</v>
      </c>
      <c r="AY99" s="7">
        <v>0</v>
      </c>
      <c r="AZ99" s="7">
        <v>0</v>
      </c>
      <c r="BA99" s="7">
        <v>148368</v>
      </c>
      <c r="BB99" s="7">
        <v>0</v>
      </c>
      <c r="BC99" s="7">
        <v>224693</v>
      </c>
      <c r="BD99" s="7">
        <v>0</v>
      </c>
      <c r="BE99" s="7">
        <v>0</v>
      </c>
      <c r="BF99" s="7">
        <v>0</v>
      </c>
      <c r="BG99" s="7">
        <v>4759</v>
      </c>
      <c r="BH99" s="7">
        <v>3290</v>
      </c>
      <c r="BI99" s="7">
        <v>5</v>
      </c>
      <c r="BJ99" s="7"/>
      <c r="BK99" s="7">
        <f>20+22-12</f>
        <v>30</v>
      </c>
      <c r="BL99" s="7">
        <v>-198</v>
      </c>
      <c r="BM99" s="7">
        <v>-1756</v>
      </c>
      <c r="BN99" s="7">
        <v>-312</v>
      </c>
      <c r="BO99" s="7">
        <v>0</v>
      </c>
      <c r="BP99" s="7">
        <f t="shared" si="17"/>
        <v>5818</v>
      </c>
      <c r="BQ99" s="1">
        <v>0</v>
      </c>
      <c r="BR99" s="7">
        <v>182</v>
      </c>
      <c r="BS99" s="7">
        <v>37</v>
      </c>
      <c r="BT99" s="7">
        <v>80</v>
      </c>
      <c r="BU99" s="7">
        <v>1</v>
      </c>
      <c r="BV99" s="7">
        <v>12</v>
      </c>
      <c r="BW99" s="7">
        <v>1</v>
      </c>
      <c r="BX99" s="7">
        <v>4</v>
      </c>
      <c r="BY99" s="7">
        <v>44</v>
      </c>
      <c r="BZ99" s="7">
        <v>92</v>
      </c>
      <c r="CA99" s="7">
        <v>0</v>
      </c>
      <c r="CB99" s="7">
        <v>12</v>
      </c>
      <c r="CC99" s="7">
        <v>13</v>
      </c>
      <c r="CD99" s="7">
        <v>154</v>
      </c>
      <c r="CE99" s="7">
        <v>588</v>
      </c>
      <c r="CF99" s="7">
        <v>71</v>
      </c>
    </row>
    <row r="100" spans="1:84" x14ac:dyDescent="0.25">
      <c r="A100" s="15">
        <v>9</v>
      </c>
      <c r="B100" s="8" t="s">
        <v>778</v>
      </c>
      <c r="C100" s="57" t="s">
        <v>520</v>
      </c>
      <c r="D100" s="8" t="s">
        <v>164</v>
      </c>
      <c r="E100" s="8" t="s">
        <v>564</v>
      </c>
      <c r="F100" s="8" t="s">
        <v>551</v>
      </c>
      <c r="G100" s="8" t="s">
        <v>565</v>
      </c>
      <c r="H100" s="7">
        <v>26173753</v>
      </c>
      <c r="I100" s="7">
        <v>26209437</v>
      </c>
      <c r="J100" s="7">
        <v>2402687</v>
      </c>
      <c r="K100" s="12">
        <v>25726</v>
      </c>
      <c r="L100" s="12">
        <v>9871304</v>
      </c>
      <c r="M100" s="12">
        <v>1608109</v>
      </c>
      <c r="N100" s="12">
        <v>221143</v>
      </c>
      <c r="O100" s="25">
        <f t="shared" si="15"/>
        <v>11726282</v>
      </c>
      <c r="P100" s="12">
        <v>4969</v>
      </c>
      <c r="Q100" s="12">
        <v>11261</v>
      </c>
      <c r="R100" s="12">
        <v>2036386</v>
      </c>
      <c r="S100" s="12">
        <f t="shared" si="16"/>
        <v>2052616</v>
      </c>
      <c r="T100" s="7">
        <v>6244104</v>
      </c>
      <c r="U100" s="7">
        <v>1274926</v>
      </c>
      <c r="V100" s="7">
        <v>30398</v>
      </c>
      <c r="W100" s="7">
        <v>0</v>
      </c>
      <c r="X100" s="7">
        <v>23119535</v>
      </c>
      <c r="Y100" s="7" t="s">
        <v>74</v>
      </c>
      <c r="Z100" s="26">
        <v>0.12180000000000001</v>
      </c>
      <c r="AA100" s="7">
        <v>0</v>
      </c>
      <c r="AB100" s="26">
        <f>1790188/23072736</f>
        <v>7.7588891061727575E-2</v>
      </c>
      <c r="AC100" s="7">
        <v>1790336</v>
      </c>
      <c r="AD100" s="7">
        <v>0</v>
      </c>
      <c r="AE100" s="7">
        <f>35684+7485+178</f>
        <v>43347</v>
      </c>
      <c r="AF100" s="7">
        <v>755896</v>
      </c>
      <c r="AG100" s="7">
        <v>60261</v>
      </c>
      <c r="AH100" s="7">
        <v>201004</v>
      </c>
      <c r="AI100" s="7">
        <f>91524+12033</f>
        <v>103557</v>
      </c>
      <c r="AJ100" s="7">
        <v>9495</v>
      </c>
      <c r="AK100" s="7">
        <v>108301</v>
      </c>
      <c r="AL100" s="7">
        <v>9248</v>
      </c>
      <c r="AM100" s="7">
        <v>730</v>
      </c>
      <c r="AN100" s="7">
        <v>197418</v>
      </c>
      <c r="AO100" s="7">
        <f>7506+47432+32155</f>
        <v>87093</v>
      </c>
      <c r="AP100" s="7">
        <v>8192</v>
      </c>
      <c r="AQ100" s="7">
        <v>0</v>
      </c>
      <c r="AR100" s="7">
        <v>0</v>
      </c>
      <c r="AS100" s="7">
        <v>54983</v>
      </c>
      <c r="AT100" s="7">
        <v>9585</v>
      </c>
      <c r="AU100" s="7">
        <v>0</v>
      </c>
      <c r="AV100" s="7">
        <v>1704778</v>
      </c>
      <c r="AW100" s="7">
        <v>1724737</v>
      </c>
      <c r="AX100" s="26">
        <f t="shared" ref="AX100:AX131" si="18">AU100/AV100</f>
        <v>0</v>
      </c>
      <c r="AY100" s="7">
        <v>0</v>
      </c>
      <c r="AZ100" s="7">
        <v>0</v>
      </c>
      <c r="BA100" s="7">
        <v>148368</v>
      </c>
      <c r="BB100" s="7">
        <v>0</v>
      </c>
      <c r="BC100" s="7">
        <v>189076</v>
      </c>
      <c r="BD100" s="7">
        <v>0</v>
      </c>
      <c r="BE100" s="7">
        <v>0</v>
      </c>
      <c r="BF100" s="7">
        <v>0</v>
      </c>
      <c r="BG100" s="7">
        <v>5597</v>
      </c>
      <c r="BH100" s="7">
        <v>3464</v>
      </c>
      <c r="BI100" s="7">
        <v>3</v>
      </c>
      <c r="BJ100" s="7"/>
      <c r="BK100" s="7">
        <v>-1</v>
      </c>
      <c r="BL100" s="7">
        <v>-387</v>
      </c>
      <c r="BM100" s="7">
        <v>-1867</v>
      </c>
      <c r="BN100" s="7">
        <v>-780</v>
      </c>
      <c r="BO100" s="7">
        <v>-5</v>
      </c>
      <c r="BP100" s="7">
        <f t="shared" si="17"/>
        <v>6024</v>
      </c>
      <c r="BQ100" s="1">
        <v>14</v>
      </c>
      <c r="BR100" s="7">
        <v>265</v>
      </c>
      <c r="BS100" s="7">
        <v>108</v>
      </c>
      <c r="BT100" s="7">
        <v>367</v>
      </c>
      <c r="BU100" s="7">
        <v>33</v>
      </c>
      <c r="BV100" s="7">
        <v>7</v>
      </c>
      <c r="BW100" s="7">
        <v>84</v>
      </c>
      <c r="BX100" s="7">
        <v>21</v>
      </c>
      <c r="BY100" s="7">
        <v>161</v>
      </c>
      <c r="BZ100" s="7">
        <v>24</v>
      </c>
      <c r="CA100" s="7">
        <v>0</v>
      </c>
      <c r="CB100" s="7">
        <v>368</v>
      </c>
      <c r="CC100" s="7">
        <v>53</v>
      </c>
      <c r="CD100" s="7">
        <v>433</v>
      </c>
      <c r="CE100" s="7">
        <v>84</v>
      </c>
      <c r="CF100" s="7">
        <v>11</v>
      </c>
    </row>
    <row r="101" spans="1:84" x14ac:dyDescent="0.25">
      <c r="A101" s="15">
        <v>10</v>
      </c>
      <c r="B101" s="8" t="s">
        <v>29</v>
      </c>
      <c r="C101" s="57" t="s">
        <v>228</v>
      </c>
      <c r="D101" s="8" t="s">
        <v>277</v>
      </c>
      <c r="E101" s="8" t="s">
        <v>374</v>
      </c>
      <c r="F101" s="8" t="s">
        <v>551</v>
      </c>
      <c r="G101" s="8" t="s">
        <v>376</v>
      </c>
      <c r="H101" s="7">
        <v>4150306</v>
      </c>
      <c r="I101" s="7">
        <v>4160093</v>
      </c>
      <c r="J101" s="7">
        <v>131361</v>
      </c>
      <c r="K101" s="12">
        <v>886921</v>
      </c>
      <c r="L101" s="12">
        <v>122365</v>
      </c>
      <c r="M101" s="12">
        <v>0</v>
      </c>
      <c r="N101" s="12">
        <v>1000273</v>
      </c>
      <c r="O101" s="25">
        <f t="shared" si="15"/>
        <v>2009559</v>
      </c>
      <c r="P101" s="12">
        <v>0</v>
      </c>
      <c r="Q101" s="12">
        <v>0</v>
      </c>
      <c r="R101" s="12">
        <v>117088</v>
      </c>
      <c r="S101" s="12">
        <f t="shared" si="16"/>
        <v>117088</v>
      </c>
      <c r="T101" s="7">
        <v>1111528</v>
      </c>
      <c r="U101" s="7">
        <v>393523</v>
      </c>
      <c r="V101" s="7">
        <v>14409</v>
      </c>
      <c r="W101" s="7">
        <v>0</v>
      </c>
      <c r="X101" s="7">
        <v>3962923</v>
      </c>
      <c r="Y101" s="7" t="s">
        <v>784</v>
      </c>
      <c r="Z101" s="26">
        <v>0.19170000000000001</v>
      </c>
      <c r="AA101" s="7">
        <v>0</v>
      </c>
      <c r="AB101" s="26">
        <f>321780/3948498</f>
        <v>8.1494279596950533E-2</v>
      </c>
      <c r="AC101" s="7">
        <v>316800</v>
      </c>
      <c r="AD101" s="7">
        <v>0</v>
      </c>
      <c r="AE101" s="7">
        <f>9787+75</f>
        <v>9862</v>
      </c>
      <c r="AF101" s="7">
        <v>79837</v>
      </c>
      <c r="AG101" s="7">
        <v>6631</v>
      </c>
      <c r="AH101" s="7">
        <v>11056</v>
      </c>
      <c r="AI101" s="7">
        <v>9475</v>
      </c>
      <c r="AJ101" s="7">
        <v>8425</v>
      </c>
      <c r="AK101" s="7">
        <v>17016</v>
      </c>
      <c r="AL101" s="7">
        <v>6430</v>
      </c>
      <c r="AM101" s="7">
        <v>618</v>
      </c>
      <c r="AN101" s="7">
        <v>8585</v>
      </c>
      <c r="AO101" s="7">
        <f>3211+6589+5738</f>
        <v>15538</v>
      </c>
      <c r="AP101" s="7">
        <v>7149</v>
      </c>
      <c r="AQ101" s="7">
        <v>163</v>
      </c>
      <c r="AR101" s="7">
        <v>0</v>
      </c>
      <c r="AS101" s="7">
        <v>1268</v>
      </c>
      <c r="AT101" s="7">
        <v>6763</v>
      </c>
      <c r="AU101" s="7">
        <v>0</v>
      </c>
      <c r="AV101" s="7">
        <v>191750</v>
      </c>
      <c r="AW101" s="7">
        <v>206036</v>
      </c>
      <c r="AX101" s="26">
        <f t="shared" si="18"/>
        <v>0</v>
      </c>
      <c r="AY101" s="7">
        <v>0</v>
      </c>
      <c r="AZ101" s="7">
        <v>0</v>
      </c>
      <c r="BA101" s="7">
        <v>148368</v>
      </c>
      <c r="BB101" s="7">
        <v>0</v>
      </c>
      <c r="BC101" s="7">
        <v>29277</v>
      </c>
      <c r="BD101" s="7">
        <v>0</v>
      </c>
      <c r="BE101" s="7">
        <v>0</v>
      </c>
      <c r="BF101" s="7">
        <v>0</v>
      </c>
      <c r="BG101" s="7">
        <v>584</v>
      </c>
      <c r="BH101" s="7">
        <v>239</v>
      </c>
      <c r="BI101" s="7">
        <v>0</v>
      </c>
      <c r="BJ101" s="7"/>
      <c r="BK101" s="7">
        <f>5-1</f>
        <v>4</v>
      </c>
      <c r="BL101" s="7">
        <v>-49</v>
      </c>
      <c r="BM101" s="7">
        <v>-132</v>
      </c>
      <c r="BN101" s="7">
        <v>-72</v>
      </c>
      <c r="BO101" s="7">
        <v>0</v>
      </c>
      <c r="BP101" s="7">
        <f t="shared" si="17"/>
        <v>574</v>
      </c>
      <c r="BQ101" s="1">
        <v>2</v>
      </c>
      <c r="BR101" s="7">
        <v>43</v>
      </c>
      <c r="BS101" s="7">
        <v>12</v>
      </c>
      <c r="BT101" s="7">
        <v>16</v>
      </c>
      <c r="BU101" s="7">
        <v>1</v>
      </c>
      <c r="BV101" s="7">
        <v>0</v>
      </c>
      <c r="BW101" s="7">
        <v>0</v>
      </c>
      <c r="BX101" s="7">
        <v>0</v>
      </c>
      <c r="BY101" s="7">
        <v>7</v>
      </c>
      <c r="BZ101" s="7">
        <v>25</v>
      </c>
      <c r="CA101" s="7">
        <v>0</v>
      </c>
      <c r="CB101" s="7">
        <v>5</v>
      </c>
      <c r="CC101" s="7">
        <v>5</v>
      </c>
      <c r="CD101" s="7">
        <v>12</v>
      </c>
      <c r="CE101" s="7">
        <v>43</v>
      </c>
      <c r="CF101" s="7">
        <v>0</v>
      </c>
    </row>
    <row r="102" spans="1:84" x14ac:dyDescent="0.25">
      <c r="A102" s="15">
        <v>10</v>
      </c>
      <c r="B102" s="8" t="s">
        <v>96</v>
      </c>
      <c r="C102" s="57" t="s">
        <v>404</v>
      </c>
      <c r="D102" s="8" t="s">
        <v>681</v>
      </c>
      <c r="E102" s="8" t="s">
        <v>374</v>
      </c>
      <c r="F102" s="8" t="s">
        <v>693</v>
      </c>
      <c r="G102" s="8" t="s">
        <v>376</v>
      </c>
      <c r="H102" s="7">
        <v>12150188</v>
      </c>
      <c r="I102" s="7">
        <v>12168823</v>
      </c>
      <c r="J102" s="7">
        <v>143860</v>
      </c>
      <c r="K102" s="12">
        <v>1478377</v>
      </c>
      <c r="L102" s="12">
        <v>385087</v>
      </c>
      <c r="M102" s="12">
        <v>4762901</v>
      </c>
      <c r="N102" s="12">
        <v>0</v>
      </c>
      <c r="O102" s="25">
        <f t="shared" si="15"/>
        <v>6626365</v>
      </c>
      <c r="P102" s="12">
        <v>0</v>
      </c>
      <c r="Q102" s="12">
        <v>484263</v>
      </c>
      <c r="R102" s="12">
        <v>0</v>
      </c>
      <c r="S102" s="12">
        <f t="shared" si="16"/>
        <v>484263</v>
      </c>
      <c r="T102" s="7">
        <v>2798909</v>
      </c>
      <c r="U102" s="7">
        <v>1320372</v>
      </c>
      <c r="V102" s="7">
        <v>3575</v>
      </c>
      <c r="W102" s="7">
        <v>37252</v>
      </c>
      <c r="X102" s="7">
        <v>12035350</v>
      </c>
      <c r="Y102" s="7" t="s">
        <v>531</v>
      </c>
      <c r="Z102" s="26">
        <v>0.1004</v>
      </c>
      <c r="AA102" s="7">
        <v>1431122</v>
      </c>
      <c r="AB102" s="26">
        <f>702116/10493879</f>
        <v>6.6907194184343086E-2</v>
      </c>
      <c r="AC102" s="7">
        <v>702779</v>
      </c>
      <c r="AD102" s="7">
        <v>0</v>
      </c>
      <c r="AE102" s="7">
        <f>17156+2682</f>
        <v>19838</v>
      </c>
      <c r="AF102" s="7">
        <v>272306</v>
      </c>
      <c r="AG102" s="7">
        <v>21710</v>
      </c>
      <c r="AH102" s="7">
        <v>58729</v>
      </c>
      <c r="AI102" s="7">
        <f>24414+4596</f>
        <v>29010</v>
      </c>
      <c r="AJ102" s="7">
        <v>0</v>
      </c>
      <c r="AK102" s="7">
        <v>28055</v>
      </c>
      <c r="AL102" s="7">
        <v>13608</v>
      </c>
      <c r="AM102" s="7">
        <v>57760</v>
      </c>
      <c r="AN102" s="7">
        <v>27110</v>
      </c>
      <c r="AO102" s="7">
        <f>12800+14887+20936</f>
        <v>48623</v>
      </c>
      <c r="AP102" s="7">
        <v>7978</v>
      </c>
      <c r="AQ102" s="7">
        <v>389</v>
      </c>
      <c r="AR102" s="7">
        <v>0</v>
      </c>
      <c r="AS102" s="7">
        <v>16543</v>
      </c>
      <c r="AT102" s="7">
        <v>12350</v>
      </c>
      <c r="AU102" s="7">
        <v>39246</v>
      </c>
      <c r="AV102" s="7">
        <v>618505</v>
      </c>
      <c r="AW102" s="7">
        <v>648510</v>
      </c>
      <c r="AX102" s="26">
        <f t="shared" si="18"/>
        <v>6.3453003613552036E-2</v>
      </c>
      <c r="AY102" s="7">
        <v>0</v>
      </c>
      <c r="AZ102" s="7">
        <v>0</v>
      </c>
      <c r="BA102" s="7">
        <v>148368</v>
      </c>
      <c r="BB102" s="7">
        <v>0</v>
      </c>
      <c r="BC102" s="7">
        <v>80022</v>
      </c>
      <c r="BD102" s="7">
        <v>0</v>
      </c>
      <c r="BE102" s="7">
        <v>0</v>
      </c>
      <c r="BF102" s="7">
        <v>0</v>
      </c>
      <c r="BG102" s="7">
        <v>3019</v>
      </c>
      <c r="BH102" s="7">
        <v>977</v>
      </c>
      <c r="BI102" s="7">
        <v>18</v>
      </c>
      <c r="BJ102" s="7"/>
      <c r="BK102" s="7">
        <f>2+17-1</f>
        <v>18</v>
      </c>
      <c r="BL102" s="7">
        <v>-193</v>
      </c>
      <c r="BM102" s="7">
        <v>-481</v>
      </c>
      <c r="BN102" s="7">
        <v>-320</v>
      </c>
      <c r="BO102" s="7">
        <v>0</v>
      </c>
      <c r="BP102" s="7">
        <f t="shared" si="17"/>
        <v>3038</v>
      </c>
      <c r="BQ102" s="1">
        <v>32</v>
      </c>
      <c r="BR102" s="7">
        <v>111</v>
      </c>
      <c r="BS102" s="7">
        <v>67</v>
      </c>
      <c r="BT102" s="7">
        <v>100</v>
      </c>
      <c r="BU102" s="7">
        <v>30</v>
      </c>
      <c r="BV102" s="7">
        <v>3</v>
      </c>
      <c r="BW102" s="7">
        <v>3</v>
      </c>
      <c r="BX102" s="7">
        <v>3</v>
      </c>
      <c r="BY102" s="7">
        <v>21</v>
      </c>
      <c r="BZ102" s="7">
        <v>125</v>
      </c>
      <c r="CA102" s="7">
        <v>37</v>
      </c>
      <c r="CB102" s="7">
        <v>6</v>
      </c>
      <c r="CC102" s="7">
        <v>10</v>
      </c>
      <c r="CD102" s="7">
        <v>51</v>
      </c>
      <c r="CE102" s="7">
        <v>269</v>
      </c>
      <c r="CF102" s="7">
        <v>125</v>
      </c>
    </row>
    <row r="103" spans="1:84" x14ac:dyDescent="0.25">
      <c r="A103" s="15">
        <v>10</v>
      </c>
      <c r="B103" s="8" t="s">
        <v>104</v>
      </c>
      <c r="C103" s="57" t="s">
        <v>640</v>
      </c>
      <c r="D103" s="8" t="s">
        <v>649</v>
      </c>
      <c r="E103" s="8" t="s">
        <v>372</v>
      </c>
      <c r="F103" s="8" t="s">
        <v>142</v>
      </c>
      <c r="G103" s="8" t="s">
        <v>373</v>
      </c>
      <c r="H103" s="7">
        <v>3365276</v>
      </c>
      <c r="I103" s="7">
        <v>3367603</v>
      </c>
      <c r="J103" s="7">
        <v>54435</v>
      </c>
      <c r="K103" s="12">
        <v>16458</v>
      </c>
      <c r="L103" s="12">
        <v>109924</v>
      </c>
      <c r="M103" s="12">
        <v>909147</v>
      </c>
      <c r="N103" s="12">
        <v>717846</v>
      </c>
      <c r="O103" s="25">
        <f t="shared" si="15"/>
        <v>1753375</v>
      </c>
      <c r="P103" s="12">
        <v>0</v>
      </c>
      <c r="Q103" s="12">
        <v>72849</v>
      </c>
      <c r="R103" s="12">
        <v>55528</v>
      </c>
      <c r="S103" s="12">
        <f t="shared" si="16"/>
        <v>128377</v>
      </c>
      <c r="T103" s="7">
        <v>752484</v>
      </c>
      <c r="U103" s="7">
        <v>336685</v>
      </c>
      <c r="V103" s="7">
        <v>0</v>
      </c>
      <c r="W103" s="7">
        <v>0</v>
      </c>
      <c r="X103" s="7">
        <v>3275929</v>
      </c>
      <c r="Y103" s="7" t="s">
        <v>529</v>
      </c>
      <c r="Z103" s="26">
        <v>0.11</v>
      </c>
      <c r="AA103" s="7">
        <v>0</v>
      </c>
      <c r="AB103" s="26">
        <f>304580/3274986</f>
        <v>9.3001924283035109E-2</v>
      </c>
      <c r="AC103" s="7">
        <v>304385</v>
      </c>
      <c r="AD103" s="7">
        <v>0</v>
      </c>
      <c r="AE103" s="7">
        <f>2327+79</f>
        <v>2406</v>
      </c>
      <c r="AF103" s="7">
        <v>86529</v>
      </c>
      <c r="AG103" s="7">
        <v>8234</v>
      </c>
      <c r="AH103" s="7">
        <v>7978</v>
      </c>
      <c r="AI103" s="7">
        <f>7104+1302</f>
        <v>8406</v>
      </c>
      <c r="AJ103" s="7">
        <v>2625</v>
      </c>
      <c r="AK103" s="7">
        <v>5700</v>
      </c>
      <c r="AL103" s="7">
        <v>6040</v>
      </c>
      <c r="AM103" s="7">
        <v>0</v>
      </c>
      <c r="AN103" s="7">
        <v>0</v>
      </c>
      <c r="AO103" s="7">
        <f>2197+4677+4913</f>
        <v>11787</v>
      </c>
      <c r="AP103" s="7">
        <v>4373</v>
      </c>
      <c r="AQ103" s="7">
        <v>500</v>
      </c>
      <c r="AR103" s="7">
        <v>0</v>
      </c>
      <c r="AS103" s="7">
        <v>616</v>
      </c>
      <c r="AT103" s="7">
        <v>2011</v>
      </c>
      <c r="AU103" s="7">
        <v>48311</v>
      </c>
      <c r="AV103" s="7">
        <v>157895</v>
      </c>
      <c r="AW103" s="7">
        <v>157783</v>
      </c>
      <c r="AX103" s="26">
        <f t="shared" si="18"/>
        <v>0.30596915671807212</v>
      </c>
      <c r="AY103" s="7">
        <v>0</v>
      </c>
      <c r="AZ103" s="7">
        <v>0</v>
      </c>
      <c r="BA103" s="7">
        <v>148368</v>
      </c>
      <c r="BB103" s="7">
        <v>0</v>
      </c>
      <c r="BC103" s="7">
        <v>16562</v>
      </c>
      <c r="BD103" s="7">
        <v>0</v>
      </c>
      <c r="BE103" s="7">
        <v>0</v>
      </c>
      <c r="BF103" s="7">
        <v>0</v>
      </c>
      <c r="BG103" s="7">
        <v>660</v>
      </c>
      <c r="BH103" s="7">
        <v>315</v>
      </c>
      <c r="BI103" s="7">
        <v>0</v>
      </c>
      <c r="BJ103" s="7"/>
      <c r="BK103" s="7">
        <v>3</v>
      </c>
      <c r="BL103" s="7">
        <v>-56</v>
      </c>
      <c r="BM103" s="7">
        <v>-78</v>
      </c>
      <c r="BN103" s="7">
        <v>-132</v>
      </c>
      <c r="BO103" s="7">
        <v>0</v>
      </c>
      <c r="BP103" s="7">
        <f t="shared" si="17"/>
        <v>712</v>
      </c>
      <c r="BQ103" s="1">
        <v>0</v>
      </c>
      <c r="BR103" s="7">
        <v>57</v>
      </c>
      <c r="BS103" s="7">
        <v>8</v>
      </c>
      <c r="BT103" s="7">
        <v>49</v>
      </c>
      <c r="BU103" s="7">
        <v>15</v>
      </c>
      <c r="BV103" s="7">
        <v>3</v>
      </c>
      <c r="BW103" s="7">
        <v>0</v>
      </c>
      <c r="BX103" s="7">
        <v>0</v>
      </c>
      <c r="BY103" s="7">
        <v>6</v>
      </c>
      <c r="BZ103" s="7">
        <v>48</v>
      </c>
      <c r="CA103" s="7">
        <v>2</v>
      </c>
      <c r="CB103" s="7">
        <v>1</v>
      </c>
      <c r="CC103" s="7">
        <v>2</v>
      </c>
      <c r="CD103" s="7">
        <v>8</v>
      </c>
      <c r="CE103" s="7">
        <v>55</v>
      </c>
      <c r="CF103" s="7">
        <v>3</v>
      </c>
    </row>
    <row r="104" spans="1:84" x14ac:dyDescent="0.25">
      <c r="A104" s="15">
        <v>10</v>
      </c>
      <c r="B104" s="8" t="s">
        <v>114</v>
      </c>
      <c r="C104" s="57" t="s">
        <v>646</v>
      </c>
      <c r="D104" s="8" t="s">
        <v>377</v>
      </c>
      <c r="E104" s="8" t="s">
        <v>374</v>
      </c>
      <c r="F104" s="8" t="s">
        <v>693</v>
      </c>
      <c r="G104" s="8" t="s">
        <v>376</v>
      </c>
      <c r="H104" s="7">
        <v>30819859</v>
      </c>
      <c r="I104" s="7">
        <v>30851038</v>
      </c>
      <c r="J104" s="7">
        <v>1337111</v>
      </c>
      <c r="K104" s="12">
        <v>0</v>
      </c>
      <c r="L104" s="12">
        <v>3828360</v>
      </c>
      <c r="M104" s="12">
        <v>8805264</v>
      </c>
      <c r="N104" s="12">
        <v>0</v>
      </c>
      <c r="O104" s="25">
        <f t="shared" si="15"/>
        <v>12633624</v>
      </c>
      <c r="P104" s="12">
        <v>0</v>
      </c>
      <c r="Q104" s="12">
        <v>1800754</v>
      </c>
      <c r="R104" s="12">
        <v>0</v>
      </c>
      <c r="S104" s="12">
        <f t="shared" si="16"/>
        <v>1800754</v>
      </c>
      <c r="T104" s="7">
        <v>9608265</v>
      </c>
      <c r="U104" s="7">
        <v>2980638</v>
      </c>
      <c r="V104" s="7">
        <v>0</v>
      </c>
      <c r="W104" s="7">
        <v>201497</v>
      </c>
      <c r="X104" s="7">
        <v>28756863</v>
      </c>
      <c r="Y104" s="7" t="s">
        <v>531</v>
      </c>
      <c r="Z104" s="26">
        <v>0.18540000000000001</v>
      </c>
      <c r="AA104" s="7">
        <v>0</v>
      </c>
      <c r="AB104" s="26">
        <f>1532693/28555366</f>
        <v>5.3674430227929837E-2</v>
      </c>
      <c r="AC104" s="7">
        <v>1532064</v>
      </c>
      <c r="AD104" s="7">
        <v>0</v>
      </c>
      <c r="AE104" s="7">
        <f>29916+6381+1703</f>
        <v>38000</v>
      </c>
      <c r="AF104" s="7">
        <v>772257</v>
      </c>
      <c r="AG104" s="7">
        <v>65951</v>
      </c>
      <c r="AH104" s="7">
        <v>153690</v>
      </c>
      <c r="AI104" s="7">
        <v>174582</v>
      </c>
      <c r="AJ104" s="7">
        <v>25719</v>
      </c>
      <c r="AK104" s="7">
        <v>48677</v>
      </c>
      <c r="AL104" s="7">
        <v>19417</v>
      </c>
      <c r="AM104" s="7">
        <v>6011</v>
      </c>
      <c r="AN104" s="7">
        <v>222935</v>
      </c>
      <c r="AO104" s="7">
        <f>7744+27308+33322</f>
        <v>68374</v>
      </c>
      <c r="AP104" s="7">
        <v>16542</v>
      </c>
      <c r="AQ104" s="7">
        <v>483</v>
      </c>
      <c r="AR104" s="7">
        <v>0</v>
      </c>
      <c r="AS104" s="7">
        <v>24879</v>
      </c>
      <c r="AT104" s="7">
        <v>27320</v>
      </c>
      <c r="AU104" s="7">
        <v>72013</v>
      </c>
      <c r="AV104" s="7">
        <v>1667841</v>
      </c>
      <c r="AW104" s="7">
        <v>1628059</v>
      </c>
      <c r="AX104" s="26">
        <f t="shared" si="18"/>
        <v>4.3177377220010783E-2</v>
      </c>
      <c r="AY104" s="7">
        <v>88</v>
      </c>
      <c r="AZ104" s="7">
        <v>0</v>
      </c>
      <c r="BA104" s="7">
        <v>148368</v>
      </c>
      <c r="BB104" s="7">
        <v>0</v>
      </c>
      <c r="BC104" s="7">
        <v>190647</v>
      </c>
      <c r="BD104" s="7">
        <v>0</v>
      </c>
      <c r="BE104" s="7">
        <v>0</v>
      </c>
      <c r="BF104" s="7">
        <v>0</v>
      </c>
      <c r="BG104" s="7">
        <v>6237</v>
      </c>
      <c r="BH104" s="7">
        <v>3698</v>
      </c>
      <c r="BI104" s="7">
        <v>0</v>
      </c>
      <c r="BJ104" s="7"/>
      <c r="BK104" s="7">
        <v>48</v>
      </c>
      <c r="BL104" s="7">
        <v>-562</v>
      </c>
      <c r="BM104" s="7">
        <v>-1767</v>
      </c>
      <c r="BN104" s="7">
        <v>-1219</v>
      </c>
      <c r="BO104" s="7">
        <v>0</v>
      </c>
      <c r="BP104" s="7">
        <f t="shared" si="17"/>
        <v>6435</v>
      </c>
      <c r="BQ104" s="1">
        <v>0</v>
      </c>
      <c r="BR104" s="7">
        <v>334</v>
      </c>
      <c r="BS104" s="7">
        <v>174</v>
      </c>
      <c r="BT104" s="7">
        <v>687</v>
      </c>
      <c r="BU104" s="7">
        <v>3</v>
      </c>
      <c r="BV104" s="7">
        <v>19</v>
      </c>
      <c r="BW104" s="7">
        <v>9</v>
      </c>
      <c r="BX104" s="7">
        <v>5</v>
      </c>
      <c r="BY104" s="7">
        <v>68</v>
      </c>
      <c r="BZ104" s="7">
        <v>24</v>
      </c>
      <c r="CA104" s="7">
        <v>299</v>
      </c>
      <c r="CB104" s="7">
        <v>10</v>
      </c>
      <c r="CC104" s="7">
        <v>18</v>
      </c>
      <c r="CD104" s="7">
        <v>95</v>
      </c>
      <c r="CE104" s="7">
        <v>68</v>
      </c>
      <c r="CF104" s="7">
        <v>661</v>
      </c>
    </row>
    <row r="105" spans="1:84" x14ac:dyDescent="0.25">
      <c r="A105" s="15">
        <v>10</v>
      </c>
      <c r="B105" s="8" t="s">
        <v>143</v>
      </c>
      <c r="C105" s="57" t="s">
        <v>584</v>
      </c>
      <c r="D105" s="8" t="s">
        <v>488</v>
      </c>
      <c r="E105" s="8" t="s">
        <v>374</v>
      </c>
      <c r="F105" s="8" t="s">
        <v>551</v>
      </c>
      <c r="G105" s="8" t="s">
        <v>376</v>
      </c>
      <c r="H105" s="7">
        <v>21373157</v>
      </c>
      <c r="I105" s="7">
        <v>21440884</v>
      </c>
      <c r="J105" s="7">
        <v>606250</v>
      </c>
      <c r="K105" s="12">
        <v>7981192</v>
      </c>
      <c r="L105" s="12">
        <v>625404</v>
      </c>
      <c r="M105" s="12">
        <v>3385968</v>
      </c>
      <c r="N105" s="12">
        <v>1660837</v>
      </c>
      <c r="O105" s="25">
        <f t="shared" si="15"/>
        <v>13653401</v>
      </c>
      <c r="P105" s="12">
        <v>882</v>
      </c>
      <c r="Q105" s="12">
        <v>375688</v>
      </c>
      <c r="R105" s="12">
        <v>338951</v>
      </c>
      <c r="S105" s="12">
        <f t="shared" si="16"/>
        <v>715521</v>
      </c>
      <c r="T105" s="7">
        <v>2427684</v>
      </c>
      <c r="U105" s="7">
        <v>1452906</v>
      </c>
      <c r="V105" s="7">
        <v>66882</v>
      </c>
      <c r="W105" s="7">
        <v>0</v>
      </c>
      <c r="X105" s="7">
        <v>19342966</v>
      </c>
      <c r="Y105" s="7" t="s">
        <v>141</v>
      </c>
      <c r="Z105" s="26">
        <v>0.18579999999999999</v>
      </c>
      <c r="AA105" s="7">
        <f>7981192+882</f>
        <v>7982074</v>
      </c>
      <c r="AB105" s="26">
        <f>1016839/11298208</f>
        <v>9.0000024782691201E-2</v>
      </c>
      <c r="AC105" s="7">
        <v>1018331</v>
      </c>
      <c r="AD105" s="7">
        <v>0</v>
      </c>
      <c r="AE105" s="7">
        <f>63010+5201+781</f>
        <v>68992</v>
      </c>
      <c r="AF105" s="7">
        <v>321241</v>
      </c>
      <c r="AG105" s="7">
        <v>29517</v>
      </c>
      <c r="AH105" s="7">
        <v>51488</v>
      </c>
      <c r="AI105" s="7">
        <f>89777+7689</f>
        <v>97466</v>
      </c>
      <c r="AJ105" s="7">
        <v>23160</v>
      </c>
      <c r="AK105" s="7">
        <v>80689</v>
      </c>
      <c r="AL105" s="7">
        <v>8820</v>
      </c>
      <c r="AM105" s="7">
        <v>850</v>
      </c>
      <c r="AN105" s="7">
        <v>125933</v>
      </c>
      <c r="AO105" s="7">
        <f>7925+23084+57165</f>
        <v>88174</v>
      </c>
      <c r="AP105" s="7">
        <v>12389</v>
      </c>
      <c r="AQ105" s="7">
        <v>1603</v>
      </c>
      <c r="AR105" s="7">
        <v>0</v>
      </c>
      <c r="AS105" s="7">
        <v>1390</v>
      </c>
      <c r="AT105" s="7">
        <v>56868</v>
      </c>
      <c r="AU105" s="7">
        <v>0</v>
      </c>
      <c r="AV105" s="7">
        <v>947774</v>
      </c>
      <c r="AW105" s="7">
        <v>931358</v>
      </c>
      <c r="AX105" s="26">
        <f t="shared" si="18"/>
        <v>0</v>
      </c>
      <c r="AY105" s="7">
        <v>923</v>
      </c>
      <c r="AZ105" s="7">
        <v>0</v>
      </c>
      <c r="BA105" s="7">
        <v>148368</v>
      </c>
      <c r="BB105" s="7">
        <v>0</v>
      </c>
      <c r="BC105" s="7">
        <v>126578</v>
      </c>
      <c r="BD105" s="7">
        <v>0</v>
      </c>
      <c r="BE105" s="7">
        <v>0</v>
      </c>
      <c r="BF105" s="7">
        <v>0</v>
      </c>
      <c r="BG105" s="7">
        <v>3136</v>
      </c>
      <c r="BH105" s="7">
        <v>1999</v>
      </c>
      <c r="BI105" s="7">
        <v>159</v>
      </c>
      <c r="BJ105" s="7"/>
      <c r="BK105" s="7">
        <v>42</v>
      </c>
      <c r="BL105" s="7">
        <v>-192</v>
      </c>
      <c r="BM105" s="7">
        <v>-848</v>
      </c>
      <c r="BN105" s="7">
        <v>-392</v>
      </c>
      <c r="BO105" s="7">
        <v>-13</v>
      </c>
      <c r="BP105" s="7">
        <f t="shared" si="17"/>
        <v>3891</v>
      </c>
      <c r="BQ105" s="1">
        <v>21</v>
      </c>
      <c r="BR105" s="7">
        <v>80</v>
      </c>
      <c r="BS105" s="7">
        <v>17</v>
      </c>
      <c r="BT105" s="7">
        <v>160</v>
      </c>
      <c r="BU105" s="7">
        <v>80</v>
      </c>
      <c r="BV105" s="7">
        <v>8</v>
      </c>
      <c r="BW105" s="7">
        <v>9</v>
      </c>
      <c r="BX105" s="7">
        <v>5</v>
      </c>
      <c r="BY105" s="7">
        <v>32</v>
      </c>
      <c r="BZ105" s="7">
        <v>114</v>
      </c>
      <c r="CA105" s="7">
        <v>1</v>
      </c>
      <c r="CB105" s="7">
        <v>51</v>
      </c>
      <c r="CC105" s="7">
        <v>9</v>
      </c>
      <c r="CD105" s="7">
        <v>53</v>
      </c>
      <c r="CE105" s="7">
        <v>348</v>
      </c>
      <c r="CF105" s="7">
        <v>13</v>
      </c>
    </row>
    <row r="106" spans="1:84" x14ac:dyDescent="0.25">
      <c r="A106" s="15">
        <v>10</v>
      </c>
      <c r="B106" s="8" t="s">
        <v>163</v>
      </c>
      <c r="C106" s="57" t="s">
        <v>493</v>
      </c>
      <c r="D106" s="8" t="s">
        <v>594</v>
      </c>
      <c r="E106" s="8" t="s">
        <v>372</v>
      </c>
      <c r="F106" s="8" t="s">
        <v>142</v>
      </c>
      <c r="G106" s="8" t="s">
        <v>373</v>
      </c>
      <c r="H106" s="7">
        <v>7669554</v>
      </c>
      <c r="I106" s="7">
        <v>7684234</v>
      </c>
      <c r="J106" s="7">
        <v>86069</v>
      </c>
      <c r="K106" s="12">
        <v>61740</v>
      </c>
      <c r="L106" s="12">
        <v>374481</v>
      </c>
      <c r="M106" s="12">
        <v>3377184</v>
      </c>
      <c r="N106" s="12">
        <v>367541</v>
      </c>
      <c r="O106" s="25">
        <f t="shared" si="15"/>
        <v>4180946</v>
      </c>
      <c r="P106" s="12">
        <v>870</v>
      </c>
      <c r="Q106" s="12">
        <v>386239</v>
      </c>
      <c r="R106" s="12">
        <v>89822</v>
      </c>
      <c r="S106" s="12">
        <f t="shared" si="16"/>
        <v>476931</v>
      </c>
      <c r="T106" s="7">
        <v>2259099</v>
      </c>
      <c r="U106" s="7">
        <v>1057798</v>
      </c>
      <c r="V106" s="7">
        <v>0</v>
      </c>
      <c r="W106" s="7">
        <v>0</v>
      </c>
      <c r="X106" s="7">
        <v>7523410</v>
      </c>
      <c r="Y106" s="7" t="s">
        <v>753</v>
      </c>
      <c r="Z106" s="26">
        <v>3.04E-2</v>
      </c>
      <c r="AA106" s="7">
        <v>0</v>
      </c>
      <c r="AB106" s="26">
        <f>554940/7523410</f>
        <v>7.3761764944353686E-2</v>
      </c>
      <c r="AC106" s="7">
        <v>548636</v>
      </c>
      <c r="AD106" s="7">
        <v>0</v>
      </c>
      <c r="AE106" s="7">
        <f>14680+614</f>
        <v>15294</v>
      </c>
      <c r="AF106" s="7">
        <v>138242</v>
      </c>
      <c r="AG106" s="7">
        <v>11016</v>
      </c>
      <c r="AH106" s="7">
        <v>36569</v>
      </c>
      <c r="AI106" s="7">
        <f>61077+3283</f>
        <v>64360</v>
      </c>
      <c r="AJ106" s="7">
        <v>21029</v>
      </c>
      <c r="AK106" s="7">
        <v>74078</v>
      </c>
      <c r="AL106" s="7">
        <v>9915</v>
      </c>
      <c r="AM106" s="7">
        <v>75</v>
      </c>
      <c r="AN106" s="7">
        <v>0</v>
      </c>
      <c r="AO106" s="7">
        <f>3759+18958+2856</f>
        <v>25573</v>
      </c>
      <c r="AP106" s="7">
        <v>370</v>
      </c>
      <c r="AQ106" s="7">
        <v>272</v>
      </c>
      <c r="AR106" s="7">
        <v>0</v>
      </c>
      <c r="AS106" s="7">
        <v>1340</v>
      </c>
      <c r="AT106" s="7">
        <v>7992</v>
      </c>
      <c r="AU106" s="7">
        <v>0</v>
      </c>
      <c r="AV106" s="7">
        <v>405104</v>
      </c>
      <c r="AW106" s="7">
        <v>420951</v>
      </c>
      <c r="AX106" s="26">
        <f t="shared" si="18"/>
        <v>0</v>
      </c>
      <c r="AY106" s="7">
        <v>0</v>
      </c>
      <c r="AZ106" s="7">
        <v>0</v>
      </c>
      <c r="BA106" s="7">
        <v>148368</v>
      </c>
      <c r="BB106" s="7">
        <v>0</v>
      </c>
      <c r="BC106" s="7">
        <v>51191</v>
      </c>
      <c r="BD106" s="7">
        <v>0</v>
      </c>
      <c r="BE106" s="7">
        <v>0</v>
      </c>
      <c r="BF106" s="7">
        <v>0</v>
      </c>
      <c r="BG106" s="7">
        <v>2130</v>
      </c>
      <c r="BH106" s="7">
        <v>972</v>
      </c>
      <c r="BI106" s="7">
        <v>89</v>
      </c>
      <c r="BJ106" s="7"/>
      <c r="BK106" s="7">
        <v>-2</v>
      </c>
      <c r="BL106" s="7">
        <v>-208</v>
      </c>
      <c r="BM106" s="7">
        <v>-255</v>
      </c>
      <c r="BN106" s="7">
        <v>-550</v>
      </c>
      <c r="BO106" s="7">
        <v>-2</v>
      </c>
      <c r="BP106" s="7">
        <f t="shared" si="17"/>
        <v>2174</v>
      </c>
      <c r="BQ106" s="1">
        <v>0</v>
      </c>
      <c r="BR106" s="7">
        <v>120</v>
      </c>
      <c r="BS106" s="7">
        <v>33</v>
      </c>
      <c r="BT106" s="7">
        <v>308</v>
      </c>
      <c r="BU106" s="7">
        <v>41</v>
      </c>
      <c r="BV106" s="7">
        <v>6</v>
      </c>
      <c r="BW106" s="7">
        <v>2</v>
      </c>
      <c r="BX106" s="7">
        <v>2</v>
      </c>
      <c r="BY106" s="7">
        <v>41</v>
      </c>
      <c r="BZ106" s="7">
        <v>115</v>
      </c>
      <c r="CA106" s="7">
        <v>36</v>
      </c>
      <c r="CB106" s="7">
        <v>1</v>
      </c>
      <c r="CC106" s="7">
        <v>1</v>
      </c>
      <c r="CD106" s="7">
        <v>39</v>
      </c>
      <c r="CE106" s="7">
        <v>148</v>
      </c>
      <c r="CF106" s="7">
        <v>48</v>
      </c>
    </row>
    <row r="107" spans="1:84" x14ac:dyDescent="0.25">
      <c r="A107" s="15">
        <v>10</v>
      </c>
      <c r="B107" s="8" t="s">
        <v>205</v>
      </c>
      <c r="C107" s="57" t="s">
        <v>228</v>
      </c>
      <c r="D107" s="8" t="s">
        <v>724</v>
      </c>
      <c r="E107" s="8" t="s">
        <v>374</v>
      </c>
      <c r="F107" s="8" t="s">
        <v>693</v>
      </c>
      <c r="G107" s="8" t="s">
        <v>376</v>
      </c>
      <c r="H107" s="7">
        <v>5439420</v>
      </c>
      <c r="I107" s="7">
        <v>5440043</v>
      </c>
      <c r="J107" s="7">
        <v>59982</v>
      </c>
      <c r="K107" s="12">
        <v>90198</v>
      </c>
      <c r="L107" s="12">
        <v>315084</v>
      </c>
      <c r="M107" s="12">
        <v>27651</v>
      </c>
      <c r="N107" s="12">
        <v>2099515</v>
      </c>
      <c r="O107" s="25">
        <f t="shared" si="15"/>
        <v>2532448</v>
      </c>
      <c r="P107" s="12">
        <v>0</v>
      </c>
      <c r="Q107" s="12">
        <v>0</v>
      </c>
      <c r="R107" s="12">
        <v>391075</v>
      </c>
      <c r="S107" s="12">
        <f t="shared" si="16"/>
        <v>391075</v>
      </c>
      <c r="T107" s="7">
        <v>1288348</v>
      </c>
      <c r="U107" s="7">
        <v>671070</v>
      </c>
      <c r="V107" s="7">
        <v>0</v>
      </c>
      <c r="W107" s="7">
        <v>17780</v>
      </c>
      <c r="X107" s="7">
        <v>5347341</v>
      </c>
      <c r="Y107" s="7" t="s">
        <v>531</v>
      </c>
      <c r="Z107" s="26">
        <v>0.1018</v>
      </c>
      <c r="AA107" s="7">
        <v>90198</v>
      </c>
      <c r="AB107" s="26">
        <f>446827/5239363</f>
        <v>8.5282695625403318E-2</v>
      </c>
      <c r="AC107" s="7">
        <v>446602</v>
      </c>
      <c r="AD107" s="7">
        <v>0</v>
      </c>
      <c r="AE107" s="7">
        <f>623+546+301</f>
        <v>1470</v>
      </c>
      <c r="AF107" s="7">
        <v>106437</v>
      </c>
      <c r="AG107" s="7">
        <v>8579</v>
      </c>
      <c r="AH107" s="7">
        <v>19379</v>
      </c>
      <c r="AI107" s="7">
        <v>30038</v>
      </c>
      <c r="AJ107" s="7">
        <v>22000</v>
      </c>
      <c r="AK107" s="7">
        <v>21894</v>
      </c>
      <c r="AL107" s="7">
        <v>7073</v>
      </c>
      <c r="AM107" s="7">
        <v>0</v>
      </c>
      <c r="AN107" s="7">
        <v>0</v>
      </c>
      <c r="AO107" s="7">
        <f>7462+23328+11716</f>
        <v>42506</v>
      </c>
      <c r="AP107" s="7">
        <v>8827</v>
      </c>
      <c r="AQ107" s="7">
        <v>759</v>
      </c>
      <c r="AR107" s="7">
        <v>0</v>
      </c>
      <c r="AS107" s="7">
        <v>706</v>
      </c>
      <c r="AT107" s="7">
        <v>39316</v>
      </c>
      <c r="AU107" s="7">
        <v>0</v>
      </c>
      <c r="AV107" s="7">
        <v>327137</v>
      </c>
      <c r="AW107" s="7">
        <v>338545</v>
      </c>
      <c r="AX107" s="26">
        <f t="shared" si="18"/>
        <v>0</v>
      </c>
      <c r="AY107" s="7">
        <v>0</v>
      </c>
      <c r="AZ107" s="7">
        <v>0</v>
      </c>
      <c r="BA107" s="7">
        <v>148368</v>
      </c>
      <c r="BB107" s="7">
        <v>0</v>
      </c>
      <c r="BC107" s="7">
        <v>20501</v>
      </c>
      <c r="BD107" s="7">
        <v>0</v>
      </c>
      <c r="BE107" s="7">
        <v>0</v>
      </c>
      <c r="BF107" s="7">
        <v>0</v>
      </c>
      <c r="BG107" s="7">
        <v>1377</v>
      </c>
      <c r="BH107" s="7">
        <v>600</v>
      </c>
      <c r="BI107" s="7">
        <v>46</v>
      </c>
      <c r="BJ107" s="7"/>
      <c r="BK107" s="7">
        <f>5-2</f>
        <v>3</v>
      </c>
      <c r="BL107" s="7">
        <v>-106</v>
      </c>
      <c r="BM107" s="7">
        <v>-161</v>
      </c>
      <c r="BN107" s="7">
        <v>-231</v>
      </c>
      <c r="BO107" s="7">
        <v>0</v>
      </c>
      <c r="BP107" s="7">
        <f t="shared" si="17"/>
        <v>1528</v>
      </c>
      <c r="BQ107" s="1">
        <v>17</v>
      </c>
      <c r="BR107" s="7">
        <v>57</v>
      </c>
      <c r="BS107" s="7">
        <v>28</v>
      </c>
      <c r="BT107" s="7">
        <v>170</v>
      </c>
      <c r="BU107" s="7">
        <v>10</v>
      </c>
      <c r="BV107" s="7">
        <v>5</v>
      </c>
      <c r="BW107" s="7">
        <v>7</v>
      </c>
      <c r="BX107" s="7">
        <v>0</v>
      </c>
      <c r="BY107" s="7">
        <v>9</v>
      </c>
      <c r="BZ107" s="7">
        <v>73</v>
      </c>
      <c r="CA107" s="7">
        <v>4</v>
      </c>
      <c r="CB107" s="7">
        <v>9</v>
      </c>
      <c r="CC107" s="7">
        <v>2</v>
      </c>
      <c r="CD107" s="7">
        <v>10</v>
      </c>
      <c r="CE107" s="7">
        <v>84</v>
      </c>
      <c r="CF107" s="7">
        <v>5</v>
      </c>
    </row>
    <row r="108" spans="1:84" x14ac:dyDescent="0.25">
      <c r="A108" s="15">
        <v>10</v>
      </c>
      <c r="B108" s="8" t="s">
        <v>209</v>
      </c>
      <c r="C108" s="57" t="s">
        <v>48</v>
      </c>
      <c r="D108" s="8" t="s">
        <v>377</v>
      </c>
      <c r="E108" s="8" t="s">
        <v>374</v>
      </c>
      <c r="F108" s="8" t="s">
        <v>693</v>
      </c>
      <c r="G108" s="8" t="s">
        <v>376</v>
      </c>
      <c r="H108" s="7">
        <v>4684639</v>
      </c>
      <c r="I108" s="7">
        <v>4685371</v>
      </c>
      <c r="J108" s="7">
        <v>273554</v>
      </c>
      <c r="K108" s="12">
        <v>0</v>
      </c>
      <c r="L108" s="12">
        <v>486205</v>
      </c>
      <c r="M108" s="12">
        <v>1164685</v>
      </c>
      <c r="N108" s="12">
        <v>0</v>
      </c>
      <c r="O108" s="25">
        <f t="shared" ref="O108:O139" si="19">SUM(K108:N108)</f>
        <v>1650890</v>
      </c>
      <c r="P108" s="12">
        <v>0</v>
      </c>
      <c r="Q108" s="12">
        <v>262550</v>
      </c>
      <c r="R108" s="12">
        <v>0</v>
      </c>
      <c r="S108" s="12">
        <f t="shared" ref="S108:S139" si="20">SUM(P108:R108)</f>
        <v>262550</v>
      </c>
      <c r="T108" s="7">
        <v>1065058</v>
      </c>
      <c r="U108" s="7">
        <v>662188</v>
      </c>
      <c r="V108" s="7">
        <v>0</v>
      </c>
      <c r="W108" s="7">
        <v>42884</v>
      </c>
      <c r="X108" s="7">
        <v>4088979</v>
      </c>
      <c r="Y108" s="7" t="s">
        <v>531</v>
      </c>
      <c r="Z108" s="26">
        <v>0.1532</v>
      </c>
      <c r="AA108" s="7">
        <v>0</v>
      </c>
      <c r="AB108" s="26">
        <f>404610/4046095</f>
        <v>0.10000012357594174</v>
      </c>
      <c r="AC108" s="7">
        <v>403910</v>
      </c>
      <c r="AD108" s="7">
        <v>0</v>
      </c>
      <c r="AE108" s="7">
        <f>732+328+63</f>
        <v>1123</v>
      </c>
      <c r="AF108" s="7">
        <v>121140</v>
      </c>
      <c r="AG108" s="7">
        <v>8934</v>
      </c>
      <c r="AH108" s="7">
        <v>4735</v>
      </c>
      <c r="AI108" s="7">
        <v>29776</v>
      </c>
      <c r="AJ108" s="7">
        <v>10487</v>
      </c>
      <c r="AK108" s="7">
        <v>11700</v>
      </c>
      <c r="AL108" s="7">
        <v>3300</v>
      </c>
      <c r="AM108" s="7">
        <v>0</v>
      </c>
      <c r="AN108" s="7">
        <v>41945</v>
      </c>
      <c r="AO108" s="7">
        <f>2553+9239+7482</f>
        <v>19274</v>
      </c>
      <c r="AP108" s="7">
        <v>2968</v>
      </c>
      <c r="AQ108" s="7">
        <v>291</v>
      </c>
      <c r="AR108" s="7">
        <v>0</v>
      </c>
      <c r="AS108" s="7">
        <v>7140</v>
      </c>
      <c r="AT108" s="7">
        <v>12119</v>
      </c>
      <c r="AU108" s="7">
        <v>0</v>
      </c>
      <c r="AV108" s="7">
        <v>292634</v>
      </c>
      <c r="AW108" s="7">
        <v>301743</v>
      </c>
      <c r="AX108" s="26">
        <f t="shared" si="18"/>
        <v>0</v>
      </c>
      <c r="AY108" s="7">
        <v>0</v>
      </c>
      <c r="AZ108" s="7">
        <v>0</v>
      </c>
      <c r="BA108" s="7">
        <v>148368</v>
      </c>
      <c r="BB108" s="7">
        <v>0</v>
      </c>
      <c r="BC108" s="7">
        <v>20403</v>
      </c>
      <c r="BD108" s="7">
        <v>0</v>
      </c>
      <c r="BE108" s="7">
        <v>0</v>
      </c>
      <c r="BF108" s="7">
        <v>0</v>
      </c>
      <c r="BG108" s="7">
        <v>866</v>
      </c>
      <c r="BH108" s="7">
        <v>770</v>
      </c>
      <c r="BI108" s="7">
        <v>0</v>
      </c>
      <c r="BJ108" s="7"/>
      <c r="BK108" s="7">
        <v>2</v>
      </c>
      <c r="BL108" s="7">
        <v>-92</v>
      </c>
      <c r="BM108" s="7">
        <v>-225</v>
      </c>
      <c r="BN108" s="7">
        <v>-55</v>
      </c>
      <c r="BO108" s="7">
        <v>0</v>
      </c>
      <c r="BP108" s="7">
        <f t="shared" ref="BP108:BP139" si="21">SUM(BG108:BO108)</f>
        <v>1266</v>
      </c>
      <c r="BQ108" s="1">
        <v>0</v>
      </c>
      <c r="BR108" s="7">
        <v>28</v>
      </c>
      <c r="BS108" s="7">
        <v>19</v>
      </c>
      <c r="BT108" s="7">
        <v>56</v>
      </c>
      <c r="BU108" s="7">
        <v>8</v>
      </c>
      <c r="BV108" s="7">
        <v>4</v>
      </c>
      <c r="BW108" s="7">
        <v>1</v>
      </c>
      <c r="BX108" s="7">
        <v>1</v>
      </c>
      <c r="BY108" s="7">
        <v>9</v>
      </c>
      <c r="BZ108" s="7">
        <v>85</v>
      </c>
      <c r="CA108" s="7">
        <v>80</v>
      </c>
      <c r="CB108" s="7">
        <v>1</v>
      </c>
      <c r="CC108" s="7">
        <v>1</v>
      </c>
      <c r="CD108" s="7">
        <v>9</v>
      </c>
      <c r="CE108" s="7">
        <v>190</v>
      </c>
      <c r="CF108" s="7">
        <v>189</v>
      </c>
    </row>
    <row r="109" spans="1:84" x14ac:dyDescent="0.25">
      <c r="A109" s="15">
        <v>10</v>
      </c>
      <c r="B109" s="8" t="s">
        <v>294</v>
      </c>
      <c r="C109" s="57" t="s">
        <v>390</v>
      </c>
      <c r="D109" s="8" t="s">
        <v>582</v>
      </c>
      <c r="E109" s="8" t="s">
        <v>372</v>
      </c>
      <c r="F109" s="8" t="s">
        <v>142</v>
      </c>
      <c r="G109" s="8" t="s">
        <v>373</v>
      </c>
      <c r="H109" s="7">
        <v>3096272</v>
      </c>
      <c r="I109" s="7">
        <v>3101984</v>
      </c>
      <c r="J109" s="7">
        <v>48899</v>
      </c>
      <c r="K109" s="12">
        <v>0</v>
      </c>
      <c r="L109" s="12">
        <v>0</v>
      </c>
      <c r="M109" s="12">
        <v>0</v>
      </c>
      <c r="N109" s="12">
        <v>1072472</v>
      </c>
      <c r="O109" s="25">
        <f t="shared" si="19"/>
        <v>1072472</v>
      </c>
      <c r="P109" s="12">
        <v>0</v>
      </c>
      <c r="Q109" s="12">
        <v>321169</v>
      </c>
      <c r="R109" s="12">
        <v>0</v>
      </c>
      <c r="S109" s="12">
        <f t="shared" si="20"/>
        <v>321169</v>
      </c>
      <c r="T109" s="7">
        <v>1099125</v>
      </c>
      <c r="U109" s="7">
        <v>257139</v>
      </c>
      <c r="V109" s="7">
        <v>0</v>
      </c>
      <c r="W109" s="7">
        <v>0</v>
      </c>
      <c r="X109" s="7">
        <v>3063902</v>
      </c>
      <c r="Y109" s="7" t="s">
        <v>237</v>
      </c>
      <c r="Z109" s="26">
        <v>2.1399999999999999E-2</v>
      </c>
      <c r="AA109" s="7">
        <v>0</v>
      </c>
      <c r="AB109" s="26">
        <f>306390/3063902</f>
        <v>9.9999934723760744E-2</v>
      </c>
      <c r="AC109" s="7">
        <v>313506</v>
      </c>
      <c r="AD109" s="7">
        <v>0</v>
      </c>
      <c r="AE109" s="7">
        <f>5223+464</f>
        <v>5687</v>
      </c>
      <c r="AF109" s="7">
        <v>84876</v>
      </c>
      <c r="AG109" s="7">
        <v>9187</v>
      </c>
      <c r="AH109" s="7">
        <v>4362</v>
      </c>
      <c r="AI109" s="7">
        <f>9600+3094</f>
        <v>12694</v>
      </c>
      <c r="AJ109" s="7">
        <v>7869</v>
      </c>
      <c r="AK109" s="7">
        <v>7978</v>
      </c>
      <c r="AL109" s="7">
        <v>5550</v>
      </c>
      <c r="AM109" s="7">
        <v>2027</v>
      </c>
      <c r="AN109" s="7">
        <v>0</v>
      </c>
      <c r="AO109" s="7">
        <f>3665+7469+6284</f>
        <v>17418</v>
      </c>
      <c r="AP109" s="7">
        <v>2805</v>
      </c>
      <c r="AQ109" s="7">
        <v>301</v>
      </c>
      <c r="AR109" s="7">
        <v>0</v>
      </c>
      <c r="AS109" s="7">
        <v>0</v>
      </c>
      <c r="AT109" s="7">
        <v>2811</v>
      </c>
      <c r="AU109" s="7">
        <v>41109</v>
      </c>
      <c r="AV109" s="7">
        <v>169366</v>
      </c>
      <c r="AW109" s="7">
        <v>175979</v>
      </c>
      <c r="AX109" s="26">
        <f t="shared" si="18"/>
        <v>0.24272286055052372</v>
      </c>
      <c r="AY109" s="7">
        <v>316</v>
      </c>
      <c r="AZ109" s="7">
        <v>0</v>
      </c>
      <c r="BA109" s="7">
        <v>148368</v>
      </c>
      <c r="BB109" s="7">
        <v>0</v>
      </c>
      <c r="BC109" s="7">
        <v>16867</v>
      </c>
      <c r="BD109" s="7">
        <v>0</v>
      </c>
      <c r="BE109" s="7">
        <v>0</v>
      </c>
      <c r="BF109" s="7">
        <v>0</v>
      </c>
      <c r="BG109" s="7">
        <v>835</v>
      </c>
      <c r="BH109" s="7">
        <v>482</v>
      </c>
      <c r="BI109" s="7">
        <v>0</v>
      </c>
      <c r="BJ109" s="7"/>
      <c r="BK109" s="7">
        <v>5</v>
      </c>
      <c r="BL109" s="7">
        <v>-57</v>
      </c>
      <c r="BM109" s="7">
        <v>-150</v>
      </c>
      <c r="BN109" s="7">
        <v>-148</v>
      </c>
      <c r="BO109" s="7">
        <v>0</v>
      </c>
      <c r="BP109" s="7">
        <f t="shared" si="21"/>
        <v>967</v>
      </c>
      <c r="BQ109" s="1">
        <v>13</v>
      </c>
      <c r="BR109" s="7">
        <v>18</v>
      </c>
      <c r="BS109" s="7">
        <v>20</v>
      </c>
      <c r="BT109" s="7">
        <v>81</v>
      </c>
      <c r="BU109" s="7">
        <v>4</v>
      </c>
      <c r="BV109" s="7">
        <v>0</v>
      </c>
      <c r="BW109" s="7">
        <v>0</v>
      </c>
      <c r="BX109" s="7">
        <v>0</v>
      </c>
      <c r="BY109" s="7">
        <v>12</v>
      </c>
      <c r="BZ109" s="7">
        <v>17</v>
      </c>
      <c r="CA109" s="7">
        <v>0</v>
      </c>
      <c r="CB109" s="7">
        <v>1</v>
      </c>
      <c r="CC109" s="7">
        <v>1</v>
      </c>
      <c r="CD109" s="7">
        <v>21</v>
      </c>
      <c r="CE109" s="7">
        <v>47</v>
      </c>
      <c r="CF109" s="7">
        <v>0</v>
      </c>
    </row>
    <row r="110" spans="1:84" x14ac:dyDescent="0.25">
      <c r="A110" s="15">
        <v>10</v>
      </c>
      <c r="B110" s="8" t="s">
        <v>299</v>
      </c>
      <c r="C110" s="57" t="s">
        <v>399</v>
      </c>
      <c r="D110" s="8" t="s">
        <v>596</v>
      </c>
      <c r="E110" s="8" t="s">
        <v>372</v>
      </c>
      <c r="F110" s="8" t="s">
        <v>142</v>
      </c>
      <c r="G110" s="8" t="s">
        <v>373</v>
      </c>
      <c r="H110" s="7">
        <v>5865490</v>
      </c>
      <c r="I110" s="7">
        <v>5871213</v>
      </c>
      <c r="J110" s="7">
        <v>192514</v>
      </c>
      <c r="K110" s="12">
        <v>841985</v>
      </c>
      <c r="L110" s="12">
        <v>332278</v>
      </c>
      <c r="M110" s="12">
        <v>1004968</v>
      </c>
      <c r="N110" s="12">
        <v>0</v>
      </c>
      <c r="O110" s="25">
        <f t="shared" si="19"/>
        <v>2179231</v>
      </c>
      <c r="P110" s="12">
        <v>3912</v>
      </c>
      <c r="Q110" s="12">
        <v>288612</v>
      </c>
      <c r="R110" s="12">
        <v>0</v>
      </c>
      <c r="S110" s="12">
        <f t="shared" si="20"/>
        <v>292524</v>
      </c>
      <c r="T110" s="7">
        <v>2472430</v>
      </c>
      <c r="U110" s="7">
        <v>193956</v>
      </c>
      <c r="V110" s="7">
        <v>0</v>
      </c>
      <c r="W110" s="7">
        <v>0</v>
      </c>
      <c r="X110" s="7">
        <v>5506814</v>
      </c>
      <c r="Y110" s="7" t="s">
        <v>527</v>
      </c>
      <c r="Z110" s="26">
        <v>9.4399999999999998E-2</v>
      </c>
      <c r="AA110" s="7">
        <v>0</v>
      </c>
      <c r="AB110" s="26">
        <f>367668/5456951</f>
        <v>6.7376086023129028E-2</v>
      </c>
      <c r="AC110" s="7">
        <v>367144</v>
      </c>
      <c r="AD110" s="7">
        <v>0</v>
      </c>
      <c r="AE110" s="7">
        <f>5723+409</f>
        <v>6132</v>
      </c>
      <c r="AF110" s="7">
        <v>109156</v>
      </c>
      <c r="AG110" s="7">
        <v>8797</v>
      </c>
      <c r="AH110" s="7">
        <v>12725</v>
      </c>
      <c r="AI110" s="7">
        <f>12965+4585</f>
        <v>17550</v>
      </c>
      <c r="AJ110" s="7">
        <v>0</v>
      </c>
      <c r="AK110" s="7">
        <v>17468</v>
      </c>
      <c r="AL110" s="7">
        <v>4900</v>
      </c>
      <c r="AM110" s="7">
        <v>188</v>
      </c>
      <c r="AN110" s="7">
        <v>0</v>
      </c>
      <c r="AO110" s="7">
        <f>3680+12283+10171</f>
        <v>26134</v>
      </c>
      <c r="AP110" s="7">
        <v>10269</v>
      </c>
      <c r="AQ110" s="7">
        <v>422</v>
      </c>
      <c r="AR110" s="7">
        <v>0</v>
      </c>
      <c r="AS110" s="7">
        <v>0</v>
      </c>
      <c r="AT110" s="7">
        <v>3614</v>
      </c>
      <c r="AU110" s="7">
        <v>55775</v>
      </c>
      <c r="AV110" s="7">
        <v>229267</v>
      </c>
      <c r="AW110" s="7">
        <v>233594</v>
      </c>
      <c r="AX110" s="26">
        <f t="shared" si="18"/>
        <v>0.24327530782886328</v>
      </c>
      <c r="AY110" s="7">
        <v>0</v>
      </c>
      <c r="AZ110" s="7">
        <v>0</v>
      </c>
      <c r="BA110" s="7">
        <v>148368</v>
      </c>
      <c r="BB110" s="7">
        <v>0</v>
      </c>
      <c r="BC110" s="7">
        <v>26417</v>
      </c>
      <c r="BD110" s="7">
        <v>0</v>
      </c>
      <c r="BE110" s="7">
        <v>0</v>
      </c>
      <c r="BF110" s="7">
        <v>0</v>
      </c>
      <c r="BG110" s="7">
        <v>723</v>
      </c>
      <c r="BH110" s="7">
        <v>440</v>
      </c>
      <c r="BI110" s="7">
        <v>32</v>
      </c>
      <c r="BJ110" s="7"/>
      <c r="BK110" s="7">
        <f>-26+14-2</f>
        <v>-14</v>
      </c>
      <c r="BL110" s="7">
        <v>-72</v>
      </c>
      <c r="BM110" s="7">
        <v>-121</v>
      </c>
      <c r="BN110" s="7">
        <v>-141</v>
      </c>
      <c r="BO110" s="7">
        <v>0</v>
      </c>
      <c r="BP110" s="7">
        <f t="shared" si="21"/>
        <v>847</v>
      </c>
      <c r="BQ110" s="1">
        <v>0</v>
      </c>
      <c r="BR110" s="7">
        <v>80</v>
      </c>
      <c r="BS110" s="7">
        <v>20</v>
      </c>
      <c r="BT110" s="7">
        <v>31</v>
      </c>
      <c r="BU110" s="7">
        <v>0</v>
      </c>
      <c r="BV110" s="7">
        <v>10</v>
      </c>
      <c r="BW110" s="7">
        <v>0</v>
      </c>
      <c r="BX110" s="7">
        <v>6</v>
      </c>
      <c r="BY110" s="7">
        <v>17</v>
      </c>
      <c r="BZ110" s="7">
        <v>18</v>
      </c>
      <c r="CA110" s="7">
        <v>0</v>
      </c>
      <c r="CB110" s="7">
        <v>3</v>
      </c>
      <c r="CC110" s="7">
        <v>3</v>
      </c>
      <c r="CD110" s="7">
        <v>16</v>
      </c>
      <c r="CE110" s="7">
        <v>35</v>
      </c>
      <c r="CF110" s="7">
        <v>2</v>
      </c>
    </row>
    <row r="111" spans="1:84" x14ac:dyDescent="0.25">
      <c r="A111" s="15">
        <v>10</v>
      </c>
      <c r="B111" s="8" t="s">
        <v>413</v>
      </c>
      <c r="C111" s="57" t="s">
        <v>646</v>
      </c>
      <c r="D111" s="8" t="s">
        <v>91</v>
      </c>
      <c r="E111" s="8" t="s">
        <v>372</v>
      </c>
      <c r="F111" s="8" t="s">
        <v>693</v>
      </c>
      <c r="G111" s="8" t="s">
        <v>373</v>
      </c>
      <c r="H111" s="7">
        <v>10457514</v>
      </c>
      <c r="I111" s="7">
        <v>10475267</v>
      </c>
      <c r="J111" s="7">
        <v>37511</v>
      </c>
      <c r="K111" s="12">
        <v>2283799</v>
      </c>
      <c r="L111" s="12">
        <v>361731</v>
      </c>
      <c r="M111" s="12">
        <v>3841626</v>
      </c>
      <c r="N111" s="12">
        <v>0</v>
      </c>
      <c r="O111" s="25">
        <f t="shared" si="19"/>
        <v>6487156</v>
      </c>
      <c r="P111" s="12">
        <v>0</v>
      </c>
      <c r="Q111" s="12">
        <v>273343</v>
      </c>
      <c r="R111" s="12">
        <v>0</v>
      </c>
      <c r="S111" s="12">
        <f t="shared" si="20"/>
        <v>273343</v>
      </c>
      <c r="T111" s="7">
        <v>2176080</v>
      </c>
      <c r="U111" s="7">
        <v>964009</v>
      </c>
      <c r="V111" s="7">
        <v>18106</v>
      </c>
      <c r="W111" s="7">
        <v>64595</v>
      </c>
      <c r="X111" s="7">
        <v>10318581</v>
      </c>
      <c r="Y111" s="7" t="s">
        <v>751</v>
      </c>
      <c r="Z111" s="26">
        <v>0.04</v>
      </c>
      <c r="AA111" s="7">
        <v>2266483</v>
      </c>
      <c r="AB111" s="26">
        <f>325761/7565118</f>
        <v>4.3060927800465242E-2</v>
      </c>
      <c r="AC111" s="7">
        <v>325761</v>
      </c>
      <c r="AD111" s="7">
        <v>0</v>
      </c>
      <c r="AE111" s="7">
        <f>17753+198</f>
        <v>17951</v>
      </c>
      <c r="AF111" s="7">
        <v>116026</v>
      </c>
      <c r="AG111" s="7">
        <v>9382</v>
      </c>
      <c r="AH111" s="7">
        <v>13861</v>
      </c>
      <c r="AI111" s="7">
        <v>16389</v>
      </c>
      <c r="AJ111" s="7">
        <v>12734</v>
      </c>
      <c r="AK111" s="7">
        <v>17360</v>
      </c>
      <c r="AL111" s="7">
        <v>5220</v>
      </c>
      <c r="AM111" s="7">
        <v>271</v>
      </c>
      <c r="AN111" s="7">
        <v>0</v>
      </c>
      <c r="AO111" s="7">
        <f>5517+22568+12965</f>
        <v>41050</v>
      </c>
      <c r="AP111" s="7">
        <v>7058</v>
      </c>
      <c r="AQ111" s="7">
        <v>682</v>
      </c>
      <c r="AR111" s="7">
        <v>0</v>
      </c>
      <c r="AS111" s="7">
        <v>480</v>
      </c>
      <c r="AT111" s="7">
        <v>13782</v>
      </c>
      <c r="AU111" s="7">
        <v>42308</v>
      </c>
      <c r="AV111" s="7">
        <v>276469</v>
      </c>
      <c r="AW111" s="7">
        <v>294523</v>
      </c>
      <c r="AX111" s="26">
        <f t="shared" si="18"/>
        <v>0.15302981527766224</v>
      </c>
      <c r="AY111" s="7">
        <v>0</v>
      </c>
      <c r="AZ111" s="7">
        <v>0</v>
      </c>
      <c r="BA111" s="7">
        <v>148368</v>
      </c>
      <c r="BB111" s="7">
        <v>0</v>
      </c>
      <c r="BC111" s="7">
        <v>34857</v>
      </c>
      <c r="BD111" s="7">
        <v>0</v>
      </c>
      <c r="BE111" s="7">
        <v>0</v>
      </c>
      <c r="BF111" s="7">
        <v>0</v>
      </c>
      <c r="BG111" s="7">
        <v>1538</v>
      </c>
      <c r="BH111" s="7">
        <v>863</v>
      </c>
      <c r="BI111" s="7">
        <v>0</v>
      </c>
      <c r="BJ111" s="7"/>
      <c r="BK111" s="7">
        <v>8</v>
      </c>
      <c r="BL111" s="7">
        <v>-116</v>
      </c>
      <c r="BM111" s="7">
        <v>-263</v>
      </c>
      <c r="BN111" s="7">
        <v>-210</v>
      </c>
      <c r="BO111" s="7">
        <v>0</v>
      </c>
      <c r="BP111" s="7">
        <f t="shared" si="21"/>
        <v>1820</v>
      </c>
      <c r="BQ111" s="1">
        <v>5</v>
      </c>
      <c r="BR111" s="7">
        <v>50</v>
      </c>
      <c r="BS111" s="7">
        <v>30</v>
      </c>
      <c r="BT111" s="7">
        <v>129</v>
      </c>
      <c r="BU111" s="7">
        <v>0</v>
      </c>
      <c r="BV111" s="7">
        <v>1</v>
      </c>
      <c r="BW111" s="7">
        <v>1</v>
      </c>
      <c r="BX111" s="7">
        <v>3</v>
      </c>
      <c r="BY111" s="7">
        <v>22</v>
      </c>
      <c r="BZ111" s="7">
        <v>230</v>
      </c>
      <c r="CA111" s="7">
        <v>7</v>
      </c>
      <c r="CB111" s="7">
        <v>1</v>
      </c>
      <c r="CC111" s="7">
        <v>0</v>
      </c>
      <c r="CD111" s="7">
        <v>11</v>
      </c>
      <c r="CE111" s="7">
        <v>82</v>
      </c>
      <c r="CF111" s="7">
        <v>22</v>
      </c>
    </row>
    <row r="112" spans="1:84" x14ac:dyDescent="0.25">
      <c r="A112" s="15">
        <v>10</v>
      </c>
      <c r="B112" s="8" t="s">
        <v>481</v>
      </c>
      <c r="C112" s="57" t="s">
        <v>390</v>
      </c>
      <c r="D112" s="8" t="s">
        <v>89</v>
      </c>
      <c r="E112" s="8" t="s">
        <v>372</v>
      </c>
      <c r="F112" s="8" t="s">
        <v>693</v>
      </c>
      <c r="G112" s="8" t="s">
        <v>373</v>
      </c>
      <c r="H112" s="7">
        <v>25009209</v>
      </c>
      <c r="I112" s="7">
        <v>25029422</v>
      </c>
      <c r="J112" s="7">
        <v>604783</v>
      </c>
      <c r="K112" s="12">
        <v>8542166</v>
      </c>
      <c r="L112" s="12">
        <v>965573</v>
      </c>
      <c r="M112" s="12">
        <v>7076273</v>
      </c>
      <c r="N112" s="12">
        <v>0</v>
      </c>
      <c r="O112" s="25">
        <f t="shared" si="19"/>
        <v>16584012</v>
      </c>
      <c r="P112" s="12">
        <v>18621</v>
      </c>
      <c r="Q112" s="12">
        <v>791584</v>
      </c>
      <c r="R112" s="12">
        <v>0</v>
      </c>
      <c r="S112" s="12">
        <f t="shared" si="20"/>
        <v>810205</v>
      </c>
      <c r="T112" s="7">
        <v>3909089</v>
      </c>
      <c r="U112" s="7">
        <v>1823913</v>
      </c>
      <c r="V112" s="7">
        <v>0</v>
      </c>
      <c r="W112" s="7">
        <v>75064</v>
      </c>
      <c r="X112" s="7">
        <v>24465401</v>
      </c>
      <c r="Y112" s="7" t="s">
        <v>752</v>
      </c>
      <c r="Z112" s="26">
        <v>0.02</v>
      </c>
      <c r="AA112" s="7">
        <f>8542166+18621</f>
        <v>8560787</v>
      </c>
      <c r="AB112" s="26">
        <f>938293/15903268</f>
        <v>5.9000011821469647E-2</v>
      </c>
      <c r="AC112" s="7">
        <v>858949</v>
      </c>
      <c r="AD112" s="7">
        <v>0</v>
      </c>
      <c r="AE112" s="7">
        <f>20213+2833+669</f>
        <v>23715</v>
      </c>
      <c r="AF112" s="7">
        <v>475438</v>
      </c>
      <c r="AG112" s="7">
        <v>42014</v>
      </c>
      <c r="AH112" s="7">
        <v>98067</v>
      </c>
      <c r="AI112" s="7">
        <f>43106+3097</f>
        <v>46203</v>
      </c>
      <c r="AJ112" s="7">
        <v>10250</v>
      </c>
      <c r="AK112" s="7">
        <v>35989</v>
      </c>
      <c r="AL112" s="7">
        <v>10885</v>
      </c>
      <c r="AM112" s="7">
        <v>2744</v>
      </c>
      <c r="AN112" s="7">
        <v>19635</v>
      </c>
      <c r="AO112" s="7">
        <f>8424+21276+22771</f>
        <v>52471</v>
      </c>
      <c r="AP112" s="7">
        <v>11594</v>
      </c>
      <c r="AQ112" s="7">
        <v>955</v>
      </c>
      <c r="AR112" s="7">
        <v>0</v>
      </c>
      <c r="AS112" s="7">
        <v>14539</v>
      </c>
      <c r="AT112" s="7">
        <v>49557</v>
      </c>
      <c r="AU112" s="7">
        <v>0</v>
      </c>
      <c r="AV112" s="7">
        <v>916294</v>
      </c>
      <c r="AW112" s="7">
        <v>921865</v>
      </c>
      <c r="AX112" s="26">
        <f t="shared" si="18"/>
        <v>0</v>
      </c>
      <c r="AY112" s="7">
        <v>0</v>
      </c>
      <c r="AZ112" s="7">
        <v>0</v>
      </c>
      <c r="BA112" s="7">
        <v>148368</v>
      </c>
      <c r="BB112" s="7">
        <v>0</v>
      </c>
      <c r="BC112" s="7">
        <v>114614</v>
      </c>
      <c r="BD112" s="7">
        <v>0</v>
      </c>
      <c r="BE112" s="7">
        <v>0</v>
      </c>
      <c r="BF112" s="7">
        <v>0</v>
      </c>
      <c r="BG112" s="7">
        <v>3115</v>
      </c>
      <c r="BH112" s="7">
        <v>1682</v>
      </c>
      <c r="BI112" s="7">
        <v>0</v>
      </c>
      <c r="BJ112" s="7"/>
      <c r="BK112" s="7">
        <f>11-1</f>
        <v>10</v>
      </c>
      <c r="BL112" s="7">
        <v>-240</v>
      </c>
      <c r="BM112" s="7">
        <v>-842</v>
      </c>
      <c r="BN112" s="7">
        <v>-461</v>
      </c>
      <c r="BO112" s="7">
        <v>0</v>
      </c>
      <c r="BP112" s="7">
        <f t="shared" si="21"/>
        <v>3264</v>
      </c>
      <c r="BQ112" s="1">
        <v>1</v>
      </c>
      <c r="BR112" s="7">
        <v>152</v>
      </c>
      <c r="BS112" s="7">
        <v>61</v>
      </c>
      <c r="BT112" s="7">
        <v>232</v>
      </c>
      <c r="BU112" s="7">
        <v>0</v>
      </c>
      <c r="BV112" s="7">
        <v>14</v>
      </c>
      <c r="BW112" s="7">
        <v>1</v>
      </c>
      <c r="BX112" s="7">
        <v>5</v>
      </c>
      <c r="BY112" s="7">
        <v>173</v>
      </c>
      <c r="BZ112" s="7">
        <v>0</v>
      </c>
      <c r="CA112" s="7">
        <v>1</v>
      </c>
      <c r="CB112" s="7">
        <v>3</v>
      </c>
      <c r="CC112" s="7">
        <v>9</v>
      </c>
      <c r="CD112" s="7">
        <v>508</v>
      </c>
      <c r="CE112" s="7">
        <v>0</v>
      </c>
      <c r="CF112" s="7">
        <v>17</v>
      </c>
    </row>
    <row r="113" spans="1:84" x14ac:dyDescent="0.25">
      <c r="A113" s="15">
        <v>10</v>
      </c>
      <c r="B113" s="8" t="s">
        <v>498</v>
      </c>
      <c r="C113" s="57" t="s">
        <v>202</v>
      </c>
      <c r="D113" s="8" t="s">
        <v>690</v>
      </c>
      <c r="E113" s="8" t="s">
        <v>374</v>
      </c>
      <c r="F113" s="8" t="s">
        <v>551</v>
      </c>
      <c r="G113" s="8" t="s">
        <v>376</v>
      </c>
      <c r="H113" s="7">
        <v>6595730</v>
      </c>
      <c r="I113" s="7">
        <v>6598837</v>
      </c>
      <c r="J113" s="7">
        <v>150727</v>
      </c>
      <c r="K113" s="12">
        <v>2778579</v>
      </c>
      <c r="L113" s="12">
        <v>326700</v>
      </c>
      <c r="M113" s="12">
        <v>1102940</v>
      </c>
      <c r="N113" s="12">
        <v>0</v>
      </c>
      <c r="O113" s="25">
        <f t="shared" si="19"/>
        <v>4208219</v>
      </c>
      <c r="P113" s="12">
        <v>0</v>
      </c>
      <c r="Q113" s="12">
        <v>497762</v>
      </c>
      <c r="R113" s="12">
        <v>0</v>
      </c>
      <c r="S113" s="12">
        <f t="shared" si="20"/>
        <v>497762</v>
      </c>
      <c r="T113" s="7">
        <v>605740</v>
      </c>
      <c r="U113" s="7">
        <v>501149</v>
      </c>
      <c r="V113" s="7">
        <v>0</v>
      </c>
      <c r="W113" s="7">
        <v>30328</v>
      </c>
      <c r="X113" s="7">
        <v>6183132</v>
      </c>
      <c r="Y113" s="7" t="s">
        <v>531</v>
      </c>
      <c r="Z113" s="26">
        <v>0.13730000000000001</v>
      </c>
      <c r="AA113" s="7">
        <v>2778579</v>
      </c>
      <c r="AB113" s="26">
        <f>327974/3279740</f>
        <v>0.1</v>
      </c>
      <c r="AC113" s="7">
        <v>327603</v>
      </c>
      <c r="AD113" s="7">
        <v>0</v>
      </c>
      <c r="AE113" s="7">
        <f>3107+465+67</f>
        <v>3639</v>
      </c>
      <c r="AF113" s="7">
        <v>78658</v>
      </c>
      <c r="AG113" s="7">
        <v>8529</v>
      </c>
      <c r="AH113" s="7">
        <v>1676</v>
      </c>
      <c r="AI113" s="7">
        <v>32487</v>
      </c>
      <c r="AJ113" s="7">
        <v>13530</v>
      </c>
      <c r="AK113" s="7">
        <v>9187</v>
      </c>
      <c r="AL113" s="7">
        <v>3600</v>
      </c>
      <c r="AM113" s="7">
        <v>0</v>
      </c>
      <c r="AN113" s="7">
        <v>4489</v>
      </c>
      <c r="AO113" s="7">
        <f>5771+8755+11487</f>
        <v>26013</v>
      </c>
      <c r="AP113" s="7">
        <v>3963</v>
      </c>
      <c r="AQ113" s="7">
        <v>200</v>
      </c>
      <c r="AR113" s="7">
        <v>0</v>
      </c>
      <c r="AS113" s="7">
        <v>6713</v>
      </c>
      <c r="AT113" s="7">
        <v>15604</v>
      </c>
      <c r="AU113" s="7">
        <v>0</v>
      </c>
      <c r="AV113" s="7">
        <v>231069</v>
      </c>
      <c r="AW113" s="7">
        <v>246957</v>
      </c>
      <c r="AX113" s="26">
        <f t="shared" si="18"/>
        <v>0</v>
      </c>
      <c r="AY113" s="7">
        <v>0</v>
      </c>
      <c r="AZ113" s="7">
        <v>0</v>
      </c>
      <c r="BA113" s="7">
        <v>138618</v>
      </c>
      <c r="BB113" s="7">
        <v>0</v>
      </c>
      <c r="BC113" s="7">
        <v>3736</v>
      </c>
      <c r="BD113" s="7">
        <v>0</v>
      </c>
      <c r="BE113" s="7">
        <v>0</v>
      </c>
      <c r="BF113" s="7">
        <v>0</v>
      </c>
      <c r="BG113" s="7">
        <v>651</v>
      </c>
      <c r="BH113" s="7">
        <v>513</v>
      </c>
      <c r="BI113" s="7">
        <v>0</v>
      </c>
      <c r="BJ113" s="7"/>
      <c r="BK113" s="7">
        <f>2+4-1</f>
        <v>5</v>
      </c>
      <c r="BL113" s="7">
        <v>-36</v>
      </c>
      <c r="BM113" s="7">
        <v>-143</v>
      </c>
      <c r="BN113" s="7">
        <v>-42</v>
      </c>
      <c r="BO113" s="7">
        <v>0</v>
      </c>
      <c r="BP113" s="7">
        <f t="shared" si="21"/>
        <v>948</v>
      </c>
      <c r="BQ113" s="1">
        <v>0</v>
      </c>
      <c r="BR113" s="7">
        <v>22</v>
      </c>
      <c r="BS113" s="7">
        <v>3</v>
      </c>
      <c r="BT113" s="7">
        <v>19</v>
      </c>
      <c r="BU113" s="7">
        <v>2</v>
      </c>
      <c r="BV113" s="7">
        <v>0</v>
      </c>
      <c r="BW113" s="7">
        <v>0</v>
      </c>
      <c r="BX113" s="7">
        <v>0</v>
      </c>
      <c r="BY113" s="7">
        <v>1</v>
      </c>
      <c r="BZ113" s="7">
        <v>10</v>
      </c>
      <c r="CA113" s="7">
        <v>0</v>
      </c>
      <c r="CB113" s="7">
        <v>1</v>
      </c>
      <c r="CC113" s="7">
        <v>5</v>
      </c>
      <c r="CD113" s="7">
        <v>15</v>
      </c>
      <c r="CE113" s="7">
        <v>64</v>
      </c>
      <c r="CF113" s="7">
        <v>0</v>
      </c>
    </row>
    <row r="114" spans="1:84" x14ac:dyDescent="0.25">
      <c r="A114" s="15">
        <v>10</v>
      </c>
      <c r="B114" s="8" t="s">
        <v>504</v>
      </c>
      <c r="C114" s="57" t="s">
        <v>721</v>
      </c>
      <c r="D114" s="8" t="s">
        <v>495</v>
      </c>
      <c r="E114" s="8" t="s">
        <v>374</v>
      </c>
      <c r="F114" s="8" t="s">
        <v>551</v>
      </c>
      <c r="G114" s="8" t="s">
        <v>376</v>
      </c>
      <c r="H114" s="7">
        <v>8878572</v>
      </c>
      <c r="I114" s="7">
        <v>8883453</v>
      </c>
      <c r="J114" s="7">
        <v>243121</v>
      </c>
      <c r="K114" s="12">
        <v>4299791</v>
      </c>
      <c r="L114" s="12">
        <v>648845</v>
      </c>
      <c r="M114" s="12">
        <v>1425936</v>
      </c>
      <c r="N114" s="12">
        <v>0</v>
      </c>
      <c r="O114" s="25">
        <f t="shared" si="19"/>
        <v>6374572</v>
      </c>
      <c r="P114" s="12">
        <v>0</v>
      </c>
      <c r="Q114" s="12">
        <v>311227</v>
      </c>
      <c r="R114" s="12">
        <v>0</v>
      </c>
      <c r="S114" s="12">
        <f t="shared" si="20"/>
        <v>311227</v>
      </c>
      <c r="T114" s="7">
        <v>926450</v>
      </c>
      <c r="U114" s="7">
        <v>406369</v>
      </c>
      <c r="V114" s="7">
        <v>0</v>
      </c>
      <c r="W114" s="7">
        <v>21460</v>
      </c>
      <c r="X114" s="7">
        <v>8463200</v>
      </c>
      <c r="Y114" s="7" t="s">
        <v>344</v>
      </c>
      <c r="Z114" s="26">
        <v>0.05</v>
      </c>
      <c r="AA114" s="7">
        <v>4299791</v>
      </c>
      <c r="AB114" s="26">
        <f>404858/4048580</f>
        <v>0.1</v>
      </c>
      <c r="AC114" s="7">
        <v>404858</v>
      </c>
      <c r="AD114" s="7">
        <v>0</v>
      </c>
      <c r="AE114" s="7">
        <f>5110+162</f>
        <v>5272</v>
      </c>
      <c r="AF114" s="7">
        <v>149890</v>
      </c>
      <c r="AG114" s="7">
        <v>12723</v>
      </c>
      <c r="AH114" s="7">
        <v>14037</v>
      </c>
      <c r="AI114" s="7">
        <f>16138+4525</f>
        <v>20663</v>
      </c>
      <c r="AJ114" s="7">
        <v>10525</v>
      </c>
      <c r="AK114" s="7">
        <v>9706</v>
      </c>
      <c r="AL114" s="7">
        <v>7175</v>
      </c>
      <c r="AM114" s="7">
        <v>1058</v>
      </c>
      <c r="AN114" s="7">
        <v>5303</v>
      </c>
      <c r="AO114" s="7">
        <f>4453+9748+11614</f>
        <v>25815</v>
      </c>
      <c r="AP114" s="7">
        <v>0</v>
      </c>
      <c r="AQ114" s="7">
        <v>0</v>
      </c>
      <c r="AR114" s="7">
        <v>0</v>
      </c>
      <c r="AS114" s="7">
        <v>7726</v>
      </c>
      <c r="AT114" s="7">
        <v>7189</v>
      </c>
      <c r="AU114" s="7">
        <v>68453</v>
      </c>
      <c r="AV114" s="7">
        <v>290850</v>
      </c>
      <c r="AW114" s="7">
        <v>306610</v>
      </c>
      <c r="AX114" s="26">
        <f t="shared" si="18"/>
        <v>0.23535499398315282</v>
      </c>
      <c r="AY114" s="7">
        <v>635.79</v>
      </c>
      <c r="AZ114" s="7">
        <v>0</v>
      </c>
      <c r="BA114" s="7">
        <v>148368</v>
      </c>
      <c r="BB114" s="7">
        <v>0</v>
      </c>
      <c r="BC114" s="7">
        <v>34573</v>
      </c>
      <c r="BD114" s="7">
        <v>0</v>
      </c>
      <c r="BE114" s="7">
        <v>0</v>
      </c>
      <c r="BF114" s="7">
        <v>0</v>
      </c>
      <c r="BG114" s="7">
        <v>970</v>
      </c>
      <c r="BH114" s="7">
        <v>369</v>
      </c>
      <c r="BI114" s="7">
        <v>0</v>
      </c>
      <c r="BJ114" s="7"/>
      <c r="BK114" s="7">
        <f>2+8</f>
        <v>10</v>
      </c>
      <c r="BL114" s="7">
        <v>-61</v>
      </c>
      <c r="BM114" s="7">
        <v>-193</v>
      </c>
      <c r="BN114" s="7">
        <v>-156</v>
      </c>
      <c r="BO114" s="7">
        <v>-4</v>
      </c>
      <c r="BP114" s="7">
        <f t="shared" si="21"/>
        <v>935</v>
      </c>
      <c r="BQ114" s="1">
        <v>10</v>
      </c>
      <c r="BR114" s="7">
        <v>32</v>
      </c>
      <c r="BS114" s="7">
        <v>11</v>
      </c>
      <c r="BT114" s="7">
        <v>52</v>
      </c>
      <c r="BU114" s="7">
        <v>58</v>
      </c>
      <c r="BV114" s="7">
        <v>3</v>
      </c>
      <c r="BW114" s="7">
        <v>1</v>
      </c>
      <c r="BX114" s="7">
        <v>1</v>
      </c>
      <c r="BY114" s="7">
        <v>2</v>
      </c>
      <c r="BZ114" s="7">
        <v>31</v>
      </c>
      <c r="CA114" s="7">
        <v>1</v>
      </c>
      <c r="CB114" s="7">
        <v>0</v>
      </c>
      <c r="CC114" s="7">
        <v>3</v>
      </c>
      <c r="CD114" s="7">
        <v>7</v>
      </c>
      <c r="CE114" s="7">
        <v>97</v>
      </c>
      <c r="CF114" s="7">
        <v>5</v>
      </c>
    </row>
    <row r="115" spans="1:84" x14ac:dyDescent="0.25">
      <c r="A115" s="15">
        <v>10</v>
      </c>
      <c r="B115" s="8" t="s">
        <v>518</v>
      </c>
      <c r="C115" s="57" t="s">
        <v>646</v>
      </c>
      <c r="D115" s="8" t="s">
        <v>252</v>
      </c>
      <c r="E115" s="8" t="s">
        <v>374</v>
      </c>
      <c r="F115" s="8" t="s">
        <v>693</v>
      </c>
      <c r="G115" s="8" t="s">
        <v>376</v>
      </c>
      <c r="H115" s="7">
        <v>7604321</v>
      </c>
      <c r="I115" s="7">
        <v>7617648</v>
      </c>
      <c r="J115" s="7">
        <v>278839</v>
      </c>
      <c r="K115" s="12">
        <v>1691716</v>
      </c>
      <c r="L115" s="12">
        <v>435</v>
      </c>
      <c r="M115" s="12">
        <v>0</v>
      </c>
      <c r="N115" s="12">
        <v>2681196</v>
      </c>
      <c r="O115" s="25">
        <f t="shared" si="19"/>
        <v>4373347</v>
      </c>
      <c r="P115" s="12">
        <v>0</v>
      </c>
      <c r="Q115" s="12">
        <v>0</v>
      </c>
      <c r="R115" s="12">
        <v>271203</v>
      </c>
      <c r="S115" s="12">
        <f t="shared" si="20"/>
        <v>271203</v>
      </c>
      <c r="T115" s="7">
        <v>1540841</v>
      </c>
      <c r="U115" s="7">
        <v>604894</v>
      </c>
      <c r="V115" s="7">
        <v>0</v>
      </c>
      <c r="W115" s="7">
        <v>14009</v>
      </c>
      <c r="X115" s="7">
        <v>7398039</v>
      </c>
      <c r="Y115" s="7" t="s">
        <v>379</v>
      </c>
      <c r="Z115" s="26">
        <v>3.9899999999999998E-2</v>
      </c>
      <c r="AA115" s="7">
        <v>1691716</v>
      </c>
      <c r="AB115" s="26">
        <f>482836/5672466</f>
        <v>8.5119240908627741E-2</v>
      </c>
      <c r="AC115" s="7">
        <v>481502</v>
      </c>
      <c r="AD115" s="7">
        <v>0</v>
      </c>
      <c r="AE115" s="7">
        <f>12259+2244+278</f>
        <v>14781</v>
      </c>
      <c r="AF115" s="7">
        <v>137538</v>
      </c>
      <c r="AG115" s="7">
        <v>12172</v>
      </c>
      <c r="AH115" s="7">
        <v>19812</v>
      </c>
      <c r="AI115" s="7">
        <f>25625+2893</f>
        <v>28518</v>
      </c>
      <c r="AJ115" s="7">
        <v>10822</v>
      </c>
      <c r="AK115" s="7">
        <v>17225</v>
      </c>
      <c r="AL115" s="7">
        <v>6762</v>
      </c>
      <c r="AM115" s="7">
        <v>7517</v>
      </c>
      <c r="AN115" s="7">
        <v>0</v>
      </c>
      <c r="AO115" s="7">
        <f>8660+23046+23636</f>
        <v>55342</v>
      </c>
      <c r="AP115" s="7">
        <v>13164</v>
      </c>
      <c r="AQ115" s="7">
        <v>414</v>
      </c>
      <c r="AR115" s="7">
        <v>0</v>
      </c>
      <c r="AS115" s="7">
        <v>17142</v>
      </c>
      <c r="AT115" s="7">
        <v>18429</v>
      </c>
      <c r="AU115" s="7">
        <v>0</v>
      </c>
      <c r="AV115" s="7">
        <v>378060</v>
      </c>
      <c r="AW115" s="7">
        <v>381687</v>
      </c>
      <c r="AX115" s="26">
        <f t="shared" si="18"/>
        <v>0</v>
      </c>
      <c r="AY115" s="7">
        <v>0</v>
      </c>
      <c r="AZ115" s="7">
        <v>0</v>
      </c>
      <c r="BA115" s="7">
        <v>148368</v>
      </c>
      <c r="BB115" s="7">
        <v>0</v>
      </c>
      <c r="BC115" s="7">
        <v>55241</v>
      </c>
      <c r="BD115" s="7">
        <v>0</v>
      </c>
      <c r="BE115" s="7">
        <v>0</v>
      </c>
      <c r="BF115" s="7">
        <v>0</v>
      </c>
      <c r="BG115" s="7">
        <v>1234</v>
      </c>
      <c r="BH115" s="7">
        <v>512</v>
      </c>
      <c r="BI115" s="7">
        <v>0</v>
      </c>
      <c r="BJ115" s="7"/>
      <c r="BK115" s="7">
        <f>-5-1</f>
        <v>-6</v>
      </c>
      <c r="BL115" s="7">
        <v>-79</v>
      </c>
      <c r="BM115" s="7">
        <v>-109</v>
      </c>
      <c r="BN115" s="7">
        <v>-158</v>
      </c>
      <c r="BO115" s="7">
        <v>0</v>
      </c>
      <c r="BP115" s="7">
        <f t="shared" si="21"/>
        <v>1394</v>
      </c>
      <c r="BQ115" s="1">
        <v>48</v>
      </c>
      <c r="BR115" s="7">
        <v>14</v>
      </c>
      <c r="BS115" s="7">
        <v>24</v>
      </c>
      <c r="BT115" s="7">
        <v>96</v>
      </c>
      <c r="BU115" s="7">
        <v>2</v>
      </c>
      <c r="BV115" s="7">
        <v>0</v>
      </c>
      <c r="BW115" s="7">
        <v>0</v>
      </c>
      <c r="BX115" s="7">
        <v>1</v>
      </c>
      <c r="BY115" s="7">
        <v>3</v>
      </c>
      <c r="BZ115" s="7">
        <v>6</v>
      </c>
      <c r="CA115" s="7">
        <v>0</v>
      </c>
      <c r="CB115" s="7">
        <v>0</v>
      </c>
      <c r="CC115" s="7">
        <v>2</v>
      </c>
      <c r="CD115" s="7">
        <v>7</v>
      </c>
      <c r="CE115" s="7">
        <v>6</v>
      </c>
      <c r="CF115" s="7">
        <v>0</v>
      </c>
    </row>
    <row r="116" spans="1:84" x14ac:dyDescent="0.25">
      <c r="A116" s="15">
        <v>10</v>
      </c>
      <c r="B116" s="8" t="s">
        <v>657</v>
      </c>
      <c r="C116" s="57" t="s">
        <v>197</v>
      </c>
      <c r="D116" s="8" t="s">
        <v>434</v>
      </c>
      <c r="E116" s="8" t="s">
        <v>374</v>
      </c>
      <c r="F116" s="8" t="s">
        <v>551</v>
      </c>
      <c r="G116" s="8" t="s">
        <v>376</v>
      </c>
      <c r="H116" s="7">
        <v>4054544</v>
      </c>
      <c r="I116" s="7">
        <v>4055207</v>
      </c>
      <c r="J116" s="7">
        <v>48717</v>
      </c>
      <c r="K116" s="12">
        <v>1740680</v>
      </c>
      <c r="L116" s="12">
        <v>216911</v>
      </c>
      <c r="M116" s="12">
        <v>869364</v>
      </c>
      <c r="N116" s="12">
        <v>0</v>
      </c>
      <c r="O116" s="25">
        <f t="shared" si="19"/>
        <v>2826955</v>
      </c>
      <c r="P116" s="12">
        <v>0</v>
      </c>
      <c r="Q116" s="12">
        <v>58422</v>
      </c>
      <c r="R116" s="12">
        <v>0</v>
      </c>
      <c r="S116" s="12">
        <f t="shared" si="20"/>
        <v>58422</v>
      </c>
      <c r="T116" s="7">
        <v>668102</v>
      </c>
      <c r="U116" s="7">
        <v>185582</v>
      </c>
      <c r="V116" s="7">
        <v>0</v>
      </c>
      <c r="W116" s="7">
        <v>6846</v>
      </c>
      <c r="X116" s="7">
        <v>4009644</v>
      </c>
      <c r="Y116" s="7" t="s">
        <v>531</v>
      </c>
      <c r="Z116" s="26">
        <v>0.1</v>
      </c>
      <c r="AA116" s="7">
        <v>0</v>
      </c>
      <c r="AB116" s="26">
        <f>251667/4002798</f>
        <v>6.2872770497037322E-2</v>
      </c>
      <c r="AC116" s="7">
        <v>253357</v>
      </c>
      <c r="AD116" s="7">
        <v>0</v>
      </c>
      <c r="AE116" s="7">
        <f>660+474+143</f>
        <v>1277</v>
      </c>
      <c r="AF116" s="7">
        <v>45474</v>
      </c>
      <c r="AG116" s="7">
        <v>0</v>
      </c>
      <c r="AH116" s="7">
        <v>0</v>
      </c>
      <c r="AI116" s="7">
        <f>6906+753</f>
        <v>7659</v>
      </c>
      <c r="AJ116" s="7">
        <v>0</v>
      </c>
      <c r="AK116" s="7">
        <v>11459</v>
      </c>
      <c r="AL116" s="7">
        <v>5795</v>
      </c>
      <c r="AM116" s="7">
        <v>0</v>
      </c>
      <c r="AN116" s="7">
        <v>0</v>
      </c>
      <c r="AO116" s="7">
        <f>2245+5768+5026</f>
        <v>13039</v>
      </c>
      <c r="AP116" s="7">
        <v>3959</v>
      </c>
      <c r="AQ116" s="7">
        <v>225</v>
      </c>
      <c r="AR116" s="7">
        <v>0</v>
      </c>
      <c r="AS116" s="7">
        <v>0</v>
      </c>
      <c r="AT116" s="7">
        <v>14711</v>
      </c>
      <c r="AU116" s="7">
        <v>0</v>
      </c>
      <c r="AV116" s="7">
        <v>112439</v>
      </c>
      <c r="AW116" s="7">
        <v>115682</v>
      </c>
      <c r="AX116" s="26">
        <f t="shared" si="18"/>
        <v>0</v>
      </c>
      <c r="AY116" s="7">
        <v>0</v>
      </c>
      <c r="AZ116" s="7">
        <v>0</v>
      </c>
      <c r="BA116" s="7">
        <v>148368</v>
      </c>
      <c r="BB116" s="7">
        <v>0</v>
      </c>
      <c r="BC116" s="7">
        <v>19172</v>
      </c>
      <c r="BD116" s="7">
        <v>57</v>
      </c>
      <c r="BE116" s="7">
        <v>57</v>
      </c>
      <c r="BF116" s="7">
        <v>0</v>
      </c>
      <c r="BG116" s="7">
        <v>438</v>
      </c>
      <c r="BH116" s="7">
        <v>193</v>
      </c>
      <c r="BI116" s="7">
        <v>0</v>
      </c>
      <c r="BJ116" s="7"/>
      <c r="BK116" s="7">
        <f>1+1-2</f>
        <v>0</v>
      </c>
      <c r="BL116" s="7">
        <v>-47</v>
      </c>
      <c r="BM116" s="7">
        <v>-62</v>
      </c>
      <c r="BN116" s="7">
        <v>-60</v>
      </c>
      <c r="BO116" s="7">
        <v>-2</v>
      </c>
      <c r="BP116" s="7">
        <f t="shared" si="21"/>
        <v>460</v>
      </c>
      <c r="BQ116" s="1">
        <v>0</v>
      </c>
      <c r="BR116" s="7">
        <v>18</v>
      </c>
      <c r="BS116" s="7">
        <v>10</v>
      </c>
      <c r="BT116" s="7">
        <v>28</v>
      </c>
      <c r="BU116" s="7">
        <v>2</v>
      </c>
      <c r="BV116" s="7">
        <v>2</v>
      </c>
      <c r="BW116" s="7">
        <v>0</v>
      </c>
      <c r="BX116" s="7">
        <v>1</v>
      </c>
      <c r="BY116" s="7">
        <v>3</v>
      </c>
      <c r="BZ116" s="7">
        <v>28</v>
      </c>
      <c r="CA116" s="7">
        <v>0</v>
      </c>
      <c r="CB116" s="7">
        <v>0</v>
      </c>
      <c r="CC116" s="7">
        <v>2</v>
      </c>
      <c r="CD116" s="7">
        <v>6</v>
      </c>
      <c r="CE116" s="7">
        <v>37</v>
      </c>
      <c r="CF116" s="7">
        <v>2</v>
      </c>
    </row>
    <row r="117" spans="1:84" x14ac:dyDescent="0.25">
      <c r="A117" s="15">
        <v>11</v>
      </c>
      <c r="B117" s="8" t="s">
        <v>151</v>
      </c>
      <c r="C117" s="57" t="s">
        <v>794</v>
      </c>
      <c r="D117" s="8" t="s">
        <v>465</v>
      </c>
      <c r="E117" s="8" t="s">
        <v>791</v>
      </c>
      <c r="F117" s="8" t="s">
        <v>787</v>
      </c>
      <c r="G117" s="8" t="s">
        <v>800</v>
      </c>
      <c r="H117" s="7">
        <v>7008158</v>
      </c>
      <c r="I117" s="7">
        <v>7010973</v>
      </c>
      <c r="J117" s="7">
        <v>169667</v>
      </c>
      <c r="K117" s="12">
        <v>214303</v>
      </c>
      <c r="L117" s="12">
        <v>717829</v>
      </c>
      <c r="M117" s="12">
        <v>2727309</v>
      </c>
      <c r="N117" s="12">
        <v>414759</v>
      </c>
      <c r="O117" s="25">
        <f t="shared" si="19"/>
        <v>4074200</v>
      </c>
      <c r="P117" s="12">
        <v>7603</v>
      </c>
      <c r="Q117" s="12">
        <v>352729</v>
      </c>
      <c r="R117" s="12">
        <v>323109</v>
      </c>
      <c r="S117" s="12">
        <f t="shared" si="20"/>
        <v>683441</v>
      </c>
      <c r="T117" s="7">
        <v>800532</v>
      </c>
      <c r="U117" s="7">
        <v>511653</v>
      </c>
      <c r="V117" s="7">
        <v>0</v>
      </c>
      <c r="W117" s="7">
        <v>0</v>
      </c>
      <c r="X117" s="7">
        <v>6721386</v>
      </c>
      <c r="Y117" s="7" t="s">
        <v>75</v>
      </c>
      <c r="Z117" s="26">
        <v>3.7400000000000003E-2</v>
      </c>
      <c r="AA117" s="7">
        <v>0</v>
      </c>
      <c r="AB117" s="26">
        <f>550945/6722784</f>
        <v>8.1951911589008358E-2</v>
      </c>
      <c r="AC117" s="7">
        <v>550365</v>
      </c>
      <c r="AD117" s="7">
        <v>0</v>
      </c>
      <c r="AE117" s="7">
        <v>2714</v>
      </c>
      <c r="AF117" s="7">
        <v>198273</v>
      </c>
      <c r="AG117" s="7">
        <v>18815</v>
      </c>
      <c r="AH117" s="7">
        <v>36960</v>
      </c>
      <c r="AI117" s="7">
        <f>26046+5894</f>
        <v>31940</v>
      </c>
      <c r="AJ117" s="7">
        <v>5653</v>
      </c>
      <c r="AK117" s="7">
        <v>11190</v>
      </c>
      <c r="AL117" s="7">
        <v>8100</v>
      </c>
      <c r="AM117" s="7">
        <v>590</v>
      </c>
      <c r="AN117" s="7">
        <v>0</v>
      </c>
      <c r="AO117" s="7">
        <f>1800+8888+5343</f>
        <v>16031</v>
      </c>
      <c r="AP117" s="7">
        <v>375</v>
      </c>
      <c r="AQ117" s="7">
        <v>0</v>
      </c>
      <c r="AR117" s="7">
        <v>0</v>
      </c>
      <c r="AS117" s="7">
        <v>2806</v>
      </c>
      <c r="AT117" s="7">
        <v>21905</v>
      </c>
      <c r="AU117" s="7">
        <v>5894</v>
      </c>
      <c r="AV117" s="7">
        <v>397226</v>
      </c>
      <c r="AW117" s="7">
        <v>409758</v>
      </c>
      <c r="AX117" s="26">
        <f t="shared" si="18"/>
        <v>1.4837900842341639E-2</v>
      </c>
      <c r="AY117" s="7">
        <v>102</v>
      </c>
      <c r="AZ117" s="7">
        <v>0</v>
      </c>
      <c r="BA117" s="7">
        <v>148368</v>
      </c>
      <c r="BB117" s="7">
        <v>0</v>
      </c>
      <c r="BC117" s="7">
        <v>51554</v>
      </c>
      <c r="BD117" s="7">
        <v>0</v>
      </c>
      <c r="BE117" s="7">
        <v>0</v>
      </c>
      <c r="BF117" s="7">
        <v>0</v>
      </c>
      <c r="BG117" s="7">
        <v>1169</v>
      </c>
      <c r="BH117" s="7">
        <v>924</v>
      </c>
      <c r="BI117" s="7">
        <v>0</v>
      </c>
      <c r="BJ117" s="7">
        <v>0</v>
      </c>
      <c r="BK117" s="7">
        <f>3+24-2</f>
        <v>25</v>
      </c>
      <c r="BL117" s="7">
        <v>-122</v>
      </c>
      <c r="BM117" s="7">
        <v>-371</v>
      </c>
      <c r="BN117" s="7">
        <v>-182</v>
      </c>
      <c r="BO117" s="7">
        <v>-1</v>
      </c>
      <c r="BP117" s="7">
        <f t="shared" si="21"/>
        <v>1442</v>
      </c>
      <c r="BQ117" s="1">
        <v>0</v>
      </c>
      <c r="BR117" s="7">
        <v>25</v>
      </c>
      <c r="BS117" s="7">
        <v>8</v>
      </c>
      <c r="BT117" s="7">
        <v>122</v>
      </c>
      <c r="BU117" s="7">
        <v>21</v>
      </c>
      <c r="BV117" s="7">
        <v>7</v>
      </c>
      <c r="BW117" s="7">
        <v>0</v>
      </c>
      <c r="BX117" s="7">
        <v>2</v>
      </c>
      <c r="BY117" s="7">
        <v>6</v>
      </c>
      <c r="BZ117" s="7">
        <v>102</v>
      </c>
      <c r="CA117" s="7">
        <v>12</v>
      </c>
      <c r="CB117" s="7">
        <v>0</v>
      </c>
      <c r="CC117" s="7">
        <v>5</v>
      </c>
      <c r="CD117" s="7">
        <v>22</v>
      </c>
      <c r="CE117" s="7">
        <v>219</v>
      </c>
      <c r="CF117" s="7">
        <v>10</v>
      </c>
    </row>
    <row r="118" spans="1:84" x14ac:dyDescent="0.25">
      <c r="A118" s="15">
        <v>11</v>
      </c>
      <c r="B118" s="8" t="s">
        <v>402</v>
      </c>
      <c r="C118" s="57" t="s">
        <v>454</v>
      </c>
      <c r="D118" s="8" t="s">
        <v>499</v>
      </c>
      <c r="E118" s="8" t="s">
        <v>791</v>
      </c>
      <c r="F118" s="8" t="s">
        <v>234</v>
      </c>
      <c r="G118" s="8" t="s">
        <v>800</v>
      </c>
      <c r="H118" s="7">
        <v>20547151</v>
      </c>
      <c r="I118" s="7">
        <v>20552307</v>
      </c>
      <c r="J118" s="7">
        <v>385345</v>
      </c>
      <c r="K118" s="12">
        <v>273591</v>
      </c>
      <c r="L118" s="12">
        <v>1783621</v>
      </c>
      <c r="M118" s="12">
        <v>3680189</v>
      </c>
      <c r="N118" s="12">
        <v>4307046</v>
      </c>
      <c r="O118" s="25">
        <f t="shared" si="19"/>
        <v>10044447</v>
      </c>
      <c r="P118" s="12">
        <v>0</v>
      </c>
      <c r="Q118" s="12">
        <v>0</v>
      </c>
      <c r="R118" s="12">
        <v>2503076</v>
      </c>
      <c r="S118" s="12">
        <f t="shared" si="20"/>
        <v>2503076</v>
      </c>
      <c r="T118" s="7">
        <v>4484953</v>
      </c>
      <c r="U118" s="7">
        <v>1771540</v>
      </c>
      <c r="V118" s="7">
        <v>0</v>
      </c>
      <c r="W118" s="7">
        <v>0</v>
      </c>
      <c r="X118" s="7">
        <v>19827304</v>
      </c>
      <c r="Y118" s="7" t="s">
        <v>531</v>
      </c>
      <c r="Z118" s="26">
        <v>4.5199999999999997E-2</v>
      </c>
      <c r="AA118" s="7">
        <v>0</v>
      </c>
      <c r="AB118" s="26">
        <f>824660/19827304</f>
        <v>4.1592139808821212E-2</v>
      </c>
      <c r="AC118" s="7">
        <v>842020</v>
      </c>
      <c r="AD118" s="7">
        <v>0</v>
      </c>
      <c r="AE118" s="7">
        <f>5166+371</f>
        <v>5537</v>
      </c>
      <c r="AF118" s="7">
        <v>318449</v>
      </c>
      <c r="AG118" s="7">
        <v>26159</v>
      </c>
      <c r="AH118" s="7">
        <v>82929</v>
      </c>
      <c r="AI118" s="7">
        <f>42066+2810</f>
        <v>44876</v>
      </c>
      <c r="AJ118" s="7">
        <v>0</v>
      </c>
      <c r="AK118" s="7">
        <v>33220</v>
      </c>
      <c r="AL118" s="7">
        <v>8800</v>
      </c>
      <c r="AM118" s="7">
        <v>3586</v>
      </c>
      <c r="AN118" s="7">
        <v>9539</v>
      </c>
      <c r="AO118" s="7">
        <f>14377+28544+20797</f>
        <v>63718</v>
      </c>
      <c r="AP118" s="7">
        <v>9041</v>
      </c>
      <c r="AQ118" s="7">
        <v>0</v>
      </c>
      <c r="AR118" s="7">
        <v>0</v>
      </c>
      <c r="AS118" s="7">
        <v>675</v>
      </c>
      <c r="AT118" s="7">
        <v>18098</v>
      </c>
      <c r="AU118" s="7">
        <v>0</v>
      </c>
      <c r="AV118" s="7">
        <v>651057</v>
      </c>
      <c r="AW118" s="7">
        <v>728977</v>
      </c>
      <c r="AX118" s="26">
        <f t="shared" si="18"/>
        <v>0</v>
      </c>
      <c r="AY118" s="7">
        <v>2485</v>
      </c>
      <c r="AZ118" s="7">
        <v>0</v>
      </c>
      <c r="BA118" s="7">
        <v>148368</v>
      </c>
      <c r="BB118" s="7">
        <v>0</v>
      </c>
      <c r="BC118" s="7">
        <v>102976</v>
      </c>
      <c r="BD118" s="7">
        <v>0</v>
      </c>
      <c r="BE118" s="7">
        <v>0</v>
      </c>
      <c r="BF118" s="7">
        <v>0</v>
      </c>
      <c r="BG118" s="7">
        <v>4247</v>
      </c>
      <c r="BH118" s="7">
        <v>2139</v>
      </c>
      <c r="BI118" s="7">
        <v>150</v>
      </c>
      <c r="BJ118" s="7">
        <v>0</v>
      </c>
      <c r="BK118" s="7">
        <v>-128</v>
      </c>
      <c r="BL118" s="7">
        <v>-282</v>
      </c>
      <c r="BM118" s="7">
        <v>-762</v>
      </c>
      <c r="BN118" s="7">
        <v>-526</v>
      </c>
      <c r="BO118" s="7">
        <v>-3</v>
      </c>
      <c r="BP118" s="7">
        <f t="shared" si="21"/>
        <v>4835</v>
      </c>
      <c r="BQ118" s="1">
        <v>8</v>
      </c>
      <c r="BR118" s="7">
        <v>205</v>
      </c>
      <c r="BS118" s="7">
        <v>55</v>
      </c>
      <c r="BT118" s="7">
        <v>241</v>
      </c>
      <c r="BU118" s="7">
        <v>0</v>
      </c>
      <c r="BV118" s="7">
        <v>28</v>
      </c>
      <c r="BW118" s="7">
        <v>2</v>
      </c>
      <c r="BX118" s="7">
        <v>5</v>
      </c>
      <c r="BY118" s="7">
        <v>147</v>
      </c>
      <c r="BZ118" s="7">
        <v>79</v>
      </c>
      <c r="CA118" s="7">
        <v>3</v>
      </c>
      <c r="CB118" s="7">
        <v>18</v>
      </c>
      <c r="CC118" s="7">
        <v>29</v>
      </c>
      <c r="CD118" s="7">
        <v>366</v>
      </c>
      <c r="CE118" s="7">
        <v>238</v>
      </c>
      <c r="CF118" s="7">
        <v>17</v>
      </c>
    </row>
    <row r="119" spans="1:84" x14ac:dyDescent="0.25">
      <c r="A119" s="15">
        <v>11</v>
      </c>
      <c r="B119" s="1" t="s">
        <v>423</v>
      </c>
      <c r="C119" s="59" t="s">
        <v>729</v>
      </c>
      <c r="D119" s="1" t="s">
        <v>578</v>
      </c>
      <c r="E119" s="8" t="s">
        <v>791</v>
      </c>
      <c r="F119" s="8" t="s">
        <v>234</v>
      </c>
      <c r="G119" s="8" t="s">
        <v>800</v>
      </c>
      <c r="H119" s="7">
        <v>7850550</v>
      </c>
      <c r="I119" s="7">
        <v>7851251</v>
      </c>
      <c r="J119" s="7">
        <v>336204</v>
      </c>
      <c r="K119" s="12">
        <v>2349</v>
      </c>
      <c r="L119" s="12">
        <v>3455746</v>
      </c>
      <c r="M119" s="12">
        <v>1047535</v>
      </c>
      <c r="N119" s="12">
        <v>0</v>
      </c>
      <c r="O119" s="25">
        <f t="shared" si="19"/>
        <v>4505630</v>
      </c>
      <c r="P119" s="12">
        <v>0</v>
      </c>
      <c r="Q119" s="12">
        <v>557420</v>
      </c>
      <c r="R119" s="12">
        <v>0</v>
      </c>
      <c r="S119" s="12">
        <f t="shared" si="20"/>
        <v>557420</v>
      </c>
      <c r="T119" s="7">
        <v>1514159</v>
      </c>
      <c r="U119" s="7">
        <v>506856</v>
      </c>
      <c r="V119" s="7">
        <v>0</v>
      </c>
      <c r="W119" s="7">
        <v>0</v>
      </c>
      <c r="X119" s="7">
        <v>7576662</v>
      </c>
      <c r="Y119" s="7" t="s">
        <v>531</v>
      </c>
      <c r="Z119" s="26">
        <v>4.5199999999999997E-2</v>
      </c>
      <c r="AA119" s="7">
        <v>0</v>
      </c>
      <c r="AB119" s="26">
        <f>492474/7576662</f>
        <v>6.4998808182283971E-2</v>
      </c>
      <c r="AC119" s="7">
        <v>492463</v>
      </c>
      <c r="AD119" s="7">
        <v>0</v>
      </c>
      <c r="AE119" s="7">
        <f>701+220+240</f>
        <v>1161</v>
      </c>
      <c r="AF119" s="7">
        <v>139589</v>
      </c>
      <c r="AG119" s="7">
        <v>11417</v>
      </c>
      <c r="AH119" s="7">
        <v>22724</v>
      </c>
      <c r="AI119" s="7">
        <f>19200+3476</f>
        <v>22676</v>
      </c>
      <c r="AJ119" s="7">
        <v>0</v>
      </c>
      <c r="AK119" s="7">
        <v>18877</v>
      </c>
      <c r="AL119" s="7">
        <v>8100</v>
      </c>
      <c r="AM119" s="7">
        <v>0</v>
      </c>
      <c r="AN119" s="7">
        <v>12886</v>
      </c>
      <c r="AO119" s="7">
        <f>4764+13728+8690</f>
        <v>27182</v>
      </c>
      <c r="AP119" s="7">
        <v>8097</v>
      </c>
      <c r="AQ119" s="7">
        <v>0</v>
      </c>
      <c r="AR119">
        <v>0</v>
      </c>
      <c r="AS119" s="7">
        <v>758</v>
      </c>
      <c r="AT119" s="7">
        <v>29041</v>
      </c>
      <c r="AU119" s="7">
        <v>6198</v>
      </c>
      <c r="AV119" s="7">
        <v>324333</v>
      </c>
      <c r="AW119" s="7">
        <v>333095</v>
      </c>
      <c r="AX119" s="26">
        <f t="shared" si="18"/>
        <v>1.9109988807799391E-2</v>
      </c>
      <c r="AY119" s="7">
        <v>0</v>
      </c>
      <c r="AZ119" s="7">
        <v>0</v>
      </c>
      <c r="BA119" s="7">
        <v>148368</v>
      </c>
      <c r="BB119" s="7">
        <v>0</v>
      </c>
      <c r="BC119" s="7">
        <v>53661</v>
      </c>
      <c r="BD119" s="7">
        <v>0</v>
      </c>
      <c r="BE119" s="7">
        <v>0</v>
      </c>
      <c r="BF119" s="7">
        <v>0</v>
      </c>
      <c r="BG119" s="7">
        <v>1457</v>
      </c>
      <c r="BH119" s="7">
        <v>845</v>
      </c>
      <c r="BI119" s="7">
        <v>8</v>
      </c>
      <c r="BJ119" s="7">
        <v>-8</v>
      </c>
      <c r="BK119" s="7">
        <v>15</v>
      </c>
      <c r="BL119" s="7">
        <v>-108</v>
      </c>
      <c r="BM119" s="7">
        <v>-423</v>
      </c>
      <c r="BN119" s="7">
        <v>-165</v>
      </c>
      <c r="BO119" s="7">
        <v>-1</v>
      </c>
      <c r="BP119" s="7">
        <f t="shared" si="21"/>
        <v>1620</v>
      </c>
      <c r="BQ119" s="1">
        <v>4</v>
      </c>
      <c r="BR119" s="7">
        <v>70</v>
      </c>
      <c r="BS119" s="7">
        <v>31</v>
      </c>
      <c r="BT119" s="7">
        <v>63</v>
      </c>
      <c r="BU119" s="7">
        <v>1</v>
      </c>
      <c r="BV119" s="7">
        <v>5</v>
      </c>
      <c r="BW119" s="7">
        <v>0</v>
      </c>
      <c r="BX119" s="7">
        <v>3</v>
      </c>
      <c r="BY119" s="7">
        <v>20</v>
      </c>
      <c r="BZ119" s="7">
        <v>53</v>
      </c>
      <c r="CA119" s="7">
        <v>1</v>
      </c>
      <c r="CB119" s="7">
        <v>4</v>
      </c>
      <c r="CC119" s="7">
        <v>17</v>
      </c>
      <c r="CD119" s="7">
        <v>56</v>
      </c>
      <c r="CE119" s="7">
        <v>210</v>
      </c>
      <c r="CF119" s="7">
        <v>5</v>
      </c>
    </row>
    <row r="120" spans="1:84" x14ac:dyDescent="0.25">
      <c r="A120" s="15">
        <v>11</v>
      </c>
      <c r="B120" s="1" t="s">
        <v>474</v>
      </c>
      <c r="C120" s="59" t="s">
        <v>472</v>
      </c>
      <c r="D120" s="8" t="s">
        <v>154</v>
      </c>
      <c r="E120" s="8" t="s">
        <v>372</v>
      </c>
      <c r="F120" s="8" t="s">
        <v>551</v>
      </c>
      <c r="G120" s="8" t="s">
        <v>373</v>
      </c>
      <c r="H120" s="7">
        <v>44881481</v>
      </c>
      <c r="I120" s="7">
        <v>44917860</v>
      </c>
      <c r="J120" s="7">
        <v>2841162</v>
      </c>
      <c r="K120" s="12">
        <v>3409914</v>
      </c>
      <c r="L120" s="12">
        <v>8160903</v>
      </c>
      <c r="M120" s="12">
        <v>12491807</v>
      </c>
      <c r="N120" s="12">
        <v>0</v>
      </c>
      <c r="O120" s="25">
        <f t="shared" si="19"/>
        <v>24062624</v>
      </c>
      <c r="P120" s="12">
        <v>0</v>
      </c>
      <c r="Q120" s="12">
        <v>1031777</v>
      </c>
      <c r="R120" s="12">
        <v>0</v>
      </c>
      <c r="S120" s="12">
        <f t="shared" si="20"/>
        <v>1031777</v>
      </c>
      <c r="T120" s="7">
        <v>8495356</v>
      </c>
      <c r="U120" s="7">
        <v>4457505</v>
      </c>
      <c r="V120" s="7">
        <v>0</v>
      </c>
      <c r="W120" s="7">
        <v>0</v>
      </c>
      <c r="X120" s="7">
        <v>40911530</v>
      </c>
      <c r="Y120" s="7" t="s">
        <v>438</v>
      </c>
      <c r="Z120" s="26">
        <v>0.1</v>
      </c>
      <c r="AA120" s="7">
        <v>0</v>
      </c>
      <c r="AB120" s="26">
        <f>2863808/40911530</f>
        <v>7.0000021998688391E-2</v>
      </c>
      <c r="AC120" s="7">
        <v>2864268</v>
      </c>
      <c r="AD120" s="7">
        <v>0</v>
      </c>
      <c r="AE120" s="7">
        <f>35826+563</f>
        <v>36389</v>
      </c>
      <c r="AF120" s="7">
        <v>1490099</v>
      </c>
      <c r="AG120" s="7">
        <v>123770</v>
      </c>
      <c r="AH120" s="7">
        <v>317235</v>
      </c>
      <c r="AI120" s="7">
        <f>417387+15000</f>
        <v>432387</v>
      </c>
      <c r="AJ120" s="7">
        <v>26372</v>
      </c>
      <c r="AK120" s="7">
        <v>11456</v>
      </c>
      <c r="AL120" s="7">
        <v>15300</v>
      </c>
      <c r="AM120" s="7">
        <v>34503</v>
      </c>
      <c r="AN120" s="7">
        <v>10243</v>
      </c>
      <c r="AO120" s="7">
        <f>34454+33122+25502</f>
        <v>93078</v>
      </c>
      <c r="AP120" s="7">
        <v>17874</v>
      </c>
      <c r="AQ120" s="7">
        <v>782</v>
      </c>
      <c r="AR120" s="7">
        <v>0</v>
      </c>
      <c r="AS120" s="7">
        <v>0</v>
      </c>
      <c r="AT120" s="7">
        <v>24640</v>
      </c>
      <c r="AU120" s="7">
        <v>0</v>
      </c>
      <c r="AV120" s="7">
        <v>2774091</v>
      </c>
      <c r="AW120" s="7">
        <v>2836673</v>
      </c>
      <c r="AX120" s="26">
        <f t="shared" si="18"/>
        <v>0</v>
      </c>
      <c r="AY120" s="7">
        <v>0</v>
      </c>
      <c r="AZ120" s="7">
        <v>0</v>
      </c>
      <c r="BA120" s="7">
        <v>148368</v>
      </c>
      <c r="BB120" s="7">
        <v>0</v>
      </c>
      <c r="BC120" s="7">
        <v>405695</v>
      </c>
      <c r="BD120" s="7">
        <v>0</v>
      </c>
      <c r="BE120" s="7">
        <v>0</v>
      </c>
      <c r="BF120" s="7">
        <v>0</v>
      </c>
      <c r="BG120" s="7">
        <v>7543</v>
      </c>
      <c r="BH120" s="7">
        <v>5307</v>
      </c>
      <c r="BI120" s="7">
        <v>188</v>
      </c>
      <c r="BJ120" s="7">
        <v>0</v>
      </c>
      <c r="BK120" s="7">
        <f>8+4+-24</f>
        <v>-12</v>
      </c>
      <c r="BL120" s="7">
        <v>-583</v>
      </c>
      <c r="BM120" s="7">
        <v>-3798</v>
      </c>
      <c r="BN120" s="7">
        <v>-997</v>
      </c>
      <c r="BO120" s="7">
        <v>-3</v>
      </c>
      <c r="BP120" s="7">
        <f t="shared" si="21"/>
        <v>7645</v>
      </c>
      <c r="BQ120" s="1">
        <v>50</v>
      </c>
      <c r="BR120" s="7">
        <v>513</v>
      </c>
      <c r="BS120" s="7">
        <v>96</v>
      </c>
      <c r="BT120" s="7">
        <v>283</v>
      </c>
      <c r="BU120" s="7">
        <v>33</v>
      </c>
      <c r="BV120" s="7">
        <v>82</v>
      </c>
      <c r="BW120" s="7">
        <v>2</v>
      </c>
      <c r="BX120" s="7">
        <v>3</v>
      </c>
      <c r="BY120" s="7">
        <v>20</v>
      </c>
      <c r="BZ120" s="7">
        <v>83</v>
      </c>
      <c r="CA120" s="7">
        <v>4</v>
      </c>
      <c r="CB120" s="7">
        <v>13</v>
      </c>
      <c r="CC120" s="7">
        <v>18</v>
      </c>
      <c r="CD120" s="7">
        <v>75</v>
      </c>
      <c r="CE120" s="7">
        <v>608</v>
      </c>
      <c r="CF120" s="7">
        <v>63</v>
      </c>
    </row>
    <row r="121" spans="1:84" x14ac:dyDescent="0.25">
      <c r="A121" s="15">
        <v>11</v>
      </c>
      <c r="B121" s="8" t="s">
        <v>491</v>
      </c>
      <c r="C121" s="57" t="s">
        <v>459</v>
      </c>
      <c r="D121" s="8" t="s">
        <v>650</v>
      </c>
      <c r="E121" s="8" t="s">
        <v>372</v>
      </c>
      <c r="F121" s="8" t="s">
        <v>551</v>
      </c>
      <c r="G121" s="8" t="s">
        <v>373</v>
      </c>
      <c r="H121" s="7">
        <v>9578121</v>
      </c>
      <c r="I121" s="7">
        <v>9588995</v>
      </c>
      <c r="J121" s="7">
        <v>366049</v>
      </c>
      <c r="K121" s="12">
        <v>71912</v>
      </c>
      <c r="L121" s="12">
        <v>1182407</v>
      </c>
      <c r="M121" s="12">
        <v>3232457</v>
      </c>
      <c r="N121" s="12">
        <v>0</v>
      </c>
      <c r="O121" s="25">
        <f t="shared" si="19"/>
        <v>4486776</v>
      </c>
      <c r="P121" s="12">
        <v>0</v>
      </c>
      <c r="Q121" s="12">
        <v>315828</v>
      </c>
      <c r="R121" s="12">
        <v>0</v>
      </c>
      <c r="S121" s="12">
        <f t="shared" si="20"/>
        <v>315828</v>
      </c>
      <c r="T121" s="7">
        <v>2608000</v>
      </c>
      <c r="U121" s="7">
        <v>819257</v>
      </c>
      <c r="V121" s="7">
        <v>0</v>
      </c>
      <c r="W121" s="7">
        <v>0</v>
      </c>
      <c r="X121" s="7">
        <v>9071006</v>
      </c>
      <c r="Y121" s="7" t="s">
        <v>531</v>
      </c>
      <c r="Z121" s="26">
        <v>7.4300000000000005E-2</v>
      </c>
      <c r="AA121" s="7">
        <v>71912</v>
      </c>
      <c r="AB121" s="26">
        <f>749876/8977702</f>
        <v>8.3526497092463084E-2</v>
      </c>
      <c r="AC121" s="7">
        <v>751466</v>
      </c>
      <c r="AD121" s="7">
        <v>0</v>
      </c>
      <c r="AE121" s="7">
        <f>10874+235</f>
        <v>11109</v>
      </c>
      <c r="AF121" s="7">
        <v>315079</v>
      </c>
      <c r="AG121" s="7">
        <v>26930</v>
      </c>
      <c r="AH121" s="7">
        <v>48584</v>
      </c>
      <c r="AI121" s="7">
        <v>38933</v>
      </c>
      <c r="AJ121" s="7">
        <v>0</v>
      </c>
      <c r="AK121" s="7">
        <v>26878</v>
      </c>
      <c r="AL121" s="7">
        <v>8300</v>
      </c>
      <c r="AM121" s="7">
        <v>0</v>
      </c>
      <c r="AN121" s="7">
        <v>18323</v>
      </c>
      <c r="AO121" s="7">
        <f>5472+13834+16948</f>
        <v>36254</v>
      </c>
      <c r="AP121" s="7">
        <v>7506</v>
      </c>
      <c r="AQ121" s="7">
        <v>0</v>
      </c>
      <c r="AR121" s="7">
        <v>0</v>
      </c>
      <c r="AS121" s="7">
        <v>1417</v>
      </c>
      <c r="AT121" s="7">
        <v>15863</v>
      </c>
      <c r="AU121" s="7">
        <v>0</v>
      </c>
      <c r="AV121" s="7">
        <v>574071</v>
      </c>
      <c r="AW121" s="7">
        <v>578000</v>
      </c>
      <c r="AX121" s="26">
        <f t="shared" si="18"/>
        <v>0</v>
      </c>
      <c r="AY121" s="7">
        <v>1468</v>
      </c>
      <c r="AZ121" s="7">
        <v>0</v>
      </c>
      <c r="BA121" s="7">
        <v>148368</v>
      </c>
      <c r="BB121" s="7">
        <v>0</v>
      </c>
      <c r="BC121" s="7">
        <v>81930</v>
      </c>
      <c r="BD121" s="7">
        <v>0</v>
      </c>
      <c r="BE121" s="7">
        <v>0</v>
      </c>
      <c r="BF121" s="7">
        <v>0</v>
      </c>
      <c r="BG121" s="7">
        <v>2291</v>
      </c>
      <c r="BH121" s="7">
        <v>1121</v>
      </c>
      <c r="BI121" s="7">
        <v>11</v>
      </c>
      <c r="BJ121" s="7" t="s">
        <v>522</v>
      </c>
      <c r="BK121" s="7">
        <v>-1</v>
      </c>
      <c r="BL121" s="7">
        <v>-165</v>
      </c>
      <c r="BM121" s="7">
        <v>-610</v>
      </c>
      <c r="BN121" s="7">
        <v>-416</v>
      </c>
      <c r="BO121" s="7">
        <v>-3</v>
      </c>
      <c r="BP121" s="7">
        <f t="shared" si="21"/>
        <v>2228</v>
      </c>
      <c r="BQ121" s="1">
        <v>0</v>
      </c>
      <c r="BR121" s="7">
        <v>136</v>
      </c>
      <c r="BS121" s="7">
        <v>40</v>
      </c>
      <c r="BT121" s="7">
        <v>183</v>
      </c>
      <c r="BU121" s="7">
        <v>42</v>
      </c>
      <c r="BV121" s="7">
        <v>16</v>
      </c>
      <c r="BW121" s="7">
        <v>1</v>
      </c>
      <c r="BX121" s="7">
        <v>3</v>
      </c>
      <c r="BY121" s="7">
        <v>25</v>
      </c>
      <c r="BZ121" s="7">
        <v>101</v>
      </c>
      <c r="CA121" s="7">
        <v>35</v>
      </c>
      <c r="CB121" s="7">
        <v>5</v>
      </c>
      <c r="CC121" s="7">
        <v>10</v>
      </c>
      <c r="CD121" s="7">
        <v>89</v>
      </c>
      <c r="CE121" s="7">
        <v>277</v>
      </c>
      <c r="CF121" s="7">
        <v>11</v>
      </c>
    </row>
    <row r="122" spans="1:84" x14ac:dyDescent="0.25">
      <c r="A122" s="15">
        <v>11</v>
      </c>
      <c r="B122" s="8" t="s">
        <v>704</v>
      </c>
      <c r="C122" s="57" t="s">
        <v>301</v>
      </c>
      <c r="D122" s="8" t="s">
        <v>446</v>
      </c>
      <c r="E122" s="8" t="s">
        <v>372</v>
      </c>
      <c r="F122" s="8" t="s">
        <v>551</v>
      </c>
      <c r="G122" s="8" t="s">
        <v>373</v>
      </c>
      <c r="H122" s="7">
        <v>25273557</v>
      </c>
      <c r="I122" s="7">
        <v>25290023</v>
      </c>
      <c r="J122" s="7">
        <v>1316738</v>
      </c>
      <c r="K122" s="12">
        <v>1632111</v>
      </c>
      <c r="L122" s="12">
        <v>4427804</v>
      </c>
      <c r="M122" s="12">
        <v>3711893</v>
      </c>
      <c r="N122" s="12">
        <v>4152926</v>
      </c>
      <c r="O122" s="25">
        <f t="shared" si="19"/>
        <v>13924734</v>
      </c>
      <c r="P122" s="12">
        <v>0</v>
      </c>
      <c r="Q122" s="12">
        <v>260579</v>
      </c>
      <c r="R122" s="12">
        <v>512204</v>
      </c>
      <c r="S122" s="12">
        <f t="shared" si="20"/>
        <v>772783</v>
      </c>
      <c r="T122" s="7">
        <v>5695934</v>
      </c>
      <c r="U122" s="7">
        <v>1732394</v>
      </c>
      <c r="V122" s="7">
        <v>0</v>
      </c>
      <c r="W122" s="7">
        <v>0</v>
      </c>
      <c r="X122" s="7">
        <v>23528236</v>
      </c>
      <c r="Y122" s="7" t="s">
        <v>531</v>
      </c>
      <c r="Z122" s="26">
        <v>0.1</v>
      </c>
      <c r="AA122" s="7">
        <v>0</v>
      </c>
      <c r="AB122" s="26">
        <f>1373507/23503822</f>
        <v>5.8437602190826665E-2</v>
      </c>
      <c r="AC122" s="7">
        <v>1373007</v>
      </c>
      <c r="AD122" s="7">
        <v>0</v>
      </c>
      <c r="AE122" s="7">
        <f>16466+1835</f>
        <v>18301</v>
      </c>
      <c r="AF122" s="7">
        <v>636884</v>
      </c>
      <c r="AG122" s="7">
        <v>47832</v>
      </c>
      <c r="AH122" s="7">
        <v>154730</v>
      </c>
      <c r="AI122" s="7">
        <f>123480+3366</f>
        <v>126846</v>
      </c>
      <c r="AJ122" s="7">
        <v>2214</v>
      </c>
      <c r="AK122" s="7">
        <v>38386</v>
      </c>
      <c r="AL122" s="7">
        <v>8300</v>
      </c>
      <c r="AM122" s="7">
        <v>3939</v>
      </c>
      <c r="AN122" s="7">
        <v>6217</v>
      </c>
      <c r="AO122" s="7">
        <f>4531+25717+26500</f>
        <v>56748</v>
      </c>
      <c r="AP122" s="7">
        <v>17793</v>
      </c>
      <c r="AQ122" s="7">
        <v>0</v>
      </c>
      <c r="AR122" s="7">
        <v>0</v>
      </c>
      <c r="AS122" s="7">
        <v>0</v>
      </c>
      <c r="AT122" s="7">
        <v>24186</v>
      </c>
      <c r="AU122" s="7">
        <v>0</v>
      </c>
      <c r="AV122" s="7">
        <v>1179569</v>
      </c>
      <c r="AW122" s="7">
        <v>1201111</v>
      </c>
      <c r="AX122" s="26">
        <f t="shared" si="18"/>
        <v>0</v>
      </c>
      <c r="AY122" s="7">
        <v>0</v>
      </c>
      <c r="AZ122" s="7">
        <v>0</v>
      </c>
      <c r="BA122" s="7">
        <v>148368</v>
      </c>
      <c r="BB122" s="7">
        <v>0</v>
      </c>
      <c r="BC122" s="7">
        <v>159542</v>
      </c>
      <c r="BD122" s="7">
        <v>0</v>
      </c>
      <c r="BE122" s="7">
        <v>0</v>
      </c>
      <c r="BF122" s="7">
        <v>0</v>
      </c>
      <c r="BG122" s="7">
        <v>3427</v>
      </c>
      <c r="BH122" s="7">
        <v>2645</v>
      </c>
      <c r="BI122" s="7">
        <v>0</v>
      </c>
      <c r="BJ122" s="7">
        <v>0</v>
      </c>
      <c r="BK122" s="7">
        <f>20+18-3</f>
        <v>35</v>
      </c>
      <c r="BL122" s="7">
        <v>-267</v>
      </c>
      <c r="BM122" s="7">
        <v>-1545</v>
      </c>
      <c r="BN122" s="7">
        <v>-563</v>
      </c>
      <c r="BO122" s="7">
        <v>-5</v>
      </c>
      <c r="BP122" s="7">
        <f t="shared" si="21"/>
        <v>3727</v>
      </c>
      <c r="BQ122" s="1">
        <v>2</v>
      </c>
      <c r="BR122" s="7">
        <v>263</v>
      </c>
      <c r="BS122" s="7">
        <v>71</v>
      </c>
      <c r="BT122" s="7">
        <v>175</v>
      </c>
      <c r="BU122" s="7">
        <v>2</v>
      </c>
      <c r="BV122" s="7">
        <v>57</v>
      </c>
      <c r="BW122" s="7">
        <v>4</v>
      </c>
      <c r="BX122" s="7">
        <v>4</v>
      </c>
      <c r="BY122" s="7">
        <v>37</v>
      </c>
      <c r="BZ122" s="7">
        <v>120</v>
      </c>
      <c r="CA122" s="7">
        <v>3</v>
      </c>
      <c r="CB122" s="7">
        <v>23</v>
      </c>
      <c r="CC122" s="7">
        <v>24</v>
      </c>
      <c r="CD122" s="7">
        <v>117</v>
      </c>
      <c r="CE122" s="7">
        <v>533</v>
      </c>
      <c r="CF122" s="7">
        <v>62</v>
      </c>
    </row>
    <row r="123" spans="1:84" x14ac:dyDescent="0.25">
      <c r="A123" s="15">
        <v>11</v>
      </c>
      <c r="B123" s="8" t="s">
        <v>766</v>
      </c>
      <c r="C123" s="57" t="s">
        <v>729</v>
      </c>
      <c r="D123" s="8" t="s">
        <v>154</v>
      </c>
      <c r="E123" s="8" t="s">
        <v>372</v>
      </c>
      <c r="F123" s="8" t="s">
        <v>551</v>
      </c>
      <c r="G123" s="8" t="s">
        <v>373</v>
      </c>
      <c r="H123" s="7">
        <v>55479269</v>
      </c>
      <c r="I123" s="7">
        <v>55525898</v>
      </c>
      <c r="J123" s="7">
        <v>4220096</v>
      </c>
      <c r="K123" s="12">
        <v>4331111</v>
      </c>
      <c r="L123" s="12">
        <v>2019211</v>
      </c>
      <c r="M123" s="12">
        <v>513658</v>
      </c>
      <c r="N123" s="12">
        <v>23653648</v>
      </c>
      <c r="O123" s="25">
        <f t="shared" si="19"/>
        <v>30517628</v>
      </c>
      <c r="P123" s="12">
        <v>0</v>
      </c>
      <c r="Q123" s="12">
        <v>0</v>
      </c>
      <c r="R123" s="12">
        <v>1415200</v>
      </c>
      <c r="S123" s="12">
        <f t="shared" si="20"/>
        <v>1415200</v>
      </c>
      <c r="T123" s="7">
        <v>11002496</v>
      </c>
      <c r="U123" s="7">
        <v>5295058</v>
      </c>
      <c r="V123" s="7">
        <v>0</v>
      </c>
      <c r="W123" s="7">
        <v>0</v>
      </c>
      <c r="X123" s="7">
        <v>51532078</v>
      </c>
      <c r="Y123" s="7" t="s">
        <v>75</v>
      </c>
      <c r="Z123" s="26">
        <v>5.0299999999999997E-2</v>
      </c>
      <c r="AA123" s="7">
        <v>0</v>
      </c>
      <c r="AB123" s="26">
        <f>3298053/51532078</f>
        <v>6.4000000155243111E-2</v>
      </c>
      <c r="AC123" s="7">
        <v>3301376</v>
      </c>
      <c r="AD123" s="7">
        <v>0</v>
      </c>
      <c r="AE123" s="7">
        <v>46629</v>
      </c>
      <c r="AF123" s="7">
        <v>1762150</v>
      </c>
      <c r="AG123" s="7">
        <v>177886</v>
      </c>
      <c r="AH123" s="7">
        <v>329209</v>
      </c>
      <c r="AI123" s="7">
        <f>393524+5796</f>
        <v>399320</v>
      </c>
      <c r="AJ123" s="7">
        <v>31325</v>
      </c>
      <c r="AK123" s="7">
        <v>42734</v>
      </c>
      <c r="AL123" s="7">
        <v>35000</v>
      </c>
      <c r="AM123" s="7">
        <v>6132</v>
      </c>
      <c r="AN123" s="7">
        <v>0</v>
      </c>
      <c r="AO123" s="7">
        <f>39482+15199+106889</f>
        <v>161570</v>
      </c>
      <c r="AP123" s="7">
        <v>33090</v>
      </c>
      <c r="AQ123" s="7">
        <v>371</v>
      </c>
      <c r="AR123" s="7">
        <v>0</v>
      </c>
      <c r="AS123" s="7">
        <v>671</v>
      </c>
      <c r="AT123" s="7">
        <v>25182</v>
      </c>
      <c r="AU123" s="7">
        <v>0</v>
      </c>
      <c r="AV123" s="7">
        <v>3265511</v>
      </c>
      <c r="AW123" s="7">
        <v>3306508</v>
      </c>
      <c r="AX123" s="26">
        <f t="shared" si="18"/>
        <v>0</v>
      </c>
      <c r="AY123" s="7">
        <v>132506</v>
      </c>
      <c r="AZ123" s="7">
        <v>0</v>
      </c>
      <c r="BA123" s="7">
        <v>148368</v>
      </c>
      <c r="BB123" s="7">
        <v>0</v>
      </c>
      <c r="BC123" s="7">
        <v>452532</v>
      </c>
      <c r="BD123" s="7">
        <v>0</v>
      </c>
      <c r="BE123" s="7">
        <v>0</v>
      </c>
      <c r="BF123" s="7">
        <v>0</v>
      </c>
      <c r="BG123" s="7">
        <v>10646</v>
      </c>
      <c r="BH123" s="7">
        <v>7154</v>
      </c>
      <c r="BI123" s="7">
        <v>0</v>
      </c>
      <c r="BJ123" s="7">
        <v>0</v>
      </c>
      <c r="BK123" s="7">
        <f>2+14</f>
        <v>16</v>
      </c>
      <c r="BL123" s="7">
        <v>-841</v>
      </c>
      <c r="BM123" s="7">
        <v>-5318</v>
      </c>
      <c r="BN123" s="7">
        <v>-1275</v>
      </c>
      <c r="BO123" s="7">
        <v>-12</v>
      </c>
      <c r="BP123" s="7">
        <f t="shared" si="21"/>
        <v>10370</v>
      </c>
      <c r="BQ123" s="1">
        <v>36</v>
      </c>
      <c r="BR123" s="7">
        <v>651</v>
      </c>
      <c r="BS123" s="7">
        <v>107</v>
      </c>
      <c r="BT123" s="7">
        <v>407</v>
      </c>
      <c r="BU123" s="7">
        <v>0</v>
      </c>
      <c r="BV123" s="7">
        <v>127</v>
      </c>
      <c r="BW123" s="7">
        <v>15</v>
      </c>
      <c r="BX123" s="7">
        <v>13</v>
      </c>
      <c r="BY123" s="7">
        <v>119</v>
      </c>
      <c r="BZ123" s="7">
        <v>463</v>
      </c>
      <c r="CA123" s="7">
        <v>8</v>
      </c>
      <c r="CB123" s="7">
        <v>49</v>
      </c>
      <c r="CC123" s="7">
        <v>75</v>
      </c>
      <c r="CD123" s="7">
        <v>391</v>
      </c>
      <c r="CE123" s="7">
        <v>2096</v>
      </c>
      <c r="CF123" s="7">
        <v>226</v>
      </c>
    </row>
    <row r="124" spans="1:84" x14ac:dyDescent="0.25">
      <c r="A124" s="15">
        <v>12</v>
      </c>
      <c r="B124" s="8" t="s">
        <v>231</v>
      </c>
      <c r="C124" s="57" t="s">
        <v>780</v>
      </c>
      <c r="D124" s="8" t="s">
        <v>259</v>
      </c>
      <c r="E124" s="8" t="s">
        <v>533</v>
      </c>
      <c r="F124" s="8"/>
      <c r="G124" s="8" t="s">
        <v>549</v>
      </c>
      <c r="H124" s="7">
        <v>1117110</v>
      </c>
      <c r="I124" s="7">
        <v>1117296</v>
      </c>
      <c r="J124" s="7">
        <v>3494</v>
      </c>
      <c r="K124" s="12">
        <v>0</v>
      </c>
      <c r="L124" s="12">
        <v>950</v>
      </c>
      <c r="M124" s="12">
        <v>201464</v>
      </c>
      <c r="N124" s="12">
        <v>0</v>
      </c>
      <c r="O124" s="25">
        <f t="shared" si="19"/>
        <v>202414</v>
      </c>
      <c r="P124" s="12">
        <v>0</v>
      </c>
      <c r="Q124" s="12">
        <v>125596</v>
      </c>
      <c r="R124" s="12">
        <v>0</v>
      </c>
      <c r="S124" s="12">
        <f t="shared" si="20"/>
        <v>125596</v>
      </c>
      <c r="T124" s="7">
        <v>645912</v>
      </c>
      <c r="U124" s="7">
        <v>45856</v>
      </c>
      <c r="V124" s="7">
        <v>0</v>
      </c>
      <c r="W124" s="7">
        <v>0</v>
      </c>
      <c r="X124" s="7">
        <v>1117208</v>
      </c>
      <c r="Y124" s="7" t="s">
        <v>785</v>
      </c>
      <c r="Z124" s="26">
        <v>0.05</v>
      </c>
      <c r="AA124" s="7">
        <v>0</v>
      </c>
      <c r="AB124" s="26">
        <f>97402/1019812</f>
        <v>9.5509760622546111E-2</v>
      </c>
      <c r="AC124" s="7">
        <v>97210</v>
      </c>
      <c r="AD124" s="7">
        <v>0</v>
      </c>
      <c r="AE124" s="7">
        <v>7</v>
      </c>
      <c r="AF124" s="7">
        <v>0</v>
      </c>
      <c r="AG124" s="7">
        <v>0</v>
      </c>
      <c r="AH124" s="7">
        <v>0</v>
      </c>
      <c r="AI124" s="7">
        <v>1008</v>
      </c>
      <c r="AJ124" s="7">
        <v>0</v>
      </c>
      <c r="AK124" s="7">
        <v>2676</v>
      </c>
      <c r="AL124" s="7">
        <v>3480</v>
      </c>
      <c r="AM124" s="7">
        <v>30331</v>
      </c>
      <c r="AN124" s="7">
        <v>0</v>
      </c>
      <c r="AO124" s="7">
        <f>625+2513</f>
        <v>3138</v>
      </c>
      <c r="AP124" s="7">
        <v>1542</v>
      </c>
      <c r="AQ124" s="7">
        <v>0</v>
      </c>
      <c r="AR124" s="7">
        <v>0</v>
      </c>
      <c r="AS124" s="7">
        <v>600</v>
      </c>
      <c r="AT124" s="7">
        <v>0</v>
      </c>
      <c r="AU124" s="7">
        <v>34906</v>
      </c>
      <c r="AV124" s="7">
        <v>44664</v>
      </c>
      <c r="AW124" s="7">
        <v>49301</v>
      </c>
      <c r="AX124" s="26">
        <f t="shared" si="18"/>
        <v>0.78152427010567793</v>
      </c>
      <c r="AY124" s="7">
        <v>0</v>
      </c>
      <c r="AZ124" s="7">
        <v>0</v>
      </c>
      <c r="BA124" s="7">
        <v>55503</v>
      </c>
      <c r="BB124" s="7">
        <v>0</v>
      </c>
      <c r="BC124" s="7">
        <v>1360</v>
      </c>
      <c r="BD124" s="7">
        <v>0</v>
      </c>
      <c r="BE124" s="7">
        <v>0</v>
      </c>
      <c r="BF124" s="7">
        <v>0</v>
      </c>
      <c r="BG124" s="7">
        <v>206</v>
      </c>
      <c r="BH124" s="7">
        <v>86</v>
      </c>
      <c r="BI124" s="7">
        <v>0</v>
      </c>
      <c r="BJ124" s="7"/>
      <c r="BK124" s="7">
        <v>0</v>
      </c>
      <c r="BL124" s="7">
        <v>-11</v>
      </c>
      <c r="BM124" s="7">
        <v>-20</v>
      </c>
      <c r="BN124" s="7">
        <v>-64</v>
      </c>
      <c r="BO124" s="7">
        <v>0</v>
      </c>
      <c r="BP124" s="7">
        <f t="shared" si="21"/>
        <v>197</v>
      </c>
      <c r="BQ124" s="1">
        <v>0</v>
      </c>
      <c r="BR124" s="7">
        <v>12</v>
      </c>
      <c r="BS124" s="7">
        <v>8</v>
      </c>
      <c r="BT124" s="7">
        <v>43</v>
      </c>
      <c r="BU124" s="7">
        <v>0</v>
      </c>
      <c r="BV124" s="7">
        <v>1</v>
      </c>
      <c r="BW124" s="7">
        <v>0</v>
      </c>
      <c r="BX124" s="7">
        <v>0</v>
      </c>
      <c r="BY124" s="7">
        <v>2</v>
      </c>
      <c r="BZ124" s="7">
        <v>2</v>
      </c>
      <c r="CA124" s="7">
        <v>7</v>
      </c>
      <c r="CB124" s="7">
        <v>0</v>
      </c>
      <c r="CC124" s="7">
        <v>0</v>
      </c>
      <c r="CD124" s="7">
        <v>4</v>
      </c>
      <c r="CE124" s="7">
        <v>11</v>
      </c>
      <c r="CF124" s="7">
        <v>2</v>
      </c>
    </row>
    <row r="125" spans="1:84" x14ac:dyDescent="0.25">
      <c r="A125" s="15">
        <v>12</v>
      </c>
      <c r="B125" s="8" t="s">
        <v>233</v>
      </c>
      <c r="C125" s="57" t="s">
        <v>134</v>
      </c>
      <c r="D125" s="8" t="s">
        <v>779</v>
      </c>
      <c r="E125" s="8" t="s">
        <v>356</v>
      </c>
      <c r="F125" s="8" t="s">
        <v>551</v>
      </c>
      <c r="G125" s="8" t="s">
        <v>381</v>
      </c>
      <c r="H125" s="7">
        <v>1447407</v>
      </c>
      <c r="I125" s="7">
        <v>1448938</v>
      </c>
      <c r="J125" s="7">
        <v>41079</v>
      </c>
      <c r="K125" s="12">
        <v>37</v>
      </c>
      <c r="L125" s="12">
        <v>35033</v>
      </c>
      <c r="M125" s="12">
        <v>113316</v>
      </c>
      <c r="N125" s="12">
        <v>0</v>
      </c>
      <c r="O125" s="25">
        <f t="shared" si="19"/>
        <v>148386</v>
      </c>
      <c r="P125" s="12">
        <v>0</v>
      </c>
      <c r="Q125" s="12">
        <v>127359</v>
      </c>
      <c r="R125" s="12">
        <v>0</v>
      </c>
      <c r="S125" s="12">
        <f t="shared" si="20"/>
        <v>127359</v>
      </c>
      <c r="T125" s="7">
        <v>889144</v>
      </c>
      <c r="U125" s="7">
        <v>102149</v>
      </c>
      <c r="V125" s="7">
        <v>0</v>
      </c>
      <c r="W125" s="7">
        <v>0</v>
      </c>
      <c r="X125" s="7">
        <v>1402268</v>
      </c>
      <c r="Y125" s="7" t="s">
        <v>531</v>
      </c>
      <c r="Z125" s="26">
        <v>7.8100000000000003E-2</v>
      </c>
      <c r="AA125" s="7">
        <v>0</v>
      </c>
      <c r="AB125" s="26">
        <f>127341/1400757</f>
        <v>9.0908701509255355E-2</v>
      </c>
      <c r="AC125" s="7">
        <v>128826</v>
      </c>
      <c r="AD125" s="7">
        <v>15112</v>
      </c>
      <c r="AE125" s="7">
        <v>5</v>
      </c>
      <c r="AF125" s="7">
        <v>42480</v>
      </c>
      <c r="AG125" s="7">
        <v>3409</v>
      </c>
      <c r="AH125" s="7">
        <v>5920</v>
      </c>
      <c r="AI125" s="7">
        <f>11289+528</f>
        <v>11817</v>
      </c>
      <c r="AJ125" s="7">
        <v>0</v>
      </c>
      <c r="AK125" s="7">
        <v>3874</v>
      </c>
      <c r="AL125" s="7">
        <v>3540</v>
      </c>
      <c r="AM125" s="7">
        <v>3160</v>
      </c>
      <c r="AN125" s="7">
        <v>0</v>
      </c>
      <c r="AO125" s="7">
        <f>3785+6508+4709</f>
        <v>15002</v>
      </c>
      <c r="AP125" s="7">
        <v>4610</v>
      </c>
      <c r="AQ125" s="7">
        <v>0</v>
      </c>
      <c r="AR125" s="7">
        <v>0</v>
      </c>
      <c r="AS125" s="7">
        <v>0</v>
      </c>
      <c r="AT125" s="7">
        <v>3261</v>
      </c>
      <c r="AU125" s="7">
        <v>97341</v>
      </c>
      <c r="AV125" s="7">
        <v>107971</v>
      </c>
      <c r="AW125" s="7">
        <v>108307</v>
      </c>
      <c r="AX125" s="26">
        <f t="shared" si="18"/>
        <v>0.90154763779162927</v>
      </c>
      <c r="AY125" s="7">
        <v>0</v>
      </c>
      <c r="AZ125" s="7">
        <v>0</v>
      </c>
      <c r="BA125" s="7">
        <v>20839</v>
      </c>
      <c r="BB125" s="7">
        <v>79</v>
      </c>
      <c r="BC125" s="7">
        <v>-79</v>
      </c>
      <c r="BD125" s="7">
        <v>0</v>
      </c>
      <c r="BE125" s="7">
        <v>0</v>
      </c>
      <c r="BF125" s="7">
        <v>0</v>
      </c>
      <c r="BG125" s="7">
        <v>280</v>
      </c>
      <c r="BH125" s="7">
        <v>170</v>
      </c>
      <c r="BI125" s="7">
        <v>1</v>
      </c>
      <c r="BJ125" s="7"/>
      <c r="BK125" s="7">
        <v>0</v>
      </c>
      <c r="BL125" s="7">
        <v>-43</v>
      </c>
      <c r="BM125" s="7">
        <v>-61</v>
      </c>
      <c r="BN125" s="7">
        <v>-74</v>
      </c>
      <c r="BO125" s="7">
        <v>0</v>
      </c>
      <c r="BP125" s="7">
        <f t="shared" si="21"/>
        <v>273</v>
      </c>
      <c r="BQ125" s="1">
        <v>1</v>
      </c>
      <c r="BR125" s="7">
        <v>15</v>
      </c>
      <c r="BS125" s="7">
        <v>9</v>
      </c>
      <c r="BT125" s="7">
        <v>44</v>
      </c>
      <c r="BU125" s="7">
        <v>4</v>
      </c>
      <c r="BV125" s="7">
        <v>2</v>
      </c>
      <c r="BW125" s="7">
        <v>0</v>
      </c>
      <c r="BX125" s="7">
        <v>0</v>
      </c>
      <c r="BY125" s="7">
        <v>7</v>
      </c>
      <c r="BZ125" s="7">
        <v>12</v>
      </c>
      <c r="CA125" s="7">
        <v>2</v>
      </c>
      <c r="CB125" s="7">
        <v>0</v>
      </c>
      <c r="CC125" s="7">
        <v>0</v>
      </c>
      <c r="CD125" s="7">
        <v>10</v>
      </c>
      <c r="CE125" s="7">
        <v>10</v>
      </c>
      <c r="CF125" s="7">
        <v>23</v>
      </c>
    </row>
    <row r="126" spans="1:84" x14ac:dyDescent="0.25">
      <c r="A126" s="15">
        <v>12</v>
      </c>
      <c r="B126" s="8" t="s">
        <v>261</v>
      </c>
      <c r="C126" s="57" t="s">
        <v>493</v>
      </c>
      <c r="D126" s="8" t="s">
        <v>81</v>
      </c>
      <c r="E126" s="8" t="s">
        <v>507</v>
      </c>
      <c r="F126" s="8"/>
      <c r="G126" s="8" t="s">
        <v>502</v>
      </c>
      <c r="H126" s="7">
        <v>495337</v>
      </c>
      <c r="I126" s="7">
        <v>496600</v>
      </c>
      <c r="J126" s="7">
        <v>6485</v>
      </c>
      <c r="K126" s="12">
        <v>0</v>
      </c>
      <c r="L126" s="12">
        <v>38315</v>
      </c>
      <c r="M126" s="12">
        <v>61316</v>
      </c>
      <c r="N126" s="12">
        <v>0</v>
      </c>
      <c r="O126" s="25">
        <f t="shared" si="19"/>
        <v>99631</v>
      </c>
      <c r="P126" s="12">
        <v>0</v>
      </c>
      <c r="Q126" s="2">
        <v>76980</v>
      </c>
      <c r="R126" s="12">
        <v>0</v>
      </c>
      <c r="S126" s="12">
        <f t="shared" si="20"/>
        <v>76980</v>
      </c>
      <c r="T126" s="7">
        <v>222419</v>
      </c>
      <c r="U126" s="7">
        <v>25512</v>
      </c>
      <c r="V126" s="7">
        <v>0</v>
      </c>
      <c r="W126" s="7">
        <v>0</v>
      </c>
      <c r="X126" s="7">
        <v>468160</v>
      </c>
      <c r="Y126" s="7" t="s">
        <v>785</v>
      </c>
      <c r="Z126" s="26">
        <v>8.5328000000000001E-2</v>
      </c>
      <c r="AA126" s="7">
        <v>0</v>
      </c>
      <c r="AB126" s="26">
        <f>42454/424542</f>
        <v>9.9999528904089585E-2</v>
      </c>
      <c r="AC126" s="7">
        <v>42454</v>
      </c>
      <c r="AD126" s="7">
        <v>11640</v>
      </c>
      <c r="AE126" s="7">
        <f>92+8+14</f>
        <v>114</v>
      </c>
      <c r="AF126" s="7">
        <v>7922</v>
      </c>
      <c r="AG126" s="7">
        <v>0</v>
      </c>
      <c r="AH126" s="7">
        <v>0</v>
      </c>
      <c r="AI126" s="7">
        <v>1260</v>
      </c>
      <c r="AJ126" s="7">
        <v>0</v>
      </c>
      <c r="AK126" s="7">
        <v>1491</v>
      </c>
      <c r="AL126" s="7">
        <v>0</v>
      </c>
      <c r="AM126" s="7">
        <v>4329</v>
      </c>
      <c r="AN126" s="7">
        <v>0</v>
      </c>
      <c r="AO126" s="7">
        <f>286+1113+1800</f>
        <v>3199</v>
      </c>
      <c r="AP126" s="7">
        <v>50</v>
      </c>
      <c r="AQ126" s="7">
        <v>0</v>
      </c>
      <c r="AR126" s="7">
        <v>0</v>
      </c>
      <c r="AS126" s="7">
        <v>450</v>
      </c>
      <c r="AT126" s="7">
        <v>0</v>
      </c>
      <c r="AU126" s="7">
        <v>13469</v>
      </c>
      <c r="AV126" s="7">
        <v>19885</v>
      </c>
      <c r="AW126" s="7">
        <v>29188</v>
      </c>
      <c r="AX126" s="26">
        <f t="shared" si="18"/>
        <v>0.67734473221020874</v>
      </c>
      <c r="AY126" s="7">
        <v>0</v>
      </c>
      <c r="AZ126" s="7">
        <v>0</v>
      </c>
      <c r="BA126" s="7">
        <v>25025</v>
      </c>
      <c r="BB126" s="7">
        <v>0</v>
      </c>
      <c r="BC126" s="7">
        <v>2050</v>
      </c>
      <c r="BD126" s="7">
        <v>0</v>
      </c>
      <c r="BE126" s="7">
        <v>0</v>
      </c>
      <c r="BF126" s="7">
        <v>0</v>
      </c>
      <c r="BG126" s="7">
        <v>99</v>
      </c>
      <c r="BH126" s="7">
        <v>65</v>
      </c>
      <c r="BI126" s="7">
        <v>1</v>
      </c>
      <c r="BJ126" s="7">
        <v>0</v>
      </c>
      <c r="BK126" s="7">
        <v>0</v>
      </c>
      <c r="BL126" s="7">
        <v>-9</v>
      </c>
      <c r="BM126" s="7">
        <v>-17</v>
      </c>
      <c r="BN126" s="7">
        <v>-26</v>
      </c>
      <c r="BO126" s="7">
        <v>0</v>
      </c>
      <c r="BP126" s="7">
        <f t="shared" si="21"/>
        <v>113</v>
      </c>
      <c r="BQ126" s="1">
        <v>2</v>
      </c>
      <c r="BR126" s="7">
        <v>3</v>
      </c>
      <c r="BS126" s="7">
        <v>3</v>
      </c>
      <c r="BT126" s="7">
        <v>20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4</v>
      </c>
      <c r="CA126" s="7">
        <v>1</v>
      </c>
      <c r="CB126" s="7">
        <v>0</v>
      </c>
      <c r="CC126" s="7">
        <v>0</v>
      </c>
      <c r="CD126" s="7">
        <v>3</v>
      </c>
      <c r="CE126" s="7">
        <v>4</v>
      </c>
      <c r="CF126" s="7">
        <v>2</v>
      </c>
    </row>
    <row r="127" spans="1:84" x14ac:dyDescent="0.25">
      <c r="A127" s="15">
        <v>12</v>
      </c>
      <c r="B127" s="8" t="s">
        <v>415</v>
      </c>
      <c r="C127" s="57" t="s">
        <v>393</v>
      </c>
      <c r="D127" s="8" t="s">
        <v>501</v>
      </c>
      <c r="E127" s="8" t="s">
        <v>507</v>
      </c>
      <c r="F127" s="8"/>
      <c r="G127" s="8" t="s">
        <v>502</v>
      </c>
      <c r="H127" s="7">
        <v>33564064</v>
      </c>
      <c r="I127" s="7">
        <v>33639039</v>
      </c>
      <c r="J127" s="7">
        <v>504131</v>
      </c>
      <c r="K127" s="12">
        <v>0</v>
      </c>
      <c r="L127" s="12">
        <v>3134988</v>
      </c>
      <c r="M127" s="12">
        <v>7635374</v>
      </c>
      <c r="N127" s="12">
        <v>0</v>
      </c>
      <c r="O127" s="25">
        <f t="shared" si="19"/>
        <v>10770362</v>
      </c>
      <c r="P127" s="12">
        <v>91155</v>
      </c>
      <c r="Q127" s="12">
        <v>4664354</v>
      </c>
      <c r="R127" s="12">
        <v>0</v>
      </c>
      <c r="S127" s="12">
        <f t="shared" si="20"/>
        <v>4755509</v>
      </c>
      <c r="T127" s="7">
        <v>14534272</v>
      </c>
      <c r="U127" s="7">
        <v>2376192</v>
      </c>
      <c r="V127" s="7">
        <v>0</v>
      </c>
      <c r="W127" s="7">
        <v>0</v>
      </c>
      <c r="X127" s="7">
        <v>33895335</v>
      </c>
      <c r="Y127" s="7" t="s">
        <v>755</v>
      </c>
      <c r="Z127" s="26">
        <v>0.1132</v>
      </c>
      <c r="AA127" s="7">
        <v>0</v>
      </c>
      <c r="AB127" s="26">
        <f>1459635/32436335</f>
        <v>4.499999768777823E-2</v>
      </c>
      <c r="AC127" s="7">
        <v>1459000</v>
      </c>
      <c r="AD127" s="7">
        <v>0</v>
      </c>
      <c r="AE127" s="7">
        <f>70533+27746+2458</f>
        <v>100737</v>
      </c>
      <c r="AF127" s="7">
        <v>757060</v>
      </c>
      <c r="AG127" s="7">
        <v>61130</v>
      </c>
      <c r="AH127" s="7">
        <v>190322</v>
      </c>
      <c r="AI127" s="7">
        <v>152243</v>
      </c>
      <c r="AJ127" s="7">
        <v>27025</v>
      </c>
      <c r="AK127" s="7">
        <v>30431</v>
      </c>
      <c r="AL127" s="7">
        <v>18700</v>
      </c>
      <c r="AM127" s="7">
        <v>0</v>
      </c>
      <c r="AN127" s="7">
        <v>0</v>
      </c>
      <c r="AO127" s="7">
        <f>28464+33025+35118</f>
        <v>96607</v>
      </c>
      <c r="AP127" s="7">
        <v>7722</v>
      </c>
      <c r="AQ127" s="7">
        <v>0</v>
      </c>
      <c r="AR127" s="7">
        <v>0</v>
      </c>
      <c r="AS127" s="7">
        <v>32166</v>
      </c>
      <c r="AT127" s="7">
        <v>18803</v>
      </c>
      <c r="AU127" s="7">
        <v>0</v>
      </c>
      <c r="AV127" s="7">
        <v>1463099</v>
      </c>
      <c r="AW127" s="7">
        <v>1592653</v>
      </c>
      <c r="AX127" s="26">
        <f t="shared" si="18"/>
        <v>0</v>
      </c>
      <c r="AY127" s="7">
        <v>6527</v>
      </c>
      <c r="AZ127" s="7">
        <v>0</v>
      </c>
      <c r="BA127" s="7">
        <v>148368</v>
      </c>
      <c r="BB127" s="7">
        <v>0</v>
      </c>
      <c r="BC127" s="7">
        <v>162183</v>
      </c>
      <c r="BD127" s="7">
        <v>0</v>
      </c>
      <c r="BE127" s="7">
        <v>0</v>
      </c>
      <c r="BF127" s="7">
        <v>0</v>
      </c>
      <c r="BG127" s="7">
        <v>7674</v>
      </c>
      <c r="BH127" s="7">
        <v>3201</v>
      </c>
      <c r="BI127" s="7">
        <v>0</v>
      </c>
      <c r="BJ127" s="7"/>
      <c r="BK127" s="7">
        <f>784+36</f>
        <v>820</v>
      </c>
      <c r="BL127" s="7">
        <v>-404</v>
      </c>
      <c r="BM127" s="7">
        <v>-1855</v>
      </c>
      <c r="BN127" s="7">
        <v>-1866</v>
      </c>
      <c r="BO127" s="7">
        <v>0</v>
      </c>
      <c r="BP127" s="7">
        <f t="shared" si="21"/>
        <v>7570</v>
      </c>
      <c r="BQ127" s="1">
        <v>7</v>
      </c>
      <c r="BR127" s="7">
        <v>474</v>
      </c>
      <c r="BS127" s="7">
        <v>291</v>
      </c>
      <c r="BT127" s="7">
        <v>1049</v>
      </c>
      <c r="BU127" s="7">
        <v>14</v>
      </c>
      <c r="BV127" s="7">
        <v>38</v>
      </c>
      <c r="BW127" s="7">
        <v>2</v>
      </c>
      <c r="BX127" s="7">
        <v>9</v>
      </c>
      <c r="BY127" s="7">
        <v>131</v>
      </c>
      <c r="BZ127" s="7">
        <v>123</v>
      </c>
      <c r="CA127" s="7">
        <v>68</v>
      </c>
      <c r="CB127" s="7">
        <v>21</v>
      </c>
      <c r="CC127" s="7">
        <v>54</v>
      </c>
      <c r="CD127" s="7">
        <v>301</v>
      </c>
      <c r="CE127" s="7">
        <v>627</v>
      </c>
      <c r="CF127" s="7">
        <v>496</v>
      </c>
    </row>
    <row r="128" spans="1:84" x14ac:dyDescent="0.25">
      <c r="A128" s="15">
        <v>12</v>
      </c>
      <c r="B128" s="8" t="s">
        <v>776</v>
      </c>
      <c r="C128" s="57" t="s">
        <v>34</v>
      </c>
      <c r="D128" s="8" t="s">
        <v>215</v>
      </c>
      <c r="E128" s="8" t="s">
        <v>356</v>
      </c>
      <c r="F128" s="8" t="s">
        <v>693</v>
      </c>
      <c r="G128" s="8" t="s">
        <v>381</v>
      </c>
      <c r="H128" s="3">
        <v>5733675</v>
      </c>
      <c r="I128" s="7">
        <v>5741534</v>
      </c>
      <c r="J128" s="7">
        <v>156983</v>
      </c>
      <c r="K128" s="12">
        <v>0</v>
      </c>
      <c r="L128" s="12">
        <v>361415</v>
      </c>
      <c r="M128" s="12">
        <v>1509080</v>
      </c>
      <c r="N128" s="12">
        <v>0</v>
      </c>
      <c r="O128" s="25">
        <f t="shared" si="19"/>
        <v>1870495</v>
      </c>
      <c r="P128" s="12">
        <v>0</v>
      </c>
      <c r="Q128" s="12">
        <v>377784</v>
      </c>
      <c r="R128" s="12">
        <v>0</v>
      </c>
      <c r="S128" s="12">
        <f t="shared" si="20"/>
        <v>377784</v>
      </c>
      <c r="T128" s="7">
        <v>2499227</v>
      </c>
      <c r="U128" s="7">
        <v>309640</v>
      </c>
      <c r="V128" s="7">
        <v>0</v>
      </c>
      <c r="W128" s="7">
        <v>0</v>
      </c>
      <c r="X128" s="7">
        <v>5541694</v>
      </c>
      <c r="Y128" s="7" t="s">
        <v>785</v>
      </c>
      <c r="Z128" s="26">
        <v>7.9000000000000001E-2</v>
      </c>
      <c r="AA128" s="7">
        <v>0</v>
      </c>
      <c r="AB128" s="26">
        <f>455143/5057146</f>
        <v>8.9999972316401389E-2</v>
      </c>
      <c r="AC128" s="7">
        <v>455768</v>
      </c>
      <c r="AD128" s="7">
        <v>0</v>
      </c>
      <c r="AE128" s="7">
        <f>3126+23</f>
        <v>3149</v>
      </c>
      <c r="AF128" s="7">
        <v>173737</v>
      </c>
      <c r="AG128" s="7">
        <v>13538</v>
      </c>
      <c r="AH128" s="7">
        <v>35053</v>
      </c>
      <c r="AI128" s="7">
        <f>23829+845</f>
        <v>24674</v>
      </c>
      <c r="AJ128" s="7"/>
      <c r="AK128" s="7">
        <v>10643</v>
      </c>
      <c r="AL128" s="7">
        <v>5480</v>
      </c>
      <c r="AM128" s="7">
        <v>0</v>
      </c>
      <c r="AN128" s="7">
        <v>0</v>
      </c>
      <c r="AO128" s="7">
        <f>4157+8299+4988</f>
        <v>17444</v>
      </c>
      <c r="AP128" s="7">
        <v>7790</v>
      </c>
      <c r="AQ128" s="7">
        <v>0</v>
      </c>
      <c r="AR128" s="7">
        <v>0</v>
      </c>
      <c r="AS128" s="7">
        <v>4983</v>
      </c>
      <c r="AT128" s="7">
        <v>10122</v>
      </c>
      <c r="AU128" s="7">
        <v>0</v>
      </c>
      <c r="AV128" s="7">
        <v>318081</v>
      </c>
      <c r="AW128" s="7">
        <v>322783</v>
      </c>
      <c r="AX128" s="26">
        <f t="shared" si="18"/>
        <v>0</v>
      </c>
      <c r="AY128" s="7">
        <v>315</v>
      </c>
      <c r="AZ128" s="7">
        <v>0</v>
      </c>
      <c r="BA128" s="7">
        <v>148368</v>
      </c>
      <c r="BB128" s="7">
        <v>0</v>
      </c>
      <c r="BC128" s="7">
        <v>43572</v>
      </c>
      <c r="BD128" s="7">
        <v>0</v>
      </c>
      <c r="BE128" s="7">
        <v>0</v>
      </c>
      <c r="BF128" s="7">
        <v>0</v>
      </c>
      <c r="BG128" s="7">
        <v>1028</v>
      </c>
      <c r="BH128" s="7">
        <v>440</v>
      </c>
      <c r="BI128" s="7">
        <v>0</v>
      </c>
      <c r="BJ128" s="7"/>
      <c r="BK128" s="7">
        <v>14</v>
      </c>
      <c r="BL128" s="7">
        <v>-133.5</v>
      </c>
      <c r="BM128" s="7">
        <v>-247.5</v>
      </c>
      <c r="BN128" s="7">
        <v>-242</v>
      </c>
      <c r="BO128" s="7">
        <v>0</v>
      </c>
      <c r="BP128" s="7">
        <f t="shared" si="21"/>
        <v>859</v>
      </c>
      <c r="BQ128" s="1">
        <v>1</v>
      </c>
      <c r="BR128" s="7">
        <v>115</v>
      </c>
      <c r="BS128" s="7">
        <v>37</v>
      </c>
      <c r="BT128" s="7">
        <v>87</v>
      </c>
      <c r="BU128" s="7">
        <v>3</v>
      </c>
      <c r="BV128" s="7">
        <v>0</v>
      </c>
      <c r="BW128" s="7">
        <v>4</v>
      </c>
      <c r="BX128" s="7">
        <v>5</v>
      </c>
      <c r="BY128" s="7">
        <v>27.5</v>
      </c>
      <c r="BZ128" s="7">
        <v>76</v>
      </c>
      <c r="CA128" s="7">
        <v>1</v>
      </c>
      <c r="CB128" s="7">
        <v>3</v>
      </c>
      <c r="CC128" s="7">
        <v>13</v>
      </c>
      <c r="CD128" s="7">
        <v>19.5</v>
      </c>
      <c r="CE128" s="7">
        <v>118</v>
      </c>
      <c r="CF128" s="7">
        <v>2</v>
      </c>
    </row>
    <row r="129" spans="1:84" x14ac:dyDescent="0.25">
      <c r="A129" s="15">
        <v>12</v>
      </c>
      <c r="B129" s="8" t="s">
        <v>782</v>
      </c>
      <c r="C129" s="57" t="s">
        <v>193</v>
      </c>
      <c r="D129" s="8" t="s">
        <v>23</v>
      </c>
      <c r="E129" s="8" t="s">
        <v>675</v>
      </c>
      <c r="F129" s="8"/>
      <c r="G129" s="8" t="s">
        <v>692</v>
      </c>
      <c r="H129" s="7">
        <v>1900484</v>
      </c>
      <c r="I129" s="7">
        <v>1902566</v>
      </c>
      <c r="J129" s="7">
        <v>38106</v>
      </c>
      <c r="K129" s="12">
        <v>0</v>
      </c>
      <c r="L129" s="12">
        <v>84692</v>
      </c>
      <c r="M129" s="12">
        <v>268</v>
      </c>
      <c r="N129" s="12">
        <v>468292</v>
      </c>
      <c r="O129" s="25">
        <f t="shared" si="19"/>
        <v>553252</v>
      </c>
      <c r="P129" s="12">
        <v>0</v>
      </c>
      <c r="Q129" s="12">
        <v>177244</v>
      </c>
      <c r="R129" s="12">
        <v>0</v>
      </c>
      <c r="S129" s="12">
        <f t="shared" si="20"/>
        <v>177244</v>
      </c>
      <c r="T129" s="7">
        <v>836188</v>
      </c>
      <c r="U129" s="7">
        <v>80317</v>
      </c>
      <c r="V129" s="7">
        <v>0</v>
      </c>
      <c r="W129" s="7">
        <v>0</v>
      </c>
      <c r="X129" s="7">
        <v>1815983</v>
      </c>
      <c r="Y129" s="7" t="s">
        <v>531</v>
      </c>
      <c r="Z129" s="26">
        <v>0.1225</v>
      </c>
      <c r="AA129" s="7">
        <v>268</v>
      </c>
      <c r="AB129" s="26">
        <f>164673/1646733</f>
        <v>9.9999817821103967E-2</v>
      </c>
      <c r="AC129" s="7">
        <v>164673</v>
      </c>
      <c r="AD129" s="7">
        <v>0</v>
      </c>
      <c r="AE129" s="7">
        <f>23+35</f>
        <v>58</v>
      </c>
      <c r="AF129" s="7">
        <v>38171</v>
      </c>
      <c r="AG129" s="7">
        <v>0</v>
      </c>
      <c r="AH129" s="7">
        <v>0</v>
      </c>
      <c r="AI129" s="7">
        <f>12480+1968</f>
        <v>14448</v>
      </c>
      <c r="AJ129" s="7">
        <v>0</v>
      </c>
      <c r="AK129" s="7">
        <v>2503</v>
      </c>
      <c r="AL129" s="7">
        <v>3800</v>
      </c>
      <c r="AM129" s="7">
        <v>0</v>
      </c>
      <c r="AN129" s="7">
        <v>0</v>
      </c>
      <c r="AO129" s="7">
        <f>3225+3991+4513</f>
        <v>11729</v>
      </c>
      <c r="AP129" s="7">
        <v>2291</v>
      </c>
      <c r="AQ129" s="7">
        <v>148</v>
      </c>
      <c r="AR129" s="7">
        <v>0</v>
      </c>
      <c r="AS129" s="7">
        <v>4981</v>
      </c>
      <c r="AT129" s="7">
        <v>950</v>
      </c>
      <c r="AU129" s="7">
        <v>38171</v>
      </c>
      <c r="AV129" s="7">
        <v>83250</v>
      </c>
      <c r="AW129" s="7">
        <v>89757</v>
      </c>
      <c r="AX129" s="26">
        <f t="shared" si="18"/>
        <v>0.45851051051051051</v>
      </c>
      <c r="AY129" s="7">
        <v>0</v>
      </c>
      <c r="AZ129" s="7">
        <v>0</v>
      </c>
      <c r="BA129" s="7">
        <v>87282</v>
      </c>
      <c r="BB129" s="7">
        <v>0</v>
      </c>
      <c r="BC129" s="7">
        <v>512</v>
      </c>
      <c r="BD129" s="7">
        <v>0</v>
      </c>
      <c r="BE129" s="7">
        <v>0</v>
      </c>
      <c r="BF129" s="7">
        <v>0</v>
      </c>
      <c r="BG129" s="7">
        <v>264</v>
      </c>
      <c r="BH129" s="7">
        <v>118</v>
      </c>
      <c r="BI129" s="7">
        <v>0</v>
      </c>
      <c r="BJ129" s="7"/>
      <c r="BK129" s="7">
        <v>0</v>
      </c>
      <c r="BL129" s="7">
        <v>-22</v>
      </c>
      <c r="BM129" s="7">
        <v>-33</v>
      </c>
      <c r="BN129" s="7">
        <v>-46</v>
      </c>
      <c r="BO129" s="7">
        <v>-4</v>
      </c>
      <c r="BP129" s="7">
        <f t="shared" si="21"/>
        <v>277</v>
      </c>
      <c r="BQ129" s="1">
        <v>3</v>
      </c>
      <c r="BR129" s="7">
        <v>14</v>
      </c>
      <c r="BS129" s="7">
        <v>5</v>
      </c>
      <c r="BT129" s="7">
        <v>22</v>
      </c>
      <c r="BU129" s="7">
        <v>3</v>
      </c>
      <c r="BV129" s="7">
        <v>2</v>
      </c>
      <c r="BW129" s="7">
        <v>1</v>
      </c>
      <c r="BX129" s="7">
        <v>1</v>
      </c>
      <c r="BY129" s="7">
        <v>12</v>
      </c>
      <c r="BZ129" s="7">
        <v>4</v>
      </c>
      <c r="CA129" s="7">
        <v>4</v>
      </c>
      <c r="CB129" s="7">
        <v>1</v>
      </c>
      <c r="CC129" s="7">
        <v>1</v>
      </c>
      <c r="CD129" s="7">
        <v>6</v>
      </c>
      <c r="CE129" s="7">
        <v>4</v>
      </c>
      <c r="CF129" s="7">
        <v>1</v>
      </c>
    </row>
    <row r="130" spans="1:84" x14ac:dyDescent="0.25">
      <c r="A130" s="15">
        <v>13</v>
      </c>
      <c r="B130" s="8" t="s">
        <v>66</v>
      </c>
      <c r="C130" s="57" t="s">
        <v>406</v>
      </c>
      <c r="D130" s="8" t="s">
        <v>550</v>
      </c>
      <c r="E130" s="8" t="s">
        <v>54</v>
      </c>
      <c r="F130" s="8" t="s">
        <v>235</v>
      </c>
      <c r="G130" s="8" t="s">
        <v>56</v>
      </c>
      <c r="H130" s="7">
        <v>32916556</v>
      </c>
      <c r="I130" s="7">
        <v>32942865</v>
      </c>
      <c r="J130" s="7">
        <v>1121768</v>
      </c>
      <c r="K130" s="12">
        <v>10131963</v>
      </c>
      <c r="L130" s="12">
        <v>969359</v>
      </c>
      <c r="M130" s="12">
        <v>10881415</v>
      </c>
      <c r="N130" s="12">
        <v>0</v>
      </c>
      <c r="O130" s="25">
        <f t="shared" si="19"/>
        <v>21982737</v>
      </c>
      <c r="P130" s="12">
        <v>11772</v>
      </c>
      <c r="Q130" s="12">
        <v>1901049</v>
      </c>
      <c r="R130" s="12">
        <v>0</v>
      </c>
      <c r="S130" s="12">
        <f t="shared" si="20"/>
        <v>1912821</v>
      </c>
      <c r="T130" s="7">
        <v>3093012</v>
      </c>
      <c r="U130" s="7">
        <v>2240296</v>
      </c>
      <c r="V130" s="7">
        <v>0</v>
      </c>
      <c r="W130" s="7">
        <v>96778</v>
      </c>
      <c r="X130" s="7">
        <v>31031845</v>
      </c>
      <c r="Y130" s="7" t="s">
        <v>490</v>
      </c>
      <c r="Z130" s="26">
        <v>6.4000000000000001E-2</v>
      </c>
      <c r="AA130" s="7">
        <v>0</v>
      </c>
      <c r="AB130" s="26">
        <f>1706157/31021040</f>
        <v>5.4999993552762902E-2</v>
      </c>
      <c r="AC130" s="7">
        <v>1706201</v>
      </c>
      <c r="AD130" s="7">
        <v>0</v>
      </c>
      <c r="AE130" s="7">
        <f>26309+2225</f>
        <v>28534</v>
      </c>
      <c r="AF130" s="7">
        <v>877389</v>
      </c>
      <c r="AG130" s="7">
        <v>67970</v>
      </c>
      <c r="AH130" s="7">
        <v>161499</v>
      </c>
      <c r="AI130" s="7">
        <v>133940</v>
      </c>
      <c r="AJ130" s="7">
        <v>2720</v>
      </c>
      <c r="AK130" s="7">
        <v>38040</v>
      </c>
      <c r="AL130" s="7">
        <v>11500</v>
      </c>
      <c r="AM130" s="7">
        <v>22092</v>
      </c>
      <c r="AN130" s="7">
        <v>16987</v>
      </c>
      <c r="AO130" s="7">
        <f>16189+38159+37150</f>
        <v>91498</v>
      </c>
      <c r="AP130" s="7">
        <v>12315</v>
      </c>
      <c r="AQ130" s="7">
        <v>881</v>
      </c>
      <c r="AR130" s="7">
        <v>0</v>
      </c>
      <c r="AS130" s="7">
        <v>6189</v>
      </c>
      <c r="AT130" s="7">
        <v>28580</v>
      </c>
      <c r="AU130" s="7">
        <v>0</v>
      </c>
      <c r="AV130" s="7">
        <v>1681162</v>
      </c>
      <c r="AW130" s="7">
        <v>1718890</v>
      </c>
      <c r="AX130" s="26">
        <f t="shared" si="18"/>
        <v>0</v>
      </c>
      <c r="AY130" s="7">
        <v>0</v>
      </c>
      <c r="AZ130" s="7">
        <v>0</v>
      </c>
      <c r="BA130" s="7">
        <v>148368</v>
      </c>
      <c r="BB130" s="7">
        <v>0</v>
      </c>
      <c r="BC130" s="7">
        <v>224703</v>
      </c>
      <c r="BD130" s="7">
        <v>0</v>
      </c>
      <c r="BE130" s="7">
        <v>0</v>
      </c>
      <c r="BF130" s="7">
        <v>0</v>
      </c>
      <c r="BG130" s="7">
        <v>6522</v>
      </c>
      <c r="BH130" s="7">
        <v>3128</v>
      </c>
      <c r="BI130" s="7">
        <v>5</v>
      </c>
      <c r="BJ130" s="7"/>
      <c r="BK130" s="7">
        <f>29-1</f>
        <v>28</v>
      </c>
      <c r="BL130" s="7">
        <v>-295</v>
      </c>
      <c r="BM130" s="7">
        <v>-1354</v>
      </c>
      <c r="BN130" s="7">
        <v>-993</v>
      </c>
      <c r="BO130" s="7">
        <v>-1</v>
      </c>
      <c r="BP130" s="7">
        <f t="shared" si="21"/>
        <v>7040</v>
      </c>
      <c r="BQ130" s="1">
        <v>53</v>
      </c>
      <c r="BR130" s="7">
        <v>137</v>
      </c>
      <c r="BS130" s="7">
        <v>84</v>
      </c>
      <c r="BT130" s="7">
        <v>745</v>
      </c>
      <c r="BU130" s="7">
        <v>24</v>
      </c>
      <c r="BV130" s="7">
        <v>3</v>
      </c>
      <c r="BW130" s="7">
        <v>0</v>
      </c>
      <c r="BX130" s="7">
        <v>3</v>
      </c>
      <c r="BY130" s="7">
        <v>40</v>
      </c>
      <c r="BZ130" s="7">
        <v>157</v>
      </c>
      <c r="CA130" s="7">
        <v>0</v>
      </c>
      <c r="CB130" s="7">
        <v>7</v>
      </c>
      <c r="CC130" s="7">
        <v>6</v>
      </c>
      <c r="CD130" s="7">
        <v>883</v>
      </c>
      <c r="CE130" s="7">
        <v>9</v>
      </c>
      <c r="CF130" s="7">
        <v>5</v>
      </c>
    </row>
    <row r="131" spans="1:84" x14ac:dyDescent="0.25">
      <c r="A131" s="15">
        <v>13</v>
      </c>
      <c r="B131" s="8" t="s">
        <v>184</v>
      </c>
      <c r="C131" s="57" t="s">
        <v>197</v>
      </c>
      <c r="D131" s="8" t="s">
        <v>550</v>
      </c>
      <c r="E131" s="8" t="s">
        <v>54</v>
      </c>
      <c r="F131" s="8" t="s">
        <v>235</v>
      </c>
      <c r="G131" s="8" t="s">
        <v>56</v>
      </c>
      <c r="H131" s="7">
        <v>35443736</v>
      </c>
      <c r="I131" s="7">
        <v>35472124</v>
      </c>
      <c r="J131" s="7">
        <v>1303932</v>
      </c>
      <c r="K131" s="12">
        <v>11718015</v>
      </c>
      <c r="L131" s="12">
        <v>1143879</v>
      </c>
      <c r="M131" s="12">
        <v>11683243</v>
      </c>
      <c r="N131" s="12">
        <v>0</v>
      </c>
      <c r="O131" s="25">
        <f t="shared" si="19"/>
        <v>24545137</v>
      </c>
      <c r="P131" s="12">
        <v>9618</v>
      </c>
      <c r="Q131" s="12">
        <v>1893927</v>
      </c>
      <c r="R131" s="12">
        <v>0</v>
      </c>
      <c r="S131" s="12">
        <f t="shared" si="20"/>
        <v>1903545</v>
      </c>
      <c r="T131" s="7">
        <v>2772902</v>
      </c>
      <c r="U131" s="7">
        <v>2634311</v>
      </c>
      <c r="V131" s="7">
        <v>0</v>
      </c>
      <c r="W131" s="7">
        <v>108372</v>
      </c>
      <c r="X131" s="7">
        <v>33564337</v>
      </c>
      <c r="Y131" s="7" t="s">
        <v>750</v>
      </c>
      <c r="Z131" s="26">
        <v>5.5300000000000002E-2</v>
      </c>
      <c r="AA131" s="7">
        <v>10763</v>
      </c>
      <c r="AB131" s="26">
        <f>1600160/33553574</f>
        <v>4.7689703636339904E-2</v>
      </c>
      <c r="AC131" s="7">
        <v>1600069</v>
      </c>
      <c r="AD131" s="7">
        <v>0</v>
      </c>
      <c r="AE131" s="7">
        <f>28388+2850</f>
        <v>31238</v>
      </c>
      <c r="AF131" s="7">
        <v>933228</v>
      </c>
      <c r="AG131" s="7">
        <v>72897</v>
      </c>
      <c r="AH131" s="7">
        <v>181634</v>
      </c>
      <c r="AI131" s="7">
        <v>138768</v>
      </c>
      <c r="AJ131" s="7">
        <v>2527</v>
      </c>
      <c r="AK131" s="7">
        <v>45776</v>
      </c>
      <c r="AL131" s="7">
        <v>12270</v>
      </c>
      <c r="AM131" s="7">
        <v>0</v>
      </c>
      <c r="AN131" s="7">
        <v>50184</v>
      </c>
      <c r="AO131" s="7">
        <f>19683+25039+19828</f>
        <v>64550</v>
      </c>
      <c r="AP131" s="7">
        <v>13104</v>
      </c>
      <c r="AQ131" s="7">
        <v>1370</v>
      </c>
      <c r="AR131" s="7">
        <v>0</v>
      </c>
      <c r="AS131" s="7">
        <v>2536</v>
      </c>
      <c r="AT131" s="7">
        <v>58904</v>
      </c>
      <c r="AU131" s="7">
        <v>0</v>
      </c>
      <c r="AV131" s="7">
        <v>1637424</v>
      </c>
      <c r="AW131" s="7">
        <v>1647900</v>
      </c>
      <c r="AX131" s="26">
        <f t="shared" si="18"/>
        <v>0</v>
      </c>
      <c r="AY131" s="7">
        <v>291</v>
      </c>
      <c r="AZ131" s="7">
        <v>1000</v>
      </c>
      <c r="BA131" s="7">
        <v>148368</v>
      </c>
      <c r="BB131" s="7">
        <v>0</v>
      </c>
      <c r="BC131" s="7">
        <v>211726</v>
      </c>
      <c r="BD131" s="7">
        <v>0</v>
      </c>
      <c r="BE131" s="7">
        <v>0</v>
      </c>
      <c r="BF131" s="7">
        <v>0</v>
      </c>
      <c r="BG131" s="7">
        <v>6691</v>
      </c>
      <c r="BH131" s="7">
        <v>3436</v>
      </c>
      <c r="BI131" s="7">
        <v>10</v>
      </c>
      <c r="BJ131" s="7"/>
      <c r="BK131" s="7">
        <v>28</v>
      </c>
      <c r="BL131" s="7">
        <v>-314</v>
      </c>
      <c r="BM131" s="7">
        <v>-1569</v>
      </c>
      <c r="BN131" s="7">
        <v>-937</v>
      </c>
      <c r="BO131" s="7">
        <v>-7</v>
      </c>
      <c r="BP131" s="7">
        <f t="shared" si="21"/>
        <v>7338</v>
      </c>
      <c r="BQ131" s="1">
        <v>28</v>
      </c>
      <c r="BR131" s="7">
        <v>129</v>
      </c>
      <c r="BS131" s="7">
        <v>69</v>
      </c>
      <c r="BT131" s="7">
        <v>705</v>
      </c>
      <c r="BU131" s="7">
        <v>31</v>
      </c>
      <c r="BV131" s="7">
        <v>3</v>
      </c>
      <c r="BW131" s="7">
        <v>1</v>
      </c>
      <c r="BX131" s="7">
        <v>3</v>
      </c>
      <c r="BY131" s="7">
        <v>37</v>
      </c>
      <c r="BZ131" s="7">
        <v>187</v>
      </c>
      <c r="CA131" s="7">
        <v>0</v>
      </c>
      <c r="CB131" s="7">
        <v>4</v>
      </c>
      <c r="CC131" s="7">
        <v>12</v>
      </c>
      <c r="CD131" s="7">
        <v>1013</v>
      </c>
      <c r="CE131" s="7">
        <v>10</v>
      </c>
      <c r="CF131" s="7">
        <v>9</v>
      </c>
    </row>
    <row r="132" spans="1:84" x14ac:dyDescent="0.25">
      <c r="A132" s="15">
        <v>13</v>
      </c>
      <c r="B132" s="8" t="s">
        <v>265</v>
      </c>
      <c r="C132" s="57" t="s">
        <v>640</v>
      </c>
      <c r="D132" s="8" t="s">
        <v>410</v>
      </c>
      <c r="E132" s="8" t="s">
        <v>508</v>
      </c>
      <c r="F132" s="8" t="s">
        <v>787</v>
      </c>
      <c r="G132" s="8" t="s">
        <v>506</v>
      </c>
      <c r="H132" s="7">
        <v>31142059</v>
      </c>
      <c r="I132" s="7">
        <v>31174156</v>
      </c>
      <c r="J132" s="7">
        <v>1451225</v>
      </c>
      <c r="K132" s="12">
        <v>5917744</v>
      </c>
      <c r="L132" s="12">
        <v>2497735</v>
      </c>
      <c r="M132" s="12">
        <v>9702813</v>
      </c>
      <c r="N132" s="12">
        <v>0</v>
      </c>
      <c r="O132" s="25">
        <f t="shared" si="19"/>
        <v>18118292</v>
      </c>
      <c r="P132" s="12">
        <v>7775</v>
      </c>
      <c r="Q132" s="12">
        <v>2000198</v>
      </c>
      <c r="R132" s="12">
        <v>0</v>
      </c>
      <c r="S132" s="12">
        <f t="shared" si="20"/>
        <v>2007973</v>
      </c>
      <c r="T132" s="7">
        <v>6144190</v>
      </c>
      <c r="U132" s="7">
        <v>1645438</v>
      </c>
      <c r="V132" s="7">
        <v>28522</v>
      </c>
      <c r="W132" s="7">
        <v>0</v>
      </c>
      <c r="X132" s="7">
        <v>29624693</v>
      </c>
      <c r="Y132" s="7" t="s">
        <v>531</v>
      </c>
      <c r="Z132" s="26">
        <v>0.14000000000000001</v>
      </c>
      <c r="AA132" s="7">
        <v>3372018</v>
      </c>
      <c r="AB132" s="26">
        <f>1652322/26182713</f>
        <v>6.3107364007694691E-2</v>
      </c>
      <c r="AC132" s="7">
        <v>1649922</v>
      </c>
      <c r="AD132" s="7">
        <v>0</v>
      </c>
      <c r="AE132" s="7">
        <f>24963+1627</f>
        <v>26590</v>
      </c>
      <c r="AF132" s="7">
        <v>818246</v>
      </c>
      <c r="AG132" s="7">
        <v>66050</v>
      </c>
      <c r="AH132" s="7">
        <v>143688</v>
      </c>
      <c r="AI132" s="7">
        <v>125970</v>
      </c>
      <c r="AJ132" s="7">
        <v>6570</v>
      </c>
      <c r="AK132" s="7">
        <v>42170</v>
      </c>
      <c r="AL132" s="7">
        <v>6535</v>
      </c>
      <c r="AM132" s="7">
        <v>3218</v>
      </c>
      <c r="AN132" s="7">
        <v>18497</v>
      </c>
      <c r="AO132" s="7">
        <f>24152+36405+52775</f>
        <v>113332</v>
      </c>
      <c r="AP132" s="7">
        <v>16017</v>
      </c>
      <c r="AQ132" s="7">
        <v>1551</v>
      </c>
      <c r="AR132" s="7">
        <v>4792</v>
      </c>
      <c r="AS132" s="7">
        <v>1556</v>
      </c>
      <c r="AT132" s="7">
        <v>68697</v>
      </c>
      <c r="AU132" s="7">
        <v>184278</v>
      </c>
      <c r="AV132" s="7">
        <v>1502280</v>
      </c>
      <c r="AW132" s="7">
        <v>1625692</v>
      </c>
      <c r="AX132" s="26">
        <f t="shared" ref="AX132:AX163" si="22">AU132/AV132</f>
        <v>0.12266554836648294</v>
      </c>
      <c r="AY132" s="7">
        <v>1354</v>
      </c>
      <c r="AZ132" s="7">
        <v>0</v>
      </c>
      <c r="BA132" s="7">
        <v>148368</v>
      </c>
      <c r="BB132" s="7">
        <v>0</v>
      </c>
      <c r="BC132" s="7">
        <v>203642</v>
      </c>
      <c r="BD132" s="7">
        <v>0</v>
      </c>
      <c r="BE132" s="7">
        <v>0</v>
      </c>
      <c r="BF132" s="7">
        <v>0</v>
      </c>
      <c r="BG132" s="7">
        <v>4643</v>
      </c>
      <c r="BH132" s="7">
        <v>3158</v>
      </c>
      <c r="BI132" s="7">
        <v>0</v>
      </c>
      <c r="BJ132" s="7"/>
      <c r="BK132" s="7">
        <f>7+49-3</f>
        <v>53</v>
      </c>
      <c r="BL132" s="7">
        <v>-249</v>
      </c>
      <c r="BM132" s="7">
        <v>-1067</v>
      </c>
      <c r="BN132" s="7">
        <v>-684</v>
      </c>
      <c r="BO132" s="7">
        <v>-13</v>
      </c>
      <c r="BP132" s="7">
        <f t="shared" si="21"/>
        <v>5841</v>
      </c>
      <c r="BQ132" s="1">
        <v>4</v>
      </c>
      <c r="BR132" s="7">
        <v>201</v>
      </c>
      <c r="BS132" s="7">
        <v>88</v>
      </c>
      <c r="BT132" s="7">
        <v>302</v>
      </c>
      <c r="BU132" s="7">
        <v>95</v>
      </c>
      <c r="BV132" s="7">
        <v>11</v>
      </c>
      <c r="BW132" s="7">
        <v>18</v>
      </c>
      <c r="BX132" s="7">
        <v>1</v>
      </c>
      <c r="BY132" s="7">
        <v>13</v>
      </c>
      <c r="BZ132" s="7">
        <v>96</v>
      </c>
      <c r="CA132" s="7">
        <v>121</v>
      </c>
      <c r="CB132" s="7">
        <v>181</v>
      </c>
      <c r="CC132" s="7">
        <v>11</v>
      </c>
      <c r="CD132" s="7">
        <v>27</v>
      </c>
      <c r="CE132" s="7">
        <v>836</v>
      </c>
      <c r="CF132" s="7">
        <v>12</v>
      </c>
    </row>
    <row r="133" spans="1:84" x14ac:dyDescent="0.25">
      <c r="A133" s="15">
        <v>13</v>
      </c>
      <c r="B133" s="8" t="s">
        <v>303</v>
      </c>
      <c r="C133" s="57" t="s">
        <v>397</v>
      </c>
      <c r="D133" s="8" t="s">
        <v>447</v>
      </c>
      <c r="E133" s="8" t="s">
        <v>54</v>
      </c>
      <c r="F133" s="8" t="s">
        <v>235</v>
      </c>
      <c r="G133" s="8" t="s">
        <v>56</v>
      </c>
      <c r="H133" s="7">
        <v>34158270</v>
      </c>
      <c r="I133" s="7">
        <v>34199596</v>
      </c>
      <c r="J133" s="7">
        <v>1060742</v>
      </c>
      <c r="K133" s="12">
        <v>8734359</v>
      </c>
      <c r="L133" s="12">
        <v>706453</v>
      </c>
      <c r="M133" s="12">
        <v>12046519</v>
      </c>
      <c r="N133" s="12">
        <v>0</v>
      </c>
      <c r="O133" s="25">
        <f t="shared" si="19"/>
        <v>21487331</v>
      </c>
      <c r="P133" s="12">
        <v>20825</v>
      </c>
      <c r="Q133" s="12">
        <v>1758103</v>
      </c>
      <c r="R133" s="12"/>
      <c r="S133" s="12">
        <f t="shared" si="20"/>
        <v>1778928</v>
      </c>
      <c r="T133" s="7">
        <v>2437867</v>
      </c>
      <c r="U133" s="7">
        <v>2521574</v>
      </c>
      <c r="V133" s="7">
        <v>0</v>
      </c>
      <c r="W133" s="7">
        <v>96288</v>
      </c>
      <c r="X133" s="7">
        <v>29969860</v>
      </c>
      <c r="Y133" s="7" t="s">
        <v>270</v>
      </c>
      <c r="Z133" s="26">
        <v>0.12859999999999999</v>
      </c>
      <c r="AA133" s="7">
        <v>0</v>
      </c>
      <c r="AB133" s="26">
        <f>1648342/29969860</f>
        <v>5.4999989989943231E-2</v>
      </c>
      <c r="AC133" s="7">
        <v>1647872</v>
      </c>
      <c r="AD133" s="7">
        <v>0</v>
      </c>
      <c r="AE133" s="7">
        <f>41326+4038</f>
        <v>45364</v>
      </c>
      <c r="AF133" s="7">
        <v>878199</v>
      </c>
      <c r="AG133" s="7">
        <v>70433</v>
      </c>
      <c r="AH133" s="7">
        <v>163516</v>
      </c>
      <c r="AI133" s="7">
        <v>183168</v>
      </c>
      <c r="AJ133" s="7">
        <v>5210</v>
      </c>
      <c r="AK133" s="7">
        <v>34679</v>
      </c>
      <c r="AL133" s="7">
        <v>11500</v>
      </c>
      <c r="AM133" s="7">
        <v>1790</v>
      </c>
      <c r="AN133" s="7">
        <v>36106</v>
      </c>
      <c r="AO133" s="7">
        <f>21671+33041+23262</f>
        <v>77974</v>
      </c>
      <c r="AP133" s="7">
        <v>13173</v>
      </c>
      <c r="AQ133" s="7">
        <v>1333</v>
      </c>
      <c r="AR133" s="7">
        <v>0</v>
      </c>
      <c r="AS133" s="7">
        <v>7224</v>
      </c>
      <c r="AT133" s="7">
        <v>69396</v>
      </c>
      <c r="AU133" s="7">
        <v>0</v>
      </c>
      <c r="AV133" s="7">
        <v>1715776</v>
      </c>
      <c r="AW133" s="7">
        <v>1710076</v>
      </c>
      <c r="AX133" s="26">
        <f t="shared" si="22"/>
        <v>0</v>
      </c>
      <c r="AY133" s="7">
        <v>208</v>
      </c>
      <c r="AZ133" s="7">
        <v>0</v>
      </c>
      <c r="BA133" s="7">
        <v>148368</v>
      </c>
      <c r="BB133" s="7">
        <v>0</v>
      </c>
      <c r="BC133" s="7">
        <v>258529</v>
      </c>
      <c r="BD133" s="7">
        <v>0</v>
      </c>
      <c r="BE133" s="7">
        <v>0</v>
      </c>
      <c r="BF133" s="7">
        <v>0</v>
      </c>
      <c r="BG133" s="7">
        <v>6646</v>
      </c>
      <c r="BH133" s="7">
        <v>2992</v>
      </c>
      <c r="BI133" s="7">
        <v>28</v>
      </c>
      <c r="BJ133" s="7"/>
      <c r="BK133" s="7">
        <f>19-1</f>
        <v>18</v>
      </c>
      <c r="BL133" s="7">
        <v>-307</v>
      </c>
      <c r="BM133" s="7">
        <v>-1175</v>
      </c>
      <c r="BN133" s="7">
        <v>-825</v>
      </c>
      <c r="BO133" s="7">
        <v>-5</v>
      </c>
      <c r="BP133" s="7">
        <f t="shared" si="21"/>
        <v>7372</v>
      </c>
      <c r="BQ133" s="1">
        <v>54</v>
      </c>
      <c r="BR133" s="7">
        <v>107</v>
      </c>
      <c r="BS133" s="7">
        <v>59</v>
      </c>
      <c r="BT133" s="7">
        <v>640</v>
      </c>
      <c r="BU133" s="7">
        <v>19</v>
      </c>
      <c r="BV133" s="7">
        <v>0</v>
      </c>
      <c r="BW133" s="7">
        <v>1</v>
      </c>
      <c r="BX133" s="7">
        <v>11</v>
      </c>
      <c r="BY133" s="7">
        <v>68</v>
      </c>
      <c r="BZ133" s="7">
        <v>164</v>
      </c>
      <c r="CA133" s="7">
        <v>0</v>
      </c>
      <c r="CB133" s="7">
        <v>3</v>
      </c>
      <c r="CC133" s="7">
        <v>10</v>
      </c>
      <c r="CD133" s="7">
        <v>811</v>
      </c>
      <c r="CE133" s="7">
        <v>9</v>
      </c>
      <c r="CF133" s="7">
        <v>5</v>
      </c>
    </row>
    <row r="134" spans="1:84" x14ac:dyDescent="0.25">
      <c r="A134" s="15">
        <v>13</v>
      </c>
      <c r="B134" s="8" t="s">
        <v>432</v>
      </c>
      <c r="C134" s="57" t="s">
        <v>399</v>
      </c>
      <c r="D134" s="8" t="s">
        <v>699</v>
      </c>
      <c r="E134" s="8" t="s">
        <v>508</v>
      </c>
      <c r="F134" s="8" t="s">
        <v>234</v>
      </c>
      <c r="G134" s="8" t="s">
        <v>506</v>
      </c>
      <c r="H134" s="7">
        <v>54021726</v>
      </c>
      <c r="I134" s="7">
        <v>54105605</v>
      </c>
      <c r="J134" s="7">
        <v>1383134</v>
      </c>
      <c r="K134" s="12">
        <v>4606257</v>
      </c>
      <c r="L134" s="12">
        <v>6440646</v>
      </c>
      <c r="M134" s="12">
        <v>18249417</v>
      </c>
      <c r="N134" s="12">
        <v>0</v>
      </c>
      <c r="O134" s="25">
        <f t="shared" si="19"/>
        <v>29296320</v>
      </c>
      <c r="P134" s="12">
        <v>1000</v>
      </c>
      <c r="Q134" s="12">
        <v>2779250</v>
      </c>
      <c r="R134" s="12">
        <v>0</v>
      </c>
      <c r="S134" s="12">
        <f t="shared" si="20"/>
        <v>2780250</v>
      </c>
      <c r="T134" s="7">
        <v>14422531</v>
      </c>
      <c r="U134" s="7">
        <v>4149417</v>
      </c>
      <c r="V134" s="7">
        <v>25737</v>
      </c>
      <c r="W134" s="7">
        <v>0</v>
      </c>
      <c r="X134" s="7">
        <v>52458878</v>
      </c>
      <c r="Y134" s="7" t="s">
        <v>531</v>
      </c>
      <c r="Z134" s="26">
        <v>5.5199999999999999E-2</v>
      </c>
      <c r="AA134" s="7">
        <v>3444460</v>
      </c>
      <c r="AB134" s="26">
        <f>1759534/48753687</f>
        <v>3.6090275592900289E-2</v>
      </c>
      <c r="AC134" s="7">
        <v>1759534</v>
      </c>
      <c r="AD134" s="7">
        <v>0</v>
      </c>
      <c r="AE134" s="7">
        <f>83879+525</f>
        <v>84404</v>
      </c>
      <c r="AF134" s="7">
        <v>1033785</v>
      </c>
      <c r="AG134" s="7">
        <v>80626</v>
      </c>
      <c r="AH134" s="7">
        <v>247004</v>
      </c>
      <c r="AI134" s="7">
        <v>194352</v>
      </c>
      <c r="AJ134" s="7">
        <v>2891</v>
      </c>
      <c r="AK134" s="7">
        <v>27585</v>
      </c>
      <c r="AL134" s="7">
        <v>11600</v>
      </c>
      <c r="AM134" s="7">
        <v>0</v>
      </c>
      <c r="AN134" s="7">
        <v>0</v>
      </c>
      <c r="AO134" s="7">
        <f>10043+57765+31232</f>
        <v>99040</v>
      </c>
      <c r="AP134" s="7">
        <v>15561</v>
      </c>
      <c r="AQ134" s="7">
        <v>877</v>
      </c>
      <c r="AR134" s="7">
        <v>604</v>
      </c>
      <c r="AS134" s="7">
        <v>1557</v>
      </c>
      <c r="AT134" s="7">
        <v>15765</v>
      </c>
      <c r="AU134" s="7">
        <v>88357</v>
      </c>
      <c r="AV134" s="7">
        <v>1788746</v>
      </c>
      <c r="AW134" s="7">
        <v>1859379</v>
      </c>
      <c r="AX134" s="26">
        <f t="shared" si="22"/>
        <v>4.9396057349674019E-2</v>
      </c>
      <c r="AY134" s="7">
        <v>0</v>
      </c>
      <c r="AZ134" s="7">
        <v>0</v>
      </c>
      <c r="BA134" s="7">
        <v>148368</v>
      </c>
      <c r="BB134" s="7">
        <v>0</v>
      </c>
      <c r="BC134" s="7">
        <v>122942</v>
      </c>
      <c r="BD134" s="7">
        <v>0</v>
      </c>
      <c r="BE134" s="7">
        <v>0</v>
      </c>
      <c r="BF134" s="7">
        <v>0</v>
      </c>
      <c r="BG134" s="7">
        <v>10440</v>
      </c>
      <c r="BH134" s="7">
        <v>5790</v>
      </c>
      <c r="BI134" s="7">
        <v>0</v>
      </c>
      <c r="BJ134" s="7"/>
      <c r="BK134" s="7">
        <f>81-6</f>
        <v>75</v>
      </c>
      <c r="BL134" s="7">
        <v>-476</v>
      </c>
      <c r="BM134" s="7">
        <v>-3788</v>
      </c>
      <c r="BN134" s="7">
        <v>-1732</v>
      </c>
      <c r="BO134" s="7">
        <v>-4</v>
      </c>
      <c r="BP134" s="7">
        <f t="shared" si="21"/>
        <v>10305</v>
      </c>
      <c r="BQ134" s="1">
        <v>31</v>
      </c>
      <c r="BR134" s="7">
        <v>593</v>
      </c>
      <c r="BS134" s="7">
        <v>270</v>
      </c>
      <c r="BT134" s="7">
        <v>810</v>
      </c>
      <c r="BU134" s="7">
        <v>4</v>
      </c>
      <c r="BV134" s="7">
        <v>55</v>
      </c>
      <c r="BW134" s="7">
        <v>3</v>
      </c>
      <c r="BX134" s="7">
        <v>8</v>
      </c>
      <c r="BY134" s="7">
        <v>71</v>
      </c>
      <c r="BZ134" s="7">
        <v>308</v>
      </c>
      <c r="CA134" s="7">
        <v>3</v>
      </c>
      <c r="CB134" s="7">
        <v>37</v>
      </c>
      <c r="CC134" s="7">
        <v>39</v>
      </c>
      <c r="CD134" s="7">
        <v>249</v>
      </c>
      <c r="CE134" s="7">
        <v>1867</v>
      </c>
      <c r="CF134" s="7">
        <v>128</v>
      </c>
    </row>
    <row r="135" spans="1:84" x14ac:dyDescent="0.25">
      <c r="A135" s="15">
        <v>13</v>
      </c>
      <c r="B135" s="8" t="s">
        <v>440</v>
      </c>
      <c r="C135" s="57" t="s">
        <v>412</v>
      </c>
      <c r="D135" s="8" t="s">
        <v>570</v>
      </c>
      <c r="E135" s="8" t="s">
        <v>534</v>
      </c>
      <c r="F135" s="8"/>
      <c r="G135" s="8" t="s">
        <v>536</v>
      </c>
      <c r="H135" s="7">
        <v>12739822</v>
      </c>
      <c r="I135" s="7">
        <v>12746237</v>
      </c>
      <c r="J135" s="7">
        <v>302105</v>
      </c>
      <c r="K135" s="12">
        <v>24939</v>
      </c>
      <c r="L135" s="12">
        <v>639104</v>
      </c>
      <c r="M135" s="12">
        <v>1137082</v>
      </c>
      <c r="N135" s="12">
        <v>3635370</v>
      </c>
      <c r="O135" s="25">
        <f t="shared" si="19"/>
        <v>5436495</v>
      </c>
      <c r="P135" s="12">
        <v>0</v>
      </c>
      <c r="Q135" s="12">
        <v>335495</v>
      </c>
      <c r="R135" s="12">
        <v>319525</v>
      </c>
      <c r="S135" s="12">
        <f t="shared" si="20"/>
        <v>655020</v>
      </c>
      <c r="T135" s="7">
        <v>3321841</v>
      </c>
      <c r="U135" s="7">
        <v>1894110</v>
      </c>
      <c r="V135" s="7">
        <v>13648</v>
      </c>
      <c r="W135" s="7">
        <v>0</v>
      </c>
      <c r="X135" s="7">
        <v>12334121</v>
      </c>
      <c r="Y135" s="7" t="s">
        <v>308</v>
      </c>
      <c r="Z135" s="26">
        <v>7.7600000000000002E-2</v>
      </c>
      <c r="AA135" s="7">
        <v>0</v>
      </c>
      <c r="AB135" s="26">
        <f>1013360/12320473</f>
        <v>8.2250088937332197E-2</v>
      </c>
      <c r="AC135" s="7">
        <v>1013007</v>
      </c>
      <c r="AD135" s="7">
        <v>0</v>
      </c>
      <c r="AE135" s="7">
        <f>6415+682</f>
        <v>7097</v>
      </c>
      <c r="AF135" s="7">
        <v>369645</v>
      </c>
      <c r="AG135" s="7">
        <v>28991</v>
      </c>
      <c r="AH135" s="7">
        <v>58989</v>
      </c>
      <c r="AI135" s="7">
        <f>50725+2442</f>
        <v>53167</v>
      </c>
      <c r="AJ135" s="7">
        <v>5394</v>
      </c>
      <c r="AK135" s="7">
        <v>163107</v>
      </c>
      <c r="AL135" s="7">
        <v>5651</v>
      </c>
      <c r="AM135" s="7">
        <v>850</v>
      </c>
      <c r="AN135" s="7">
        <v>0</v>
      </c>
      <c r="AO135" s="7">
        <f>15666+24997+27566</f>
        <v>68229</v>
      </c>
      <c r="AP135" s="7">
        <v>9909</v>
      </c>
      <c r="AQ135" s="7">
        <v>614</v>
      </c>
      <c r="AR135" s="7">
        <v>0</v>
      </c>
      <c r="AS135" s="7">
        <v>0</v>
      </c>
      <c r="AT135" s="7">
        <v>20352</v>
      </c>
      <c r="AU135" s="7">
        <v>0</v>
      </c>
      <c r="AV135" s="7">
        <v>864177</v>
      </c>
      <c r="AW135" s="7">
        <v>927461</v>
      </c>
      <c r="AX135" s="26">
        <f t="shared" si="22"/>
        <v>0</v>
      </c>
      <c r="AY135" s="7">
        <v>0</v>
      </c>
      <c r="AZ135" s="7">
        <v>0</v>
      </c>
      <c r="BA135" s="7">
        <v>148368</v>
      </c>
      <c r="BB135" s="7">
        <v>0</v>
      </c>
      <c r="BC135" s="7">
        <v>122227</v>
      </c>
      <c r="BD135" s="7">
        <v>0</v>
      </c>
      <c r="BE135" s="7">
        <v>0</v>
      </c>
      <c r="BF135" s="7">
        <v>0</v>
      </c>
      <c r="BG135" s="7">
        <v>2481</v>
      </c>
      <c r="BH135" s="7">
        <v>1447</v>
      </c>
      <c r="BI135" s="7">
        <v>29</v>
      </c>
      <c r="BJ135" s="7"/>
      <c r="BK135" s="7">
        <v>64</v>
      </c>
      <c r="BL135" s="7">
        <v>-172</v>
      </c>
      <c r="BM135" s="7">
        <v>-356</v>
      </c>
      <c r="BN135" s="7">
        <v>-462</v>
      </c>
      <c r="BO135" s="7">
        <v>-2</v>
      </c>
      <c r="BP135" s="7">
        <f t="shared" si="21"/>
        <v>3029</v>
      </c>
      <c r="BQ135" s="1">
        <v>1</v>
      </c>
      <c r="BR135" s="7">
        <v>94</v>
      </c>
      <c r="BS135" s="7">
        <v>55</v>
      </c>
      <c r="BT135" s="7">
        <v>254</v>
      </c>
      <c r="BU135" s="7">
        <v>53</v>
      </c>
      <c r="BV135" s="7">
        <v>6</v>
      </c>
      <c r="BW135" s="7">
        <v>1</v>
      </c>
      <c r="BX135" s="7">
        <v>2</v>
      </c>
      <c r="BY135" s="7">
        <v>14</v>
      </c>
      <c r="BZ135" s="7">
        <v>151</v>
      </c>
      <c r="CA135" s="7">
        <v>4</v>
      </c>
      <c r="CB135" s="7">
        <v>2</v>
      </c>
      <c r="CC135" s="7">
        <v>5</v>
      </c>
      <c r="CD135" s="7">
        <v>16</v>
      </c>
      <c r="CE135" s="7">
        <v>319</v>
      </c>
      <c r="CF135" s="7">
        <v>14</v>
      </c>
    </row>
    <row r="136" spans="1:84" x14ac:dyDescent="0.25">
      <c r="A136" s="15">
        <v>14</v>
      </c>
      <c r="B136" s="1" t="s">
        <v>115</v>
      </c>
      <c r="C136" s="59" t="s">
        <v>659</v>
      </c>
      <c r="D136" s="1" t="s">
        <v>598</v>
      </c>
      <c r="E136" s="8" t="s">
        <v>65</v>
      </c>
      <c r="F136" s="8"/>
      <c r="G136" s="8" t="s">
        <v>55</v>
      </c>
      <c r="H136" s="7">
        <v>14665105</v>
      </c>
      <c r="I136" s="7">
        <v>14693558</v>
      </c>
      <c r="J136" s="7">
        <v>946578</v>
      </c>
      <c r="K136" s="12">
        <v>0</v>
      </c>
      <c r="L136" s="12">
        <v>533668</v>
      </c>
      <c r="M136" s="12">
        <v>0</v>
      </c>
      <c r="N136" s="12">
        <v>4561339</v>
      </c>
      <c r="O136" s="25">
        <f t="shared" si="19"/>
        <v>5095007</v>
      </c>
      <c r="P136" s="12">
        <v>0</v>
      </c>
      <c r="Q136" s="12">
        <v>98456</v>
      </c>
      <c r="R136" s="12">
        <v>1105363</v>
      </c>
      <c r="S136" s="12">
        <f t="shared" si="20"/>
        <v>1203819</v>
      </c>
      <c r="T136" s="7">
        <v>2666121</v>
      </c>
      <c r="U136" s="7">
        <v>1503371</v>
      </c>
      <c r="V136" s="7">
        <v>0</v>
      </c>
      <c r="W136" s="7">
        <v>0</v>
      </c>
      <c r="X136" s="7">
        <v>11422636</v>
      </c>
      <c r="Y136" s="7" t="s">
        <v>785</v>
      </c>
      <c r="Z136" s="26">
        <v>0.32450000000000001</v>
      </c>
      <c r="AA136" s="7">
        <v>0</v>
      </c>
      <c r="AB136" s="26">
        <f>956954/12766513</f>
        <v>7.4958134613578503E-2</v>
      </c>
      <c r="AC136" s="7">
        <v>954318</v>
      </c>
      <c r="AD136" s="7">
        <v>0</v>
      </c>
      <c r="AE136" s="7">
        <f>28453+2</f>
        <v>28455</v>
      </c>
      <c r="AF136" s="7">
        <v>450248</v>
      </c>
      <c r="AG136" s="7">
        <v>34097</v>
      </c>
      <c r="AH136" s="7">
        <v>64781</v>
      </c>
      <c r="AI136" s="7">
        <v>94152</v>
      </c>
      <c r="AJ136" s="7">
        <v>8822</v>
      </c>
      <c r="AK136" s="7">
        <v>43254</v>
      </c>
      <c r="AL136" s="7">
        <v>9853</v>
      </c>
      <c r="AM136" s="7">
        <v>0</v>
      </c>
      <c r="AN136" s="7">
        <v>0</v>
      </c>
      <c r="AO136" s="7">
        <f>9669+8814+19566</f>
        <v>38049</v>
      </c>
      <c r="AP136" s="7">
        <v>11139</v>
      </c>
      <c r="AQ136" s="7">
        <v>0</v>
      </c>
      <c r="AR136" s="7">
        <v>0</v>
      </c>
      <c r="AS136" s="7">
        <v>4810</v>
      </c>
      <c r="AT136" s="7">
        <v>28175</v>
      </c>
      <c r="AU136" s="7">
        <v>0</v>
      </c>
      <c r="AV136" s="7">
        <v>861628</v>
      </c>
      <c r="AW136" s="7">
        <v>865123</v>
      </c>
      <c r="AX136" s="26">
        <f t="shared" si="22"/>
        <v>0</v>
      </c>
      <c r="AY136" s="7">
        <v>67</v>
      </c>
      <c r="AZ136" s="7">
        <v>0</v>
      </c>
      <c r="BA136" s="7">
        <v>148368</v>
      </c>
      <c r="BB136" s="7">
        <v>0</v>
      </c>
      <c r="BC136" s="7">
        <v>100013</v>
      </c>
      <c r="BD136" s="7">
        <v>0</v>
      </c>
      <c r="BE136" s="7">
        <v>0</v>
      </c>
      <c r="BF136" s="7">
        <v>0</v>
      </c>
      <c r="BG136" s="7">
        <v>3143</v>
      </c>
      <c r="BH136" s="7">
        <v>2259</v>
      </c>
      <c r="BI136" s="7">
        <v>0</v>
      </c>
      <c r="BJ136" s="7"/>
      <c r="BK136" s="7">
        <v>-4</v>
      </c>
      <c r="BL136" s="7">
        <v>-258</v>
      </c>
      <c r="BM136" s="7">
        <v>-1369</v>
      </c>
      <c r="BN136" s="7">
        <v>-526</v>
      </c>
      <c r="BO136" s="7">
        <v>-2</v>
      </c>
      <c r="BP136" s="7">
        <f t="shared" si="21"/>
        <v>3243</v>
      </c>
      <c r="BQ136" s="1">
        <v>0</v>
      </c>
      <c r="BR136" s="7">
        <v>57</v>
      </c>
      <c r="BS136" s="7">
        <v>44</v>
      </c>
      <c r="BT136" s="7">
        <v>410</v>
      </c>
      <c r="BU136" s="7">
        <v>7</v>
      </c>
      <c r="BV136" s="7">
        <v>8</v>
      </c>
      <c r="BW136" s="7">
        <v>0</v>
      </c>
      <c r="BX136" s="7">
        <v>2</v>
      </c>
      <c r="BY136" s="7">
        <v>12</v>
      </c>
      <c r="BZ136" s="7">
        <v>94</v>
      </c>
      <c r="CA136" s="7">
        <v>2</v>
      </c>
      <c r="CB136" s="7">
        <v>2</v>
      </c>
      <c r="CC136" s="7">
        <v>2</v>
      </c>
      <c r="CD136" s="7">
        <v>30</v>
      </c>
      <c r="CE136" s="7">
        <v>251</v>
      </c>
      <c r="CF136" s="7">
        <v>12</v>
      </c>
    </row>
    <row r="137" spans="1:84" x14ac:dyDescent="0.25">
      <c r="A137" s="15">
        <v>14</v>
      </c>
      <c r="B137" s="1" t="s">
        <v>420</v>
      </c>
      <c r="C137" s="59" t="s">
        <v>218</v>
      </c>
      <c r="D137" s="1" t="s">
        <v>745</v>
      </c>
      <c r="E137" s="8" t="s">
        <v>65</v>
      </c>
      <c r="F137" s="8"/>
      <c r="G137" s="8" t="s">
        <v>55</v>
      </c>
      <c r="H137" s="7">
        <v>8471811</v>
      </c>
      <c r="I137" s="7">
        <v>8585415</v>
      </c>
      <c r="J137" s="7">
        <v>490162</v>
      </c>
      <c r="K137" s="12">
        <v>0</v>
      </c>
      <c r="L137" s="12">
        <v>981619</v>
      </c>
      <c r="M137" s="12">
        <v>2215006</v>
      </c>
      <c r="N137" s="12">
        <v>0</v>
      </c>
      <c r="O137" s="25">
        <f t="shared" si="19"/>
        <v>3196625</v>
      </c>
      <c r="P137" s="12">
        <v>0</v>
      </c>
      <c r="Q137" s="12">
        <v>706376</v>
      </c>
      <c r="R137" s="12">
        <v>0</v>
      </c>
      <c r="S137" s="12">
        <f t="shared" si="20"/>
        <v>706376</v>
      </c>
      <c r="T137" s="7">
        <v>2310896</v>
      </c>
      <c r="U137" s="7">
        <v>1210584</v>
      </c>
      <c r="V137" s="7">
        <v>505</v>
      </c>
      <c r="W137" s="7">
        <v>0</v>
      </c>
      <c r="X137" s="7">
        <v>8182243</v>
      </c>
      <c r="Y137" s="7" t="s">
        <v>531</v>
      </c>
      <c r="Z137" s="26">
        <v>0.36</v>
      </c>
      <c r="AA137" s="7">
        <v>0</v>
      </c>
      <c r="AB137" s="26">
        <f>707652/7951142</f>
        <v>8.9000045528051186E-2</v>
      </c>
      <c r="AC137" s="7">
        <v>707652</v>
      </c>
      <c r="AD137" s="7">
        <v>0</v>
      </c>
      <c r="AE137" s="7">
        <f>24580+457</f>
        <v>25037</v>
      </c>
      <c r="AF137" s="7">
        <v>285924</v>
      </c>
      <c r="AG137" s="7">
        <v>25204</v>
      </c>
      <c r="AH137" s="7">
        <v>35664</v>
      </c>
      <c r="AI137" s="7">
        <f>51666+4966</f>
        <v>56632</v>
      </c>
      <c r="AJ137" s="7">
        <v>6709</v>
      </c>
      <c r="AK137" s="7">
        <v>43821</v>
      </c>
      <c r="AL137" s="7">
        <v>8419</v>
      </c>
      <c r="AM137" s="7">
        <v>30573</v>
      </c>
      <c r="AN137" s="7">
        <v>0</v>
      </c>
      <c r="AO137" s="7">
        <f>8637+10673+15406</f>
        <v>34716</v>
      </c>
      <c r="AP137" s="7">
        <v>12650</v>
      </c>
      <c r="AQ137" s="7">
        <v>0</v>
      </c>
      <c r="AR137" s="7">
        <v>0</v>
      </c>
      <c r="AS137" s="7">
        <v>4390</v>
      </c>
      <c r="AT137" s="7">
        <v>17801</v>
      </c>
      <c r="AU137" s="7">
        <v>0</v>
      </c>
      <c r="AV137" s="7">
        <v>595311</v>
      </c>
      <c r="AW137" s="7">
        <v>587198</v>
      </c>
      <c r="AX137" s="26">
        <f t="shared" si="22"/>
        <v>0</v>
      </c>
      <c r="AY137" s="7">
        <v>0</v>
      </c>
      <c r="AZ137" s="7">
        <v>0</v>
      </c>
      <c r="BA137" s="7">
        <v>148368</v>
      </c>
      <c r="BB137" s="7">
        <v>0</v>
      </c>
      <c r="BC137" s="7">
        <v>78711</v>
      </c>
      <c r="BD137" s="7">
        <v>0</v>
      </c>
      <c r="BE137" s="7">
        <v>0</v>
      </c>
      <c r="BF137" s="7">
        <v>0</v>
      </c>
      <c r="BG137" s="7">
        <v>2196</v>
      </c>
      <c r="BH137" s="7">
        <v>1060</v>
      </c>
      <c r="BI137" s="7">
        <v>0</v>
      </c>
      <c r="BJ137" s="7"/>
      <c r="BK137" s="7">
        <f>17-1</f>
        <v>16</v>
      </c>
      <c r="BL137" s="7">
        <v>-182</v>
      </c>
      <c r="BM137" s="7">
        <v>-596</v>
      </c>
      <c r="BN137" s="7">
        <v>-286</v>
      </c>
      <c r="BO137" s="7">
        <v>-1</v>
      </c>
      <c r="BP137" s="7">
        <f t="shared" si="21"/>
        <v>2207</v>
      </c>
      <c r="BQ137" s="1">
        <v>11</v>
      </c>
      <c r="BR137" s="12">
        <v>23</v>
      </c>
      <c r="BS137" s="12">
        <v>45</v>
      </c>
      <c r="BT137" s="7">
        <v>234</v>
      </c>
      <c r="BU137" s="7">
        <v>7</v>
      </c>
      <c r="BV137" s="7">
        <v>0</v>
      </c>
      <c r="BW137" s="7">
        <v>1</v>
      </c>
      <c r="BX137" s="7">
        <v>0</v>
      </c>
      <c r="BY137" s="7">
        <v>14</v>
      </c>
      <c r="BZ137" s="7">
        <v>69</v>
      </c>
      <c r="CA137" s="7">
        <v>8</v>
      </c>
      <c r="CB137" s="7">
        <v>0</v>
      </c>
      <c r="CC137" s="7">
        <v>1</v>
      </c>
      <c r="CD137" s="7">
        <v>7</v>
      </c>
      <c r="CE137" s="7">
        <v>117</v>
      </c>
      <c r="CF137" s="7">
        <v>0</v>
      </c>
    </row>
    <row r="138" spans="1:84" x14ac:dyDescent="0.25">
      <c r="A138" s="15">
        <v>14</v>
      </c>
      <c r="B138" s="8" t="s">
        <v>480</v>
      </c>
      <c r="C138" s="57" t="s">
        <v>618</v>
      </c>
      <c r="D138" s="8" t="s">
        <v>598</v>
      </c>
      <c r="E138" s="8" t="s">
        <v>65</v>
      </c>
      <c r="F138" s="8"/>
      <c r="G138" s="8" t="s">
        <v>55</v>
      </c>
      <c r="H138" s="7">
        <v>14988253</v>
      </c>
      <c r="I138" s="7">
        <v>15064998</v>
      </c>
      <c r="J138" s="7">
        <v>736878</v>
      </c>
      <c r="K138" s="12">
        <v>0</v>
      </c>
      <c r="L138" s="12">
        <v>1832450</v>
      </c>
      <c r="M138" s="12">
        <v>4354285</v>
      </c>
      <c r="N138" s="12">
        <v>0</v>
      </c>
      <c r="O138" s="25">
        <f t="shared" si="19"/>
        <v>6186735</v>
      </c>
      <c r="P138" s="12">
        <v>0</v>
      </c>
      <c r="Q138" s="12">
        <v>1461044</v>
      </c>
      <c r="R138" s="12">
        <v>0</v>
      </c>
      <c r="S138" s="12">
        <f t="shared" si="20"/>
        <v>1461044</v>
      </c>
      <c r="T138" s="7">
        <v>2784572</v>
      </c>
      <c r="U138" s="7">
        <v>1949675</v>
      </c>
      <c r="V138" s="7">
        <v>0</v>
      </c>
      <c r="W138" s="7">
        <v>0</v>
      </c>
      <c r="X138" s="7">
        <v>13636543</v>
      </c>
      <c r="Y138" s="7" t="s">
        <v>528</v>
      </c>
      <c r="Z138" s="26">
        <v>0.27</v>
      </c>
      <c r="AA138" s="7">
        <v>0</v>
      </c>
      <c r="AB138" s="26">
        <f>1139303/13636543</f>
        <v>8.354778773476533E-2</v>
      </c>
      <c r="AC138" s="7">
        <v>1131295</v>
      </c>
      <c r="AD138" s="7">
        <v>0</v>
      </c>
      <c r="AE138" s="7">
        <f>70560+7959</f>
        <v>78519</v>
      </c>
      <c r="AF138" s="7">
        <v>528865</v>
      </c>
      <c r="AG138" s="7">
        <v>44635</v>
      </c>
      <c r="AH138" s="7">
        <v>111526</v>
      </c>
      <c r="AI138" s="7">
        <v>79514</v>
      </c>
      <c r="AJ138" s="7">
        <v>1398</v>
      </c>
      <c r="AK138" s="7">
        <v>28675</v>
      </c>
      <c r="AL138" s="7">
        <v>9853</v>
      </c>
      <c r="AM138" s="7">
        <v>11664</v>
      </c>
      <c r="AN138" s="7">
        <v>0</v>
      </c>
      <c r="AO138" s="7">
        <f>10007+34093+26236</f>
        <v>70336</v>
      </c>
      <c r="AP138" s="7">
        <v>8310</v>
      </c>
      <c r="AQ138" s="7">
        <v>0</v>
      </c>
      <c r="AR138" s="7">
        <v>0</v>
      </c>
      <c r="AS138" s="7">
        <v>14703</v>
      </c>
      <c r="AT138" s="7">
        <v>11910</v>
      </c>
      <c r="AU138" s="7">
        <v>35726</v>
      </c>
      <c r="AV138" s="7">
        <v>1002571</v>
      </c>
      <c r="AW138" s="7">
        <v>1029965</v>
      </c>
      <c r="AX138" s="26">
        <f t="shared" si="22"/>
        <v>3.5634383998739243E-2</v>
      </c>
      <c r="AY138" s="7">
        <v>0</v>
      </c>
      <c r="AZ138" s="7">
        <v>0</v>
      </c>
      <c r="BA138" s="7">
        <v>148368</v>
      </c>
      <c r="BB138" s="7">
        <v>0</v>
      </c>
      <c r="BC138" s="7">
        <v>122678</v>
      </c>
      <c r="BD138" s="7">
        <v>0</v>
      </c>
      <c r="BE138" s="7">
        <v>0</v>
      </c>
      <c r="BF138" s="7">
        <v>0</v>
      </c>
      <c r="BG138" s="7">
        <v>2848</v>
      </c>
      <c r="BH138" s="7">
        <v>2268</v>
      </c>
      <c r="BI138" s="7">
        <v>388</v>
      </c>
      <c r="BJ138" s="7"/>
      <c r="BK138" s="7">
        <f>4+33-4</f>
        <v>33</v>
      </c>
      <c r="BL138" s="7">
        <v>-273</v>
      </c>
      <c r="BM138" s="7">
        <v>-1539</v>
      </c>
      <c r="BN138" s="7">
        <v>-580</v>
      </c>
      <c r="BO138" s="7">
        <v>0</v>
      </c>
      <c r="BP138" s="7">
        <f t="shared" si="21"/>
        <v>3145</v>
      </c>
      <c r="BQ138" s="1">
        <v>9</v>
      </c>
      <c r="BR138" s="12">
        <v>35</v>
      </c>
      <c r="BS138" s="12">
        <v>35</v>
      </c>
      <c r="BT138" s="12">
        <v>219</v>
      </c>
      <c r="BU138" s="12">
        <v>6</v>
      </c>
      <c r="BV138" s="12">
        <v>285</v>
      </c>
      <c r="BW138" s="7">
        <v>0</v>
      </c>
      <c r="BX138" s="7">
        <v>0</v>
      </c>
      <c r="BY138" s="7">
        <v>5</v>
      </c>
      <c r="BZ138" s="7">
        <v>48</v>
      </c>
      <c r="CA138" s="7">
        <v>220</v>
      </c>
      <c r="CB138" s="7">
        <v>0</v>
      </c>
      <c r="CC138" s="7">
        <v>1</v>
      </c>
      <c r="CD138" s="7">
        <v>18</v>
      </c>
      <c r="CE138" s="7">
        <v>153</v>
      </c>
      <c r="CF138" s="7">
        <v>979</v>
      </c>
    </row>
    <row r="139" spans="1:84" x14ac:dyDescent="0.25">
      <c r="A139" s="15">
        <v>15</v>
      </c>
      <c r="B139" s="1" t="s">
        <v>94</v>
      </c>
      <c r="C139" s="59" t="s">
        <v>729</v>
      </c>
      <c r="D139" s="1" t="s">
        <v>666</v>
      </c>
      <c r="E139" s="8" t="s">
        <v>125</v>
      </c>
      <c r="F139" s="8" t="s">
        <v>693</v>
      </c>
      <c r="G139" s="8" t="s">
        <v>127</v>
      </c>
      <c r="H139" s="7">
        <v>18602655</v>
      </c>
      <c r="I139" s="7">
        <v>18609800</v>
      </c>
      <c r="J139" s="7">
        <v>758766</v>
      </c>
      <c r="K139" s="12">
        <v>297741</v>
      </c>
      <c r="L139" s="12">
        <v>2253560</v>
      </c>
      <c r="M139" s="12">
        <v>4880092</v>
      </c>
      <c r="N139" s="12">
        <v>0</v>
      </c>
      <c r="O139" s="25">
        <f t="shared" si="19"/>
        <v>7431393</v>
      </c>
      <c r="P139" s="12">
        <v>40964</v>
      </c>
      <c r="Q139" s="12">
        <v>2144923</v>
      </c>
      <c r="R139" s="12">
        <v>0</v>
      </c>
      <c r="S139" s="12">
        <f t="shared" si="20"/>
        <v>2185887</v>
      </c>
      <c r="T139" s="7">
        <v>5948822</v>
      </c>
      <c r="U139" s="7">
        <v>1543716</v>
      </c>
      <c r="V139" s="7">
        <v>0</v>
      </c>
      <c r="W139" s="7">
        <v>24150</v>
      </c>
      <c r="X139" s="7">
        <v>18281214</v>
      </c>
      <c r="Y139" s="7" t="s">
        <v>531</v>
      </c>
      <c r="Z139" s="26">
        <v>8.2400000000000001E-2</v>
      </c>
      <c r="AA139" s="7">
        <v>0</v>
      </c>
      <c r="AB139" s="26">
        <f>1137652/18165548</f>
        <v>6.2626902309800947E-2</v>
      </c>
      <c r="AC139" s="7">
        <v>1136689</v>
      </c>
      <c r="AD139" s="7">
        <v>0</v>
      </c>
      <c r="AE139" s="7">
        <f>7145+969</f>
        <v>8114</v>
      </c>
      <c r="AF139" s="7">
        <v>533966</v>
      </c>
      <c r="AG139" s="7">
        <v>41309</v>
      </c>
      <c r="AH139" s="7">
        <v>110057</v>
      </c>
      <c r="AI139" s="7">
        <v>152957</v>
      </c>
      <c r="AJ139" s="7">
        <v>6000</v>
      </c>
      <c r="AK139" s="7">
        <v>28726</v>
      </c>
      <c r="AL139" s="7">
        <v>9605</v>
      </c>
      <c r="AM139" s="7">
        <v>1549</v>
      </c>
      <c r="AN139" s="7">
        <v>16983</v>
      </c>
      <c r="AO139" s="7">
        <f>10454+20354+23322</f>
        <v>54130</v>
      </c>
      <c r="AP139" s="7">
        <v>14470</v>
      </c>
      <c r="AQ139" s="7">
        <v>0</v>
      </c>
      <c r="AR139" s="7">
        <v>148</v>
      </c>
      <c r="AS139" s="7">
        <v>763</v>
      </c>
      <c r="AT139" s="7">
        <v>13723</v>
      </c>
      <c r="AU139" s="7">
        <v>0</v>
      </c>
      <c r="AV139" s="7">
        <v>1035222</v>
      </c>
      <c r="AW139" s="7">
        <v>1065005</v>
      </c>
      <c r="AX139" s="26">
        <f t="shared" si="22"/>
        <v>0</v>
      </c>
      <c r="AY139" s="7">
        <v>120</v>
      </c>
      <c r="AZ139" s="7">
        <v>0</v>
      </c>
      <c r="BA139" s="7">
        <v>148368</v>
      </c>
      <c r="BB139" s="7">
        <v>0</v>
      </c>
      <c r="BC139" s="7">
        <v>155670</v>
      </c>
      <c r="BD139" s="7">
        <v>0</v>
      </c>
      <c r="BE139" s="7">
        <v>0</v>
      </c>
      <c r="BF139" s="7">
        <v>0</v>
      </c>
      <c r="BG139" s="7">
        <v>3333</v>
      </c>
      <c r="BH139" s="7">
        <v>1250</v>
      </c>
      <c r="BI139" s="3">
        <v>0</v>
      </c>
      <c r="BK139" s="7">
        <v>13</v>
      </c>
      <c r="BL139" s="7">
        <v>-143</v>
      </c>
      <c r="BM139" s="7">
        <v>-838</v>
      </c>
      <c r="BN139" s="7">
        <v>-806</v>
      </c>
      <c r="BO139" s="7">
        <v>-1</v>
      </c>
      <c r="BP139" s="7">
        <f t="shared" si="21"/>
        <v>2808</v>
      </c>
      <c r="BQ139" s="1">
        <v>0</v>
      </c>
      <c r="BR139" s="7">
        <v>303</v>
      </c>
      <c r="BS139" s="7">
        <v>69</v>
      </c>
      <c r="BT139" s="7">
        <v>170</v>
      </c>
      <c r="BU139" s="7">
        <v>245</v>
      </c>
      <c r="BV139" s="7">
        <v>20</v>
      </c>
      <c r="BW139" s="7">
        <v>0</v>
      </c>
      <c r="BX139" s="7">
        <v>5</v>
      </c>
      <c r="BY139" s="7">
        <v>24</v>
      </c>
      <c r="BZ139" s="7">
        <v>74</v>
      </c>
      <c r="CA139" s="7">
        <v>0</v>
      </c>
      <c r="CB139" s="7">
        <v>18</v>
      </c>
      <c r="CC139" s="7">
        <v>21</v>
      </c>
      <c r="CD139" s="7">
        <v>88</v>
      </c>
      <c r="CE139" s="7">
        <v>334</v>
      </c>
      <c r="CF139" s="7">
        <v>19</v>
      </c>
    </row>
    <row r="140" spans="1:84" x14ac:dyDescent="0.25">
      <c r="A140" s="15">
        <v>15</v>
      </c>
      <c r="B140" s="8" t="s">
        <v>348</v>
      </c>
      <c r="C140" s="57" t="s">
        <v>346</v>
      </c>
      <c r="D140" s="8" t="s">
        <v>342</v>
      </c>
      <c r="E140" s="8" t="s">
        <v>338</v>
      </c>
      <c r="F140" s="8"/>
      <c r="G140" s="8" t="s">
        <v>328</v>
      </c>
      <c r="H140" s="7">
        <v>5118368</v>
      </c>
      <c r="I140" s="7">
        <v>5125038</v>
      </c>
      <c r="J140" s="7">
        <v>209932</v>
      </c>
      <c r="K140" s="12">
        <v>0</v>
      </c>
      <c r="L140" s="12">
        <v>611289</v>
      </c>
      <c r="M140" s="12">
        <v>1096821</v>
      </c>
      <c r="N140" s="12">
        <v>319425</v>
      </c>
      <c r="O140" s="25">
        <f t="shared" ref="O140:O171" si="23">SUM(K140:N140)</f>
        <v>2027535</v>
      </c>
      <c r="P140" s="12">
        <v>0</v>
      </c>
      <c r="Q140" s="12">
        <v>458956</v>
      </c>
      <c r="R140" s="12">
        <v>0</v>
      </c>
      <c r="S140" s="12">
        <f t="shared" ref="S140:S171" si="24">SUM(P140:R140)</f>
        <v>458956</v>
      </c>
      <c r="T140" s="7">
        <v>1815266</v>
      </c>
      <c r="U140" s="7">
        <v>230232</v>
      </c>
      <c r="V140" s="7">
        <v>3100</v>
      </c>
      <c r="W140" s="7">
        <v>0</v>
      </c>
      <c r="X140" s="7">
        <v>4955634</v>
      </c>
      <c r="Y140" s="7" t="s">
        <v>329</v>
      </c>
      <c r="Z140" s="26">
        <v>0.1143</v>
      </c>
      <c r="AA140" s="7">
        <v>0</v>
      </c>
      <c r="AB140" s="26">
        <f>421595/4952534</f>
        <v>8.5127128859690815E-2</v>
      </c>
      <c r="AC140" s="7">
        <v>420525</v>
      </c>
      <c r="AD140" s="7">
        <v>0</v>
      </c>
      <c r="AE140" s="7">
        <f>6636+73+180</f>
        <v>6889</v>
      </c>
      <c r="AF140" s="7">
        <v>129073</v>
      </c>
      <c r="AG140" s="7">
        <v>9524</v>
      </c>
      <c r="AH140" s="7">
        <v>14993</v>
      </c>
      <c r="AI140" s="7">
        <v>32810</v>
      </c>
      <c r="AJ140" s="7">
        <v>3027</v>
      </c>
      <c r="AK140" s="7">
        <v>21518</v>
      </c>
      <c r="AL140" s="7">
        <v>4700</v>
      </c>
      <c r="AM140" s="7">
        <v>596</v>
      </c>
      <c r="AN140" s="7">
        <v>0</v>
      </c>
      <c r="AO140" s="7">
        <f>4425+4536+16672</f>
        <v>25633</v>
      </c>
      <c r="AP140" s="7">
        <v>9195</v>
      </c>
      <c r="AQ140" s="7">
        <v>0</v>
      </c>
      <c r="AR140" s="7">
        <v>0</v>
      </c>
      <c r="AS140" s="7">
        <v>0</v>
      </c>
      <c r="AT140" s="7">
        <v>10444</v>
      </c>
      <c r="AU140" s="7">
        <v>37235</v>
      </c>
      <c r="AV140" s="7">
        <v>284374</v>
      </c>
      <c r="AW140" s="7">
        <v>288430</v>
      </c>
      <c r="AX140" s="26">
        <f t="shared" si="22"/>
        <v>0.13093672417309599</v>
      </c>
      <c r="AY140" s="7">
        <v>0</v>
      </c>
      <c r="AZ140" s="7">
        <v>0</v>
      </c>
      <c r="BA140" s="7">
        <v>148368</v>
      </c>
      <c r="BB140" s="7">
        <v>0</v>
      </c>
      <c r="BC140" s="7">
        <v>28581</v>
      </c>
      <c r="BD140" s="7">
        <v>0</v>
      </c>
      <c r="BE140" s="7">
        <v>0</v>
      </c>
      <c r="BF140" s="7">
        <v>0</v>
      </c>
      <c r="BG140" s="7">
        <v>926</v>
      </c>
      <c r="BH140" s="7">
        <v>500</v>
      </c>
      <c r="BI140" s="7">
        <v>50</v>
      </c>
      <c r="BJ140" s="7"/>
      <c r="BK140" s="7">
        <v>0</v>
      </c>
      <c r="BL140" s="7">
        <v>-98</v>
      </c>
      <c r="BM140" s="7">
        <v>-232</v>
      </c>
      <c r="BN140" s="7">
        <v>-187</v>
      </c>
      <c r="BO140" s="7">
        <v>0</v>
      </c>
      <c r="BP140" s="7">
        <f t="shared" ref="BP140:BP171" si="25">SUM(BG140:BO140)</f>
        <v>959</v>
      </c>
      <c r="BQ140" s="1">
        <v>0</v>
      </c>
      <c r="BR140" s="12">
        <v>27</v>
      </c>
      <c r="BS140" s="12">
        <v>20</v>
      </c>
      <c r="BT140" s="12">
        <v>180</v>
      </c>
      <c r="BU140" s="12">
        <v>10</v>
      </c>
      <c r="BV140" s="12">
        <v>3</v>
      </c>
      <c r="BW140" s="7">
        <v>0</v>
      </c>
      <c r="BX140" s="7">
        <v>0</v>
      </c>
      <c r="BY140" s="7">
        <v>19</v>
      </c>
      <c r="BZ140" s="7">
        <v>31</v>
      </c>
      <c r="CA140" s="7">
        <v>1</v>
      </c>
      <c r="CB140" s="7">
        <v>1</v>
      </c>
      <c r="CC140" s="7">
        <v>3</v>
      </c>
      <c r="CD140" s="7">
        <v>13</v>
      </c>
      <c r="CE140" s="7">
        <v>56</v>
      </c>
      <c r="CF140" s="7">
        <v>7</v>
      </c>
    </row>
    <row r="141" spans="1:84" x14ac:dyDescent="0.25">
      <c r="A141" s="15">
        <v>15</v>
      </c>
      <c r="B141" s="8" t="s">
        <v>685</v>
      </c>
      <c r="C141" s="57" t="s">
        <v>197</v>
      </c>
      <c r="D141" s="8" t="s">
        <v>666</v>
      </c>
      <c r="E141" s="8" t="s">
        <v>125</v>
      </c>
      <c r="F141" s="8" t="s">
        <v>693</v>
      </c>
      <c r="G141" s="8" t="s">
        <v>127</v>
      </c>
      <c r="H141" s="7">
        <v>18707036</v>
      </c>
      <c r="I141" s="7">
        <v>18719208</v>
      </c>
      <c r="J141" s="7">
        <v>1447770</v>
      </c>
      <c r="K141" s="12">
        <v>0</v>
      </c>
      <c r="L141" s="12">
        <v>1462894</v>
      </c>
      <c r="M141" s="12">
        <v>4768878</v>
      </c>
      <c r="N141" s="12">
        <v>239803</v>
      </c>
      <c r="O141" s="25">
        <f t="shared" si="23"/>
        <v>6471575</v>
      </c>
      <c r="P141" s="12">
        <v>0</v>
      </c>
      <c r="Q141" s="12">
        <v>1726036</v>
      </c>
      <c r="R141" s="12">
        <v>0</v>
      </c>
      <c r="S141" s="12">
        <f t="shared" si="24"/>
        <v>1726036</v>
      </c>
      <c r="T141" s="7">
        <v>6623390</v>
      </c>
      <c r="U141" s="7">
        <v>1512015</v>
      </c>
      <c r="V141" s="7">
        <v>0</v>
      </c>
      <c r="W141" s="7">
        <v>0</v>
      </c>
      <c r="X141" s="7">
        <v>17556218</v>
      </c>
      <c r="Y141" s="7" t="s">
        <v>531</v>
      </c>
      <c r="Z141" s="26">
        <v>6.8199999999999997E-2</v>
      </c>
      <c r="AA141" s="7">
        <v>0</v>
      </c>
      <c r="AB141" s="26">
        <f>1227605/17418695</f>
        <v>7.0476289986132715E-2</v>
      </c>
      <c r="AC141" s="7">
        <v>1223202</v>
      </c>
      <c r="AD141" s="7">
        <v>0</v>
      </c>
      <c r="AE141" s="7">
        <f>12171+1054</f>
        <v>13225</v>
      </c>
      <c r="AF141" s="7">
        <v>568821</v>
      </c>
      <c r="AG141" s="7">
        <v>47685</v>
      </c>
      <c r="AH141" s="7">
        <v>105719</v>
      </c>
      <c r="AI141" s="7">
        <v>214064</v>
      </c>
      <c r="AJ141" s="7">
        <v>4713</v>
      </c>
      <c r="AK141" s="7">
        <v>29209</v>
      </c>
      <c r="AL141" s="7">
        <v>9605</v>
      </c>
      <c r="AM141" s="7">
        <v>0</v>
      </c>
      <c r="AN141" s="7">
        <v>16651</v>
      </c>
      <c r="AO141" s="7">
        <f>7709+18617+20465</f>
        <v>46791</v>
      </c>
      <c r="AP141" s="7">
        <v>17769</v>
      </c>
      <c r="AQ141" s="7">
        <v>0</v>
      </c>
      <c r="AR141" s="7">
        <v>0</v>
      </c>
      <c r="AS141" s="7">
        <v>1243</v>
      </c>
      <c r="AT141" s="7">
        <v>9846</v>
      </c>
      <c r="AU141" s="7">
        <v>0</v>
      </c>
      <c r="AV141" s="7">
        <v>1108970</v>
      </c>
      <c r="AW141" s="7">
        <v>1147246</v>
      </c>
      <c r="AX141" s="26">
        <f t="shared" si="22"/>
        <v>0</v>
      </c>
      <c r="AY141" s="7">
        <v>0</v>
      </c>
      <c r="AZ141" s="7">
        <v>0</v>
      </c>
      <c r="BA141" s="7">
        <v>148368</v>
      </c>
      <c r="BB141" s="7">
        <v>0</v>
      </c>
      <c r="BC141" s="7">
        <v>146569</v>
      </c>
      <c r="BD141" s="7">
        <v>0</v>
      </c>
      <c r="BE141" s="7">
        <v>0</v>
      </c>
      <c r="BF141" s="7">
        <v>0</v>
      </c>
      <c r="BG141" s="7">
        <v>3419</v>
      </c>
      <c r="BH141" s="7">
        <v>1188</v>
      </c>
      <c r="BI141" s="7">
        <v>1</v>
      </c>
      <c r="BJ141" s="7"/>
      <c r="BK141" s="7">
        <f>18-2</f>
        <v>16</v>
      </c>
      <c r="BL141" s="7">
        <v>-176</v>
      </c>
      <c r="BM141" s="7">
        <v>-919</v>
      </c>
      <c r="BN141" s="7">
        <v>-797</v>
      </c>
      <c r="BO141" s="7">
        <v>0</v>
      </c>
      <c r="BP141" s="7">
        <f t="shared" si="25"/>
        <v>2732</v>
      </c>
      <c r="BQ141" s="1">
        <v>9</v>
      </c>
      <c r="BR141" s="7">
        <v>360</v>
      </c>
      <c r="BS141" s="7">
        <v>57</v>
      </c>
      <c r="BT141" s="7">
        <v>127</v>
      </c>
      <c r="BU141" s="7">
        <v>251</v>
      </c>
      <c r="BV141" s="7">
        <v>2</v>
      </c>
      <c r="BW141" s="7">
        <v>70</v>
      </c>
      <c r="BX141" s="7">
        <v>15</v>
      </c>
      <c r="BY141" s="7">
        <v>16</v>
      </c>
      <c r="BZ141" s="7">
        <v>41</v>
      </c>
      <c r="CA141" s="7">
        <v>0</v>
      </c>
      <c r="CB141" s="7">
        <v>240</v>
      </c>
      <c r="CC141" s="7">
        <v>33</v>
      </c>
      <c r="CD141" s="7">
        <v>59</v>
      </c>
      <c r="CE141" s="7">
        <v>141</v>
      </c>
      <c r="CF141" s="7">
        <v>2</v>
      </c>
    </row>
    <row r="142" spans="1:84" x14ac:dyDescent="0.25">
      <c r="A142" s="15">
        <v>16</v>
      </c>
      <c r="B142" s="8" t="s">
        <v>169</v>
      </c>
      <c r="C142" s="57" t="s">
        <v>42</v>
      </c>
      <c r="D142" s="8" t="s">
        <v>575</v>
      </c>
      <c r="E142" s="8" t="s">
        <v>125</v>
      </c>
      <c r="F142" s="8" t="s">
        <v>142</v>
      </c>
      <c r="G142" s="8" t="s">
        <v>127</v>
      </c>
      <c r="H142" s="7">
        <v>14348587</v>
      </c>
      <c r="I142" s="7">
        <v>14364114</v>
      </c>
      <c r="J142" s="7">
        <v>2820825</v>
      </c>
      <c r="K142" s="12">
        <v>0</v>
      </c>
      <c r="L142" s="12">
        <v>660879</v>
      </c>
      <c r="M142" s="12">
        <v>0</v>
      </c>
      <c r="N142" s="12">
        <v>3321585</v>
      </c>
      <c r="O142" s="25">
        <f t="shared" si="23"/>
        <v>3982464</v>
      </c>
      <c r="P142" s="12">
        <v>0</v>
      </c>
      <c r="Q142" s="12">
        <v>2290503</v>
      </c>
      <c r="R142" s="12">
        <v>0</v>
      </c>
      <c r="S142" s="12">
        <f t="shared" si="24"/>
        <v>2290503</v>
      </c>
      <c r="T142" s="7">
        <v>3880447</v>
      </c>
      <c r="U142" s="7">
        <v>563189</v>
      </c>
      <c r="V142" s="7">
        <v>11806</v>
      </c>
      <c r="W142" s="7">
        <v>0</v>
      </c>
      <c r="X142" s="7">
        <v>11813726</v>
      </c>
      <c r="Y142" s="7" t="s">
        <v>531</v>
      </c>
      <c r="Z142" s="26">
        <v>0.03</v>
      </c>
      <c r="AA142" s="7">
        <v>0</v>
      </c>
      <c r="AB142" s="26">
        <f>1080805/11702971</f>
        <v>9.2353044367964335E-2</v>
      </c>
      <c r="AC142" s="7">
        <v>1084524</v>
      </c>
      <c r="AD142" s="7">
        <v>0</v>
      </c>
      <c r="AE142" s="7">
        <f>15527+1267</f>
        <v>16794</v>
      </c>
      <c r="AF142" s="7">
        <v>545805</v>
      </c>
      <c r="AG142" s="7">
        <v>45768</v>
      </c>
      <c r="AH142" s="7">
        <v>87105</v>
      </c>
      <c r="AI142" s="7">
        <f>182089+927</f>
        <v>183016</v>
      </c>
      <c r="AJ142" s="7">
        <v>16285</v>
      </c>
      <c r="AK142" s="7">
        <v>17870</v>
      </c>
      <c r="AL142" s="7">
        <v>9838</v>
      </c>
      <c r="AM142" s="7">
        <v>1198</v>
      </c>
      <c r="AN142" s="7">
        <v>0</v>
      </c>
      <c r="AO142" s="7">
        <f>11424+14999+17273</f>
        <v>43696</v>
      </c>
      <c r="AP142" s="7">
        <v>7139</v>
      </c>
      <c r="AQ142" s="7">
        <v>0</v>
      </c>
      <c r="AR142" s="7">
        <v>121</v>
      </c>
      <c r="AS142" s="7">
        <v>15362</v>
      </c>
      <c r="AT142" s="7">
        <v>1200</v>
      </c>
      <c r="AU142" s="7">
        <v>0</v>
      </c>
      <c r="AV142" s="7">
        <v>1028103</v>
      </c>
      <c r="AW142" s="7">
        <v>1059837</v>
      </c>
      <c r="AX142" s="26">
        <f t="shared" si="22"/>
        <v>0</v>
      </c>
      <c r="AY142" s="7">
        <v>526</v>
      </c>
      <c r="AZ142" s="7">
        <v>0</v>
      </c>
      <c r="BA142" s="7">
        <v>148368</v>
      </c>
      <c r="BB142" s="7">
        <v>0</v>
      </c>
      <c r="BC142" s="7">
        <v>125805</v>
      </c>
      <c r="BD142" s="7">
        <v>0</v>
      </c>
      <c r="BE142" s="7">
        <v>0</v>
      </c>
      <c r="BF142" s="7">
        <v>0</v>
      </c>
      <c r="BG142" s="7">
        <v>1777</v>
      </c>
      <c r="BH142" s="7">
        <v>949</v>
      </c>
      <c r="BI142" s="7">
        <v>0</v>
      </c>
      <c r="BJ142" s="7"/>
      <c r="BK142" s="7">
        <v>0</v>
      </c>
      <c r="BL142" s="7">
        <v>-106</v>
      </c>
      <c r="BM142" s="7">
        <v>-750</v>
      </c>
      <c r="BN142" s="7">
        <v>-388</v>
      </c>
      <c r="BO142" s="7">
        <v>-1</v>
      </c>
      <c r="BP142" s="7">
        <f t="shared" si="25"/>
        <v>1481</v>
      </c>
      <c r="BQ142" s="1">
        <v>21</v>
      </c>
      <c r="BR142" s="7">
        <v>205</v>
      </c>
      <c r="BS142" s="7">
        <v>22</v>
      </c>
      <c r="BT142" s="7">
        <v>81</v>
      </c>
      <c r="BU142" s="7">
        <v>41</v>
      </c>
      <c r="BV142" s="7">
        <v>39</v>
      </c>
      <c r="BW142" s="7">
        <v>1</v>
      </c>
      <c r="BX142" s="7">
        <v>2</v>
      </c>
      <c r="BY142" s="7">
        <v>10</v>
      </c>
      <c r="BZ142" s="7">
        <v>71</v>
      </c>
      <c r="CA142" s="7">
        <v>22</v>
      </c>
      <c r="CB142" s="7">
        <v>10</v>
      </c>
      <c r="CC142" s="7">
        <v>11</v>
      </c>
      <c r="CD142" s="7">
        <v>28</v>
      </c>
      <c r="CE142" s="7">
        <v>216</v>
      </c>
      <c r="CF142" s="7">
        <v>36</v>
      </c>
    </row>
    <row r="143" spans="1:84" x14ac:dyDescent="0.25">
      <c r="A143" s="15">
        <v>16</v>
      </c>
      <c r="B143" s="8" t="s">
        <v>191</v>
      </c>
      <c r="C143" s="57" t="s">
        <v>524</v>
      </c>
      <c r="D143" s="8" t="s">
        <v>453</v>
      </c>
      <c r="E143" s="8" t="s">
        <v>125</v>
      </c>
      <c r="F143" s="8" t="s">
        <v>142</v>
      </c>
      <c r="G143" s="8" t="s">
        <v>127</v>
      </c>
      <c r="H143" s="7">
        <v>19181531</v>
      </c>
      <c r="I143" s="7">
        <v>19194760</v>
      </c>
      <c r="J143" s="7">
        <v>826317</v>
      </c>
      <c r="K143" s="12">
        <v>0</v>
      </c>
      <c r="L143" s="12">
        <v>0</v>
      </c>
      <c r="M143" s="12">
        <v>0</v>
      </c>
      <c r="N143" s="12">
        <v>9100872</v>
      </c>
      <c r="O143" s="25">
        <f t="shared" si="23"/>
        <v>9100872</v>
      </c>
      <c r="P143" s="12">
        <v>0</v>
      </c>
      <c r="Q143" s="12">
        <v>0</v>
      </c>
      <c r="R143" s="12">
        <v>2536309</v>
      </c>
      <c r="S143" s="12">
        <f t="shared" si="24"/>
        <v>2536309</v>
      </c>
      <c r="T143" s="12">
        <v>2832734</v>
      </c>
      <c r="U143" s="7">
        <v>1622613</v>
      </c>
      <c r="V143" s="7">
        <v>15111</v>
      </c>
      <c r="W143" s="7">
        <v>0</v>
      </c>
      <c r="X143" s="7">
        <v>17758691</v>
      </c>
      <c r="Y143" s="7" t="s">
        <v>173</v>
      </c>
      <c r="Z143" s="26">
        <v>0.05</v>
      </c>
      <c r="AA143" s="7">
        <v>0</v>
      </c>
      <c r="AB143" s="26">
        <f>1650153/17743580</f>
        <v>9.3000003381504742E-2</v>
      </c>
      <c r="AC143" s="7">
        <v>1651052</v>
      </c>
      <c r="AD143" s="7">
        <v>0</v>
      </c>
      <c r="AE143" s="7">
        <f>13229+492</f>
        <v>13721</v>
      </c>
      <c r="AF143" s="7">
        <v>794299</v>
      </c>
      <c r="AG143" s="7">
        <v>69163</v>
      </c>
      <c r="AH143" s="7">
        <v>133253</v>
      </c>
      <c r="AI143" s="7">
        <v>198093</v>
      </c>
      <c r="AJ143" s="7">
        <v>21242</v>
      </c>
      <c r="AK143" s="7">
        <v>30100</v>
      </c>
      <c r="AL143" s="7">
        <v>9806</v>
      </c>
      <c r="AM143" s="7">
        <v>-2000</v>
      </c>
      <c r="AN143" s="7">
        <v>0</v>
      </c>
      <c r="AO143" s="7">
        <f>16895+37031+49746</f>
        <v>103672</v>
      </c>
      <c r="AP143" s="7">
        <v>15424</v>
      </c>
      <c r="AQ143" s="7">
        <v>0</v>
      </c>
      <c r="AR143" s="7">
        <v>0</v>
      </c>
      <c r="AS143" s="7">
        <v>22360</v>
      </c>
      <c r="AT143" s="7">
        <v>4664</v>
      </c>
      <c r="AU143" s="7">
        <v>0</v>
      </c>
      <c r="AV143" s="7">
        <v>1467062</v>
      </c>
      <c r="AW143" s="7">
        <v>1665849</v>
      </c>
      <c r="AX143" s="26">
        <f t="shared" si="22"/>
        <v>0</v>
      </c>
      <c r="AY143" s="7">
        <v>0</v>
      </c>
      <c r="AZ143" s="7">
        <v>0</v>
      </c>
      <c r="BA143" s="7">
        <v>148368</v>
      </c>
      <c r="BB143" s="7">
        <v>0</v>
      </c>
      <c r="BC143" s="7">
        <v>250954</v>
      </c>
      <c r="BD143" s="7">
        <v>1553</v>
      </c>
      <c r="BE143" s="7">
        <v>1553</v>
      </c>
      <c r="BF143" s="7">
        <v>0</v>
      </c>
      <c r="BG143" s="7">
        <v>4522</v>
      </c>
      <c r="BH143" s="7">
        <v>3289</v>
      </c>
      <c r="BI143" s="7">
        <v>0</v>
      </c>
      <c r="BJ143" s="7">
        <v>0</v>
      </c>
      <c r="BK143" s="7">
        <v>0</v>
      </c>
      <c r="BL143" s="7">
        <v>-233</v>
      </c>
      <c r="BM143" s="7">
        <v>-2303</v>
      </c>
      <c r="BN143" s="7">
        <v>-339</v>
      </c>
      <c r="BO143" s="7">
        <v>0</v>
      </c>
      <c r="BP143" s="7">
        <f t="shared" si="25"/>
        <v>4936</v>
      </c>
      <c r="BQ143" s="1">
        <v>1</v>
      </c>
      <c r="BR143" s="7">
        <v>115</v>
      </c>
      <c r="BS143" s="7">
        <v>93</v>
      </c>
      <c r="BT143" s="7">
        <v>8</v>
      </c>
      <c r="BU143" s="7">
        <v>123</v>
      </c>
      <c r="BV143" s="7">
        <v>0</v>
      </c>
      <c r="BW143" s="7">
        <v>115</v>
      </c>
      <c r="BX143" s="7">
        <v>53</v>
      </c>
      <c r="BY143" s="7">
        <v>4</v>
      </c>
      <c r="BZ143" s="7">
        <v>61</v>
      </c>
      <c r="CA143" s="7">
        <v>0</v>
      </c>
      <c r="CB143" s="7">
        <v>1229</v>
      </c>
      <c r="CC143" s="7">
        <v>165</v>
      </c>
      <c r="CD143" s="7">
        <v>21</v>
      </c>
      <c r="CE143" s="7">
        <v>888</v>
      </c>
      <c r="CF143" s="7">
        <v>0</v>
      </c>
    </row>
    <row r="144" spans="1:84" x14ac:dyDescent="0.25">
      <c r="A144" s="15">
        <v>16</v>
      </c>
      <c r="B144" s="8" t="s">
        <v>196</v>
      </c>
      <c r="C144" s="57" t="s">
        <v>652</v>
      </c>
      <c r="D144" s="8" t="s">
        <v>644</v>
      </c>
      <c r="E144" s="8" t="s">
        <v>125</v>
      </c>
      <c r="F144" s="8" t="s">
        <v>142</v>
      </c>
      <c r="G144" s="8" t="s">
        <v>127</v>
      </c>
      <c r="H144" s="7">
        <v>28840223</v>
      </c>
      <c r="I144" s="7">
        <v>28847790</v>
      </c>
      <c r="J144" s="7">
        <v>1386632</v>
      </c>
      <c r="K144" s="12">
        <v>0</v>
      </c>
      <c r="L144" s="12">
        <v>7012750</v>
      </c>
      <c r="M144" s="12">
        <v>6137495</v>
      </c>
      <c r="N144" s="12">
        <v>0</v>
      </c>
      <c r="O144" s="25">
        <f t="shared" si="23"/>
        <v>13150245</v>
      </c>
      <c r="P144" s="12">
        <v>0</v>
      </c>
      <c r="Q144" s="12">
        <v>2463523</v>
      </c>
      <c r="R144" s="12">
        <v>0</v>
      </c>
      <c r="S144" s="12">
        <f t="shared" si="24"/>
        <v>2463523</v>
      </c>
      <c r="T144" s="7">
        <v>7144775</v>
      </c>
      <c r="U144" s="7">
        <v>1710539</v>
      </c>
      <c r="V144" s="7">
        <v>33046</v>
      </c>
      <c r="W144" s="7">
        <v>0</v>
      </c>
      <c r="X144" s="7">
        <v>25998086</v>
      </c>
      <c r="Y144" s="7" t="s">
        <v>484</v>
      </c>
      <c r="Z144" s="26">
        <v>0.13</v>
      </c>
      <c r="AA144" s="7">
        <v>0</v>
      </c>
      <c r="AB144" s="26">
        <f>1495101/25777610</f>
        <v>5.799998525852474E-2</v>
      </c>
      <c r="AC144" s="7">
        <v>1495958</v>
      </c>
      <c r="AD144" s="7">
        <v>0</v>
      </c>
      <c r="AE144" s="7">
        <f>7567+272</f>
        <v>7839</v>
      </c>
      <c r="AF144" s="7">
        <v>692990</v>
      </c>
      <c r="AG144" s="7">
        <v>59791</v>
      </c>
      <c r="AH144" s="7">
        <v>121412</v>
      </c>
      <c r="AI144" s="7">
        <v>139995</v>
      </c>
      <c r="AJ144" s="7">
        <v>9619</v>
      </c>
      <c r="AK144" s="7">
        <v>39782</v>
      </c>
      <c r="AL144" s="7">
        <v>9955</v>
      </c>
      <c r="AM144" s="7">
        <v>8100</v>
      </c>
      <c r="AN144" s="7">
        <v>0</v>
      </c>
      <c r="AO144" s="7">
        <f>22829+31881+59748</f>
        <v>114458</v>
      </c>
      <c r="AP144" s="7">
        <v>9821</v>
      </c>
      <c r="AQ144" s="7">
        <v>0</v>
      </c>
      <c r="AR144" s="7">
        <v>0</v>
      </c>
      <c r="AS144" s="7">
        <v>45786</v>
      </c>
      <c r="AT144" s="7">
        <v>9424</v>
      </c>
      <c r="AU144" s="7">
        <v>0</v>
      </c>
      <c r="AV144" s="7">
        <v>1330149</v>
      </c>
      <c r="AW144" s="7">
        <v>1443056</v>
      </c>
      <c r="AX144" s="26">
        <f t="shared" si="22"/>
        <v>0</v>
      </c>
      <c r="AY144" s="7">
        <v>0</v>
      </c>
      <c r="AZ144" s="7">
        <v>0</v>
      </c>
      <c r="BA144" s="7">
        <v>148368</v>
      </c>
      <c r="BB144" s="7">
        <v>0</v>
      </c>
      <c r="BC144" s="7">
        <v>204376</v>
      </c>
      <c r="BD144" s="7">
        <v>0</v>
      </c>
      <c r="BE144" s="7">
        <v>0</v>
      </c>
      <c r="BF144" s="7">
        <v>0</v>
      </c>
      <c r="BG144" s="7">
        <f>4834+75</f>
        <v>4909</v>
      </c>
      <c r="BH144" s="7">
        <v>4253</v>
      </c>
      <c r="BI144" s="7">
        <v>0</v>
      </c>
      <c r="BJ144" s="7"/>
      <c r="BK144" s="7">
        <f>73-1-10</f>
        <v>62</v>
      </c>
      <c r="BL144" s="7">
        <v>-329</v>
      </c>
      <c r="BM144" s="7">
        <v>-3345</v>
      </c>
      <c r="BN144" s="7">
        <v>-630</v>
      </c>
      <c r="BO144" s="7">
        <v>-3</v>
      </c>
      <c r="BP144" s="7">
        <f t="shared" si="25"/>
        <v>4917</v>
      </c>
      <c r="BQ144" s="1">
        <v>2</v>
      </c>
      <c r="BR144" s="7">
        <v>448</v>
      </c>
      <c r="BS144" s="7">
        <v>3</v>
      </c>
      <c r="BT144" s="7">
        <v>5</v>
      </c>
      <c r="BU144" s="7">
        <v>1</v>
      </c>
      <c r="BV144" s="7">
        <v>175</v>
      </c>
      <c r="BW144" s="7">
        <v>2</v>
      </c>
      <c r="BX144" s="7">
        <v>11</v>
      </c>
      <c r="BY144" s="7">
        <v>33</v>
      </c>
      <c r="BZ144" s="7">
        <v>196</v>
      </c>
      <c r="CA144" s="7">
        <v>90</v>
      </c>
      <c r="CB144" s="7">
        <v>29</v>
      </c>
      <c r="CC144" s="7">
        <v>41</v>
      </c>
      <c r="CD144" s="7">
        <v>106</v>
      </c>
      <c r="CE144" s="7">
        <v>1064</v>
      </c>
      <c r="CF144" s="7">
        <v>296</v>
      </c>
    </row>
    <row r="145" spans="1:84" x14ac:dyDescent="0.25">
      <c r="A145" s="15">
        <v>16</v>
      </c>
      <c r="B145" s="8" t="s">
        <v>230</v>
      </c>
      <c r="C145" s="57" t="s">
        <v>240</v>
      </c>
      <c r="D145" s="8" t="s">
        <v>453</v>
      </c>
      <c r="E145" s="8" t="s">
        <v>125</v>
      </c>
      <c r="F145" s="8" t="s">
        <v>142</v>
      </c>
      <c r="G145" s="8" t="s">
        <v>127</v>
      </c>
      <c r="H145" s="7">
        <v>16925384</v>
      </c>
      <c r="I145" s="7">
        <v>16951527</v>
      </c>
      <c r="J145" s="7">
        <v>1125600</v>
      </c>
      <c r="K145" s="12">
        <v>0</v>
      </c>
      <c r="L145" s="12">
        <v>5037411</v>
      </c>
      <c r="M145" s="12">
        <v>2485230</v>
      </c>
      <c r="N145" s="12">
        <v>47597</v>
      </c>
      <c r="O145" s="25">
        <f t="shared" si="23"/>
        <v>7570238</v>
      </c>
      <c r="P145" s="12">
        <v>0</v>
      </c>
      <c r="Q145" s="12">
        <v>2108442</v>
      </c>
      <c r="R145" s="12">
        <v>7430</v>
      </c>
      <c r="S145" s="12">
        <f t="shared" si="24"/>
        <v>2115872</v>
      </c>
      <c r="T145" s="7">
        <v>2803037</v>
      </c>
      <c r="U145" s="7">
        <v>1462627</v>
      </c>
      <c r="V145" s="7">
        <v>42606</v>
      </c>
      <c r="W145" s="7">
        <v>0</v>
      </c>
      <c r="X145" s="7">
        <v>15419785</v>
      </c>
      <c r="Y145" s="7" t="s">
        <v>484</v>
      </c>
      <c r="Z145" s="26">
        <v>0.1096</v>
      </c>
      <c r="AA145" s="7">
        <v>0</v>
      </c>
      <c r="AB145" s="26">
        <f>1425632/15006652</f>
        <v>9.5000003998226917E-2</v>
      </c>
      <c r="AC145" s="7">
        <v>1425405</v>
      </c>
      <c r="AD145" s="7">
        <v>0</v>
      </c>
      <c r="AE145" s="7">
        <f>26143+2792</f>
        <v>28935</v>
      </c>
      <c r="AF145" s="7">
        <v>733097</v>
      </c>
      <c r="AG145" s="7">
        <v>62399</v>
      </c>
      <c r="AH145" s="7">
        <v>105602</v>
      </c>
      <c r="AI145" s="7">
        <v>150936</v>
      </c>
      <c r="AJ145" s="7">
        <v>11808</v>
      </c>
      <c r="AK145" s="7">
        <v>29296</v>
      </c>
      <c r="AL145" s="7">
        <v>9806</v>
      </c>
      <c r="AM145" s="7">
        <v>56</v>
      </c>
      <c r="AN145" s="7">
        <v>0</v>
      </c>
      <c r="AO145" s="7">
        <f>15154+42210+44593</f>
        <v>101957</v>
      </c>
      <c r="AP145" s="7">
        <v>16043</v>
      </c>
      <c r="AQ145" s="7">
        <v>0</v>
      </c>
      <c r="AR145" s="7">
        <v>0</v>
      </c>
      <c r="AS145" s="7">
        <v>11243</v>
      </c>
      <c r="AT145" s="7">
        <v>11441</v>
      </c>
      <c r="AU145" s="7">
        <v>0</v>
      </c>
      <c r="AV145" s="7">
        <v>1327601</v>
      </c>
      <c r="AW145" s="7">
        <v>1349376</v>
      </c>
      <c r="AX145" s="26">
        <f t="shared" si="22"/>
        <v>0</v>
      </c>
      <c r="AY145" s="7">
        <v>0</v>
      </c>
      <c r="AZ145" s="7">
        <v>0</v>
      </c>
      <c r="BA145" s="7">
        <v>148368</v>
      </c>
      <c r="BB145" s="7">
        <v>0</v>
      </c>
      <c r="BC145" s="7">
        <v>205937</v>
      </c>
      <c r="BD145" s="7">
        <v>0</v>
      </c>
      <c r="BE145" s="7">
        <v>0</v>
      </c>
      <c r="BF145" s="7">
        <v>0</v>
      </c>
      <c r="BG145" s="7">
        <v>3186</v>
      </c>
      <c r="BH145" s="7">
        <v>3277</v>
      </c>
      <c r="BI145" s="7">
        <v>24</v>
      </c>
      <c r="BJ145" s="7"/>
      <c r="BK145" s="7">
        <f>2+49-1</f>
        <v>50</v>
      </c>
      <c r="BL145" s="7">
        <v>-223</v>
      </c>
      <c r="BM145" s="7">
        <v>-2677</v>
      </c>
      <c r="BN145" s="7">
        <v>-528</v>
      </c>
      <c r="BO145" s="7">
        <v>-1</v>
      </c>
      <c r="BP145" s="7">
        <f t="shared" si="25"/>
        <v>3108</v>
      </c>
      <c r="BQ145" s="1">
        <v>4</v>
      </c>
      <c r="BR145" s="7">
        <v>151</v>
      </c>
      <c r="BS145" s="7">
        <v>29</v>
      </c>
      <c r="BT145" s="7">
        <v>172</v>
      </c>
      <c r="BU145" s="7">
        <v>110</v>
      </c>
      <c r="BV145" s="7">
        <v>66</v>
      </c>
      <c r="BW145" s="7">
        <v>1</v>
      </c>
      <c r="BX145" s="7">
        <v>4</v>
      </c>
      <c r="BY145" s="7">
        <v>12</v>
      </c>
      <c r="BZ145" s="7">
        <v>63</v>
      </c>
      <c r="CA145" s="7">
        <v>140</v>
      </c>
      <c r="CB145" s="7">
        <v>13</v>
      </c>
      <c r="CC145" s="7">
        <v>14</v>
      </c>
      <c r="CD145" s="7">
        <v>70</v>
      </c>
      <c r="CE145" s="7">
        <v>492</v>
      </c>
      <c r="CF145" s="7">
        <v>2073</v>
      </c>
    </row>
    <row r="146" spans="1:84" x14ac:dyDescent="0.25">
      <c r="A146" s="15">
        <v>16</v>
      </c>
      <c r="B146" s="8" t="s">
        <v>654</v>
      </c>
      <c r="C146" s="57" t="s">
        <v>242</v>
      </c>
      <c r="D146" s="8" t="s">
        <v>453</v>
      </c>
      <c r="E146" s="8" t="s">
        <v>125</v>
      </c>
      <c r="F146" s="8" t="s">
        <v>142</v>
      </c>
      <c r="G146" s="8" t="s">
        <v>127</v>
      </c>
      <c r="H146" s="7">
        <v>20413153</v>
      </c>
      <c r="I146" s="7">
        <v>20433306</v>
      </c>
      <c r="J146" s="7">
        <v>2601665</v>
      </c>
      <c r="K146" s="12">
        <v>0</v>
      </c>
      <c r="L146" s="12">
        <v>4603303</v>
      </c>
      <c r="M146" s="12">
        <v>2693839</v>
      </c>
      <c r="N146" s="12">
        <v>0</v>
      </c>
      <c r="O146" s="25">
        <f t="shared" si="23"/>
        <v>7297142</v>
      </c>
      <c r="P146" s="12">
        <v>3418</v>
      </c>
      <c r="Q146" s="12">
        <v>3242675</v>
      </c>
      <c r="R146" s="12">
        <v>0</v>
      </c>
      <c r="S146" s="12">
        <f t="shared" si="24"/>
        <v>3246093</v>
      </c>
      <c r="T146" s="7">
        <v>4112781</v>
      </c>
      <c r="U146" s="7">
        <v>1615287</v>
      </c>
      <c r="V146" s="7">
        <v>29540</v>
      </c>
      <c r="W146" s="7">
        <v>0</v>
      </c>
      <c r="X146" s="7">
        <v>17770575</v>
      </c>
      <c r="Y146" s="7" t="s">
        <v>485</v>
      </c>
      <c r="Z146" s="26">
        <v>0.15</v>
      </c>
      <c r="AA146" s="7">
        <v>0</v>
      </c>
      <c r="AB146" s="26">
        <f>1465935/17451610</f>
        <v>8.3999986247687175E-2</v>
      </c>
      <c r="AC146" s="7">
        <v>1469732</v>
      </c>
      <c r="AD146" s="7">
        <v>0</v>
      </c>
      <c r="AE146" s="7">
        <f>20153+746</f>
        <v>20899</v>
      </c>
      <c r="AF146" s="7">
        <v>756375</v>
      </c>
      <c r="AG146" s="7">
        <v>64018</v>
      </c>
      <c r="AH146" s="7">
        <v>132616</v>
      </c>
      <c r="AI146" s="7">
        <v>150798</v>
      </c>
      <c r="AJ146" s="7">
        <v>13809</v>
      </c>
      <c r="AK146" s="7">
        <v>27450</v>
      </c>
      <c r="AL146" s="7">
        <v>9806</v>
      </c>
      <c r="AM146" s="7">
        <v>8100</v>
      </c>
      <c r="AN146" s="7">
        <v>0</v>
      </c>
      <c r="AO146" s="7">
        <f>15218+35000+47279</f>
        <v>97497</v>
      </c>
      <c r="AP146" s="7">
        <v>15497</v>
      </c>
      <c r="AQ146" s="7">
        <v>605</v>
      </c>
      <c r="AR146" s="7">
        <v>0</v>
      </c>
      <c r="AS146" s="7">
        <v>31503</v>
      </c>
      <c r="AT146" s="7">
        <v>11846</v>
      </c>
      <c r="AU146" s="7">
        <v>0</v>
      </c>
      <c r="AV146" s="7">
        <v>1380927</v>
      </c>
      <c r="AW146" s="7">
        <v>1474622</v>
      </c>
      <c r="AX146" s="26">
        <f t="shared" si="22"/>
        <v>0</v>
      </c>
      <c r="AY146" s="7">
        <v>0</v>
      </c>
      <c r="AZ146" s="7">
        <v>0</v>
      </c>
      <c r="BA146" s="7">
        <v>148368</v>
      </c>
      <c r="BB146" s="7">
        <v>0</v>
      </c>
      <c r="BC146" s="7">
        <v>165952</v>
      </c>
      <c r="BD146" s="7">
        <v>0</v>
      </c>
      <c r="BE146" s="7">
        <v>0</v>
      </c>
      <c r="BF146" s="7">
        <v>0</v>
      </c>
      <c r="BG146" s="7">
        <v>3627</v>
      </c>
      <c r="BH146" s="7">
        <v>2287</v>
      </c>
      <c r="BI146" s="7">
        <v>0</v>
      </c>
      <c r="BJ146" s="7">
        <v>0</v>
      </c>
      <c r="BK146" s="7">
        <v>0</v>
      </c>
      <c r="BL146" s="7">
        <v>-220</v>
      </c>
      <c r="BM146" s="7">
        <v>-1700</v>
      </c>
      <c r="BN146" s="7">
        <v>-554</v>
      </c>
      <c r="BO146" s="7">
        <v>0</v>
      </c>
      <c r="BP146" s="7">
        <f t="shared" si="25"/>
        <v>3440</v>
      </c>
      <c r="BQ146" s="1">
        <v>29</v>
      </c>
      <c r="BR146" s="7">
        <v>22</v>
      </c>
      <c r="BS146" s="7">
        <v>24</v>
      </c>
      <c r="BT146" s="7">
        <v>135</v>
      </c>
      <c r="BU146" s="7">
        <v>302</v>
      </c>
      <c r="BV146" s="7">
        <v>68</v>
      </c>
      <c r="BW146" s="7">
        <v>3</v>
      </c>
      <c r="BX146" s="7">
        <v>2</v>
      </c>
      <c r="BY146" s="7">
        <v>33</v>
      </c>
      <c r="BZ146" s="7">
        <v>91</v>
      </c>
      <c r="CA146" s="7">
        <v>9</v>
      </c>
      <c r="CB146" s="7">
        <v>101</v>
      </c>
      <c r="CC146" s="7">
        <v>23</v>
      </c>
      <c r="CD146" s="7">
        <v>211</v>
      </c>
      <c r="CE146" s="7">
        <v>99</v>
      </c>
      <c r="CF146" s="7">
        <v>39</v>
      </c>
    </row>
    <row r="147" spans="1:84" x14ac:dyDescent="0.25">
      <c r="A147" s="15">
        <v>17</v>
      </c>
      <c r="B147" s="8" t="s">
        <v>113</v>
      </c>
      <c r="C147" s="57" t="s">
        <v>475</v>
      </c>
      <c r="D147" s="8" t="s">
        <v>330</v>
      </c>
      <c r="E147" s="8" t="s">
        <v>125</v>
      </c>
      <c r="F147" s="8" t="s">
        <v>551</v>
      </c>
      <c r="G147" s="8" t="s">
        <v>127</v>
      </c>
      <c r="H147" s="7">
        <v>31578052</v>
      </c>
      <c r="I147" s="7">
        <v>31600851</v>
      </c>
      <c r="J147" s="7">
        <v>2351594</v>
      </c>
      <c r="K147" s="12">
        <v>0</v>
      </c>
      <c r="L147" s="12">
        <v>0</v>
      </c>
      <c r="M147" s="12">
        <v>12975090</v>
      </c>
      <c r="N147" s="12">
        <v>0</v>
      </c>
      <c r="O147" s="25">
        <f t="shared" si="23"/>
        <v>12975090</v>
      </c>
      <c r="P147" s="12">
        <v>0</v>
      </c>
      <c r="Q147" s="12">
        <v>5632498</v>
      </c>
      <c r="R147" s="12">
        <v>0</v>
      </c>
      <c r="S147" s="12">
        <f t="shared" si="24"/>
        <v>5632498</v>
      </c>
      <c r="T147" s="7">
        <v>6641031</v>
      </c>
      <c r="U147" s="7">
        <v>2053051</v>
      </c>
      <c r="V147" s="7">
        <v>0</v>
      </c>
      <c r="W147" s="7">
        <v>15407</v>
      </c>
      <c r="X147" s="7">
        <v>28948521</v>
      </c>
      <c r="Y147" s="7" t="s">
        <v>531</v>
      </c>
      <c r="Z147" s="26">
        <v>0.1042</v>
      </c>
      <c r="AA147" s="7">
        <v>0</v>
      </c>
      <c r="AB147" s="26">
        <f>1633692/28948521</f>
        <v>5.6434385715249495E-2</v>
      </c>
      <c r="AC147" s="7">
        <v>1631444</v>
      </c>
      <c r="AD147" s="7">
        <v>0</v>
      </c>
      <c r="AE147" s="7">
        <f>22799+527</f>
        <v>23326</v>
      </c>
      <c r="AF147" s="7">
        <v>871628</v>
      </c>
      <c r="AG147" s="7">
        <v>74180</v>
      </c>
      <c r="AH147" s="7">
        <v>128787</v>
      </c>
      <c r="AI147" s="7">
        <v>129664</v>
      </c>
      <c r="AJ147" s="7">
        <v>5073</v>
      </c>
      <c r="AK147" s="7">
        <v>29476</v>
      </c>
      <c r="AL147" s="7">
        <v>11500</v>
      </c>
      <c r="AM147" s="7">
        <v>12535</v>
      </c>
      <c r="AN147" s="7">
        <v>34578</v>
      </c>
      <c r="AO147" s="7">
        <f>17415+30000+60942</f>
        <v>108357</v>
      </c>
      <c r="AP147" s="7">
        <v>15275</v>
      </c>
      <c r="AQ147" s="7">
        <v>2002</v>
      </c>
      <c r="AR147" s="7">
        <v>29618</v>
      </c>
      <c r="AS147" s="7">
        <v>21176</v>
      </c>
      <c r="AT147" s="7">
        <v>16049</v>
      </c>
      <c r="AU147" s="7">
        <v>0</v>
      </c>
      <c r="AV147" s="7">
        <v>1552201</v>
      </c>
      <c r="AW147" s="7">
        <v>1664894</v>
      </c>
      <c r="AX147" s="26">
        <f t="shared" si="22"/>
        <v>0</v>
      </c>
      <c r="AY147" s="7">
        <v>0</v>
      </c>
      <c r="AZ147" s="7">
        <v>0</v>
      </c>
      <c r="BA147" s="7">
        <v>148368</v>
      </c>
      <c r="BB147" s="7">
        <v>0</v>
      </c>
      <c r="BC147" s="7">
        <v>162951</v>
      </c>
      <c r="BD147" s="7">
        <v>0</v>
      </c>
      <c r="BE147" s="7">
        <v>0</v>
      </c>
      <c r="BF147" s="7">
        <v>0</v>
      </c>
      <c r="BG147" s="7">
        <v>5803</v>
      </c>
      <c r="BH147" s="7">
        <v>2093</v>
      </c>
      <c r="BI147" s="7">
        <v>0</v>
      </c>
      <c r="BJ147" s="7"/>
      <c r="BK147" s="7">
        <f>30-3</f>
        <v>27</v>
      </c>
      <c r="BL147" s="7">
        <v>-138</v>
      </c>
      <c r="BM147" s="7">
        <v>-922</v>
      </c>
      <c r="BN147" s="7">
        <v>-1452</v>
      </c>
      <c r="BO147" s="7">
        <v>-1</v>
      </c>
      <c r="BP147" s="7">
        <f t="shared" si="25"/>
        <v>5410</v>
      </c>
      <c r="BQ147" s="1">
        <v>2</v>
      </c>
      <c r="BR147" s="7">
        <v>228</v>
      </c>
      <c r="BS147" s="7">
        <v>58</v>
      </c>
      <c r="BT147" s="7">
        <v>752</v>
      </c>
      <c r="BU147" s="7">
        <v>292</v>
      </c>
      <c r="BV147" s="7">
        <v>12</v>
      </c>
      <c r="BW147" s="7">
        <v>11</v>
      </c>
      <c r="BX147" s="7">
        <v>2</v>
      </c>
      <c r="BY147" s="7">
        <v>52</v>
      </c>
      <c r="BZ147" s="7">
        <v>12</v>
      </c>
      <c r="CA147" s="7">
        <v>0</v>
      </c>
      <c r="CB147" s="7">
        <v>122</v>
      </c>
      <c r="CC147" s="7">
        <v>9</v>
      </c>
      <c r="CD147" s="7">
        <v>146</v>
      </c>
      <c r="CE147" s="7">
        <v>127</v>
      </c>
      <c r="CF147" s="7">
        <v>8</v>
      </c>
    </row>
    <row r="148" spans="1:84" x14ac:dyDescent="0.25">
      <c r="A148" s="15">
        <v>17</v>
      </c>
      <c r="B148" s="8" t="s">
        <v>119</v>
      </c>
      <c r="C148" s="57" t="s">
        <v>197</v>
      </c>
      <c r="D148" s="8" t="s">
        <v>279</v>
      </c>
      <c r="E148" s="8" t="s">
        <v>125</v>
      </c>
      <c r="F148" s="8" t="s">
        <v>551</v>
      </c>
      <c r="G148" s="8" t="s">
        <v>127</v>
      </c>
      <c r="H148" s="7">
        <v>12296041</v>
      </c>
      <c r="I148" s="7">
        <v>12306430</v>
      </c>
      <c r="J148" s="7">
        <v>485857</v>
      </c>
      <c r="K148" s="12">
        <v>0</v>
      </c>
      <c r="L148" s="12">
        <v>781445</v>
      </c>
      <c r="M148" s="12">
        <v>0</v>
      </c>
      <c r="N148" s="12">
        <v>3030900</v>
      </c>
      <c r="O148" s="25">
        <f t="shared" si="23"/>
        <v>3812345</v>
      </c>
      <c r="P148" s="12">
        <v>0</v>
      </c>
      <c r="Q148" s="12">
        <v>0</v>
      </c>
      <c r="R148" s="12">
        <v>2309534</v>
      </c>
      <c r="S148" s="12">
        <f t="shared" si="24"/>
        <v>2309534</v>
      </c>
      <c r="T148" s="7">
        <v>3749258</v>
      </c>
      <c r="U148" s="7">
        <v>949315</v>
      </c>
      <c r="V148" s="7">
        <v>0</v>
      </c>
      <c r="W148" s="7">
        <v>0</v>
      </c>
      <c r="X148" s="7">
        <v>11910230</v>
      </c>
      <c r="Y148" s="7" t="s">
        <v>101</v>
      </c>
      <c r="Z148" s="26">
        <v>4.6800000000000001E-2</v>
      </c>
      <c r="AA148" s="7">
        <v>0</v>
      </c>
      <c r="AB148" s="26">
        <f>1091425/11810230</f>
        <v>9.2413526239539787E-2</v>
      </c>
      <c r="AC148" s="7">
        <v>1089778</v>
      </c>
      <c r="AD148" s="7">
        <v>0</v>
      </c>
      <c r="AE148" s="7">
        <f>10389+763</f>
        <v>11152</v>
      </c>
      <c r="AF148" s="7">
        <v>484221</v>
      </c>
      <c r="AG148" s="7">
        <v>40085</v>
      </c>
      <c r="AH148" s="7">
        <v>83944</v>
      </c>
      <c r="AI148" s="7">
        <v>141565</v>
      </c>
      <c r="AJ148" s="7">
        <v>3455</v>
      </c>
      <c r="AK148" s="7">
        <v>47144</v>
      </c>
      <c r="AL148" s="7">
        <v>9750</v>
      </c>
      <c r="AM148" s="7">
        <v>1258</v>
      </c>
      <c r="AN148" s="7">
        <v>18402</v>
      </c>
      <c r="AO148" s="7">
        <f>27710+7140+15926</f>
        <v>50776</v>
      </c>
      <c r="AP148" s="7">
        <v>8788</v>
      </c>
      <c r="AQ148" s="7">
        <v>1411</v>
      </c>
      <c r="AR148" s="7">
        <v>0</v>
      </c>
      <c r="AS148" s="7">
        <v>1648</v>
      </c>
      <c r="AT148" s="7">
        <v>20271</v>
      </c>
      <c r="AU148" s="7">
        <v>0</v>
      </c>
      <c r="AV148" s="7">
        <v>958509</v>
      </c>
      <c r="AW148" s="7">
        <v>1123518</v>
      </c>
      <c r="AX148" s="26">
        <f t="shared" si="22"/>
        <v>0</v>
      </c>
      <c r="AY148" s="7">
        <v>0</v>
      </c>
      <c r="AZ148" s="7">
        <v>0</v>
      </c>
      <c r="BA148" s="7">
        <v>148368</v>
      </c>
      <c r="BB148" s="7">
        <v>0</v>
      </c>
      <c r="BC148" s="7">
        <v>103213</v>
      </c>
      <c r="BD148" s="7">
        <v>0</v>
      </c>
      <c r="BE148" s="7">
        <v>0</v>
      </c>
      <c r="BF148" s="7">
        <v>0</v>
      </c>
      <c r="BG148" s="7">
        <v>2408</v>
      </c>
      <c r="BH148" s="7">
        <v>771</v>
      </c>
      <c r="BI148" s="7">
        <v>268</v>
      </c>
      <c r="BJ148" s="7"/>
      <c r="BK148" s="7">
        <v>0</v>
      </c>
      <c r="BL148" s="7">
        <v>-129</v>
      </c>
      <c r="BM148" s="7">
        <v>-395</v>
      </c>
      <c r="BN148" s="7">
        <v>-822</v>
      </c>
      <c r="BO148" s="7">
        <v>-2</v>
      </c>
      <c r="BP148" s="7">
        <f t="shared" si="25"/>
        <v>2099</v>
      </c>
      <c r="BQ148" s="1">
        <v>56</v>
      </c>
      <c r="BR148" s="7">
        <v>79</v>
      </c>
      <c r="BS148" s="7">
        <v>26</v>
      </c>
      <c r="BT148" s="7">
        <v>454</v>
      </c>
      <c r="BU148" s="7">
        <v>78</v>
      </c>
      <c r="BV148" s="7">
        <v>5</v>
      </c>
      <c r="BW148" s="7">
        <v>3</v>
      </c>
      <c r="BX148" s="7">
        <v>0</v>
      </c>
      <c r="BY148" s="7">
        <v>23</v>
      </c>
      <c r="BZ148" s="7">
        <v>16</v>
      </c>
      <c r="CA148" s="7">
        <v>0</v>
      </c>
      <c r="CB148" s="7">
        <v>23</v>
      </c>
      <c r="CC148" s="7">
        <v>2</v>
      </c>
      <c r="CD148" s="7">
        <v>6</v>
      </c>
      <c r="CE148" s="7">
        <v>70</v>
      </c>
      <c r="CF148" s="7">
        <v>0</v>
      </c>
    </row>
    <row r="149" spans="1:84" x14ac:dyDescent="0.25">
      <c r="A149" s="15">
        <v>17</v>
      </c>
      <c r="B149" s="1" t="s">
        <v>213</v>
      </c>
      <c r="C149" s="59" t="s">
        <v>217</v>
      </c>
      <c r="D149" s="8" t="s">
        <v>129</v>
      </c>
      <c r="E149" s="8" t="s">
        <v>125</v>
      </c>
      <c r="F149" s="8" t="s">
        <v>551</v>
      </c>
      <c r="G149" s="8" t="s">
        <v>127</v>
      </c>
      <c r="H149" s="7">
        <v>36143170</v>
      </c>
      <c r="I149" s="3">
        <v>36199184</v>
      </c>
      <c r="J149" s="7">
        <v>1652234</v>
      </c>
      <c r="K149" s="12">
        <v>0</v>
      </c>
      <c r="L149" s="2">
        <v>2768552</v>
      </c>
      <c r="M149" s="12">
        <v>11221444</v>
      </c>
      <c r="N149" s="12">
        <v>0</v>
      </c>
      <c r="O149" s="25">
        <f t="shared" si="23"/>
        <v>13989996</v>
      </c>
      <c r="P149" s="12">
        <v>0</v>
      </c>
      <c r="Q149" s="12">
        <v>5821580</v>
      </c>
      <c r="R149" s="12">
        <v>0</v>
      </c>
      <c r="S149" s="12">
        <f t="shared" si="24"/>
        <v>5821580</v>
      </c>
      <c r="T149" s="7">
        <v>8029866</v>
      </c>
      <c r="U149" s="7">
        <v>4461650</v>
      </c>
      <c r="V149" s="7">
        <v>0</v>
      </c>
      <c r="W149" s="7">
        <v>0</v>
      </c>
      <c r="X149" s="7">
        <v>34639992</v>
      </c>
      <c r="Y149" s="7" t="s">
        <v>336</v>
      </c>
      <c r="Z149" s="26">
        <v>8.5000000000000006E-2</v>
      </c>
      <c r="AA149" s="7">
        <v>0</v>
      </c>
      <c r="AB149" s="26">
        <f>2306790/34639991</f>
        <v>6.6593262105639692E-2</v>
      </c>
      <c r="AC149" s="7">
        <v>2307429</v>
      </c>
      <c r="AD149" s="7">
        <v>0</v>
      </c>
      <c r="AE149" s="7">
        <v>56014</v>
      </c>
      <c r="AF149" s="7">
        <v>1206278</v>
      </c>
      <c r="AG149" s="7">
        <v>95713</v>
      </c>
      <c r="AH149" s="7">
        <v>191788</v>
      </c>
      <c r="AI149" s="7">
        <v>253869</v>
      </c>
      <c r="AJ149" s="7">
        <v>0</v>
      </c>
      <c r="AK149" s="7">
        <v>40386</v>
      </c>
      <c r="AL149" s="7">
        <v>12500</v>
      </c>
      <c r="AM149" s="7">
        <v>2811</v>
      </c>
      <c r="AN149" s="7">
        <v>45468</v>
      </c>
      <c r="AO149" s="7">
        <f>25333+42689+44310</f>
        <v>112332</v>
      </c>
      <c r="AP149" s="7">
        <v>18911</v>
      </c>
      <c r="AQ149" s="7">
        <v>2874</v>
      </c>
      <c r="AR149" s="7">
        <v>608</v>
      </c>
      <c r="AS149" s="7">
        <v>30910</v>
      </c>
      <c r="AT149" s="7">
        <v>72795</v>
      </c>
      <c r="AU149" s="7">
        <v>0</v>
      </c>
      <c r="AV149" s="7">
        <v>2168139</v>
      </c>
      <c r="AW149" s="7">
        <v>2204140</v>
      </c>
      <c r="AX149" s="26">
        <f t="shared" si="22"/>
        <v>0</v>
      </c>
      <c r="AY149" s="7">
        <v>0</v>
      </c>
      <c r="AZ149" s="7">
        <v>0</v>
      </c>
      <c r="BA149" s="7">
        <v>148368</v>
      </c>
      <c r="BB149" s="7">
        <v>0</v>
      </c>
      <c r="BC149" s="7">
        <v>312042</v>
      </c>
      <c r="BD149" s="7">
        <v>0</v>
      </c>
      <c r="BE149" s="7">
        <v>0</v>
      </c>
      <c r="BF149" s="7">
        <v>0</v>
      </c>
      <c r="BG149" s="7">
        <v>7755</v>
      </c>
      <c r="BH149" s="7">
        <v>2787</v>
      </c>
      <c r="BI149" s="7">
        <v>2</v>
      </c>
      <c r="BJ149" s="7"/>
      <c r="BK149" s="7">
        <v>18</v>
      </c>
      <c r="BL149" s="7">
        <v>-148</v>
      </c>
      <c r="BM149" s="7">
        <v>-1258</v>
      </c>
      <c r="BN149" s="7">
        <v>-1987</v>
      </c>
      <c r="BO149" s="7">
        <v>-7</v>
      </c>
      <c r="BP149" s="7">
        <f t="shared" si="25"/>
        <v>7162</v>
      </c>
      <c r="BQ149" s="1">
        <v>191</v>
      </c>
      <c r="BR149" s="7">
        <v>136</v>
      </c>
      <c r="BS149" s="7">
        <v>18</v>
      </c>
      <c r="BT149" s="7">
        <v>1719</v>
      </c>
      <c r="BU149" s="7">
        <v>84</v>
      </c>
      <c r="BV149" s="7">
        <v>30</v>
      </c>
      <c r="BW149" s="7">
        <v>0</v>
      </c>
      <c r="BX149" s="7">
        <v>0</v>
      </c>
      <c r="BY149" s="7">
        <v>12</v>
      </c>
      <c r="BZ149" s="7">
        <v>95</v>
      </c>
      <c r="CA149" s="7">
        <v>2</v>
      </c>
      <c r="CB149" s="7">
        <v>4</v>
      </c>
      <c r="CC149" s="7">
        <v>7</v>
      </c>
      <c r="CD149" s="7">
        <v>72</v>
      </c>
      <c r="CE149" s="7">
        <v>812</v>
      </c>
      <c r="CF149" s="7">
        <v>18</v>
      </c>
    </row>
    <row r="150" spans="1:84" x14ac:dyDescent="0.25">
      <c r="A150" s="15">
        <v>17</v>
      </c>
      <c r="B150" s="8" t="s">
        <v>249</v>
      </c>
      <c r="C150" s="57" t="s">
        <v>460</v>
      </c>
      <c r="D150" s="8" t="s">
        <v>283</v>
      </c>
      <c r="E150" s="8" t="s">
        <v>125</v>
      </c>
      <c r="F150" s="8" t="s">
        <v>234</v>
      </c>
      <c r="G150" s="8" t="s">
        <v>127</v>
      </c>
      <c r="H150" s="7">
        <v>16128427</v>
      </c>
      <c r="I150" s="7">
        <v>16161913</v>
      </c>
      <c r="J150" s="7">
        <v>949347</v>
      </c>
      <c r="K150" s="12">
        <v>194801</v>
      </c>
      <c r="L150" s="12">
        <v>2298688</v>
      </c>
      <c r="M150" s="12">
        <v>3561032</v>
      </c>
      <c r="N150" s="12">
        <v>2032920</v>
      </c>
      <c r="O150" s="25">
        <f t="shared" si="23"/>
        <v>8087441</v>
      </c>
      <c r="P150" s="12">
        <v>22484</v>
      </c>
      <c r="Q150" s="12">
        <v>463301</v>
      </c>
      <c r="R150" s="12">
        <v>886233</v>
      </c>
      <c r="S150" s="12">
        <f t="shared" si="24"/>
        <v>1372018</v>
      </c>
      <c r="T150" s="7">
        <v>3269765</v>
      </c>
      <c r="U150" s="7">
        <v>1302800</v>
      </c>
      <c r="V150" s="7">
        <v>32641</v>
      </c>
      <c r="W150" s="7">
        <v>0</v>
      </c>
      <c r="X150" s="7">
        <v>15256029</v>
      </c>
      <c r="Y150" s="7" t="s">
        <v>531</v>
      </c>
      <c r="Z150" s="26">
        <v>0.11169999999999999</v>
      </c>
      <c r="AA150" s="7">
        <v>0</v>
      </c>
      <c r="AB150" s="26">
        <f>1164788/15114312</f>
        <v>7.7065234593542864E-2</v>
      </c>
      <c r="AC150" s="7">
        <v>1170537</v>
      </c>
      <c r="AD150" s="7">
        <v>0</v>
      </c>
      <c r="AE150" s="7">
        <f>33486+382</f>
        <v>33868</v>
      </c>
      <c r="AF150" s="7">
        <v>481086</v>
      </c>
      <c r="AG150" s="7">
        <v>37720</v>
      </c>
      <c r="AH150" s="7">
        <v>83195</v>
      </c>
      <c r="AI150" s="7">
        <f>54221+9715</f>
        <v>63936</v>
      </c>
      <c r="AJ150" s="7">
        <v>18395</v>
      </c>
      <c r="AK150" s="7">
        <v>42484</v>
      </c>
      <c r="AL150" s="7">
        <v>9250</v>
      </c>
      <c r="AM150" s="7">
        <v>59132</v>
      </c>
      <c r="AN150" s="7">
        <v>59686</v>
      </c>
      <c r="AO150" s="7">
        <f>11252+22970+58955</f>
        <v>93177</v>
      </c>
      <c r="AP150" s="7">
        <v>8353</v>
      </c>
      <c r="AQ150" s="7">
        <v>1134</v>
      </c>
      <c r="AR150" s="7">
        <v>0</v>
      </c>
      <c r="AS150" s="7">
        <v>4508</v>
      </c>
      <c r="AT150" s="7">
        <v>22647</v>
      </c>
      <c r="AU150" s="7">
        <v>0</v>
      </c>
      <c r="AV150" s="7">
        <v>1068330</v>
      </c>
      <c r="AW150" s="7">
        <v>1039304</v>
      </c>
      <c r="AX150" s="26">
        <f t="shared" si="22"/>
        <v>0</v>
      </c>
      <c r="AY150" s="7">
        <v>13876</v>
      </c>
      <c r="AZ150" s="7">
        <v>0</v>
      </c>
      <c r="BA150" s="7">
        <v>148368</v>
      </c>
      <c r="BB150" s="7">
        <v>0</v>
      </c>
      <c r="BC150" s="7">
        <v>121156</v>
      </c>
      <c r="BD150" s="7">
        <v>0</v>
      </c>
      <c r="BE150" s="7">
        <v>0</v>
      </c>
      <c r="BF150" s="7">
        <v>0</v>
      </c>
      <c r="BG150" s="7">
        <v>2435</v>
      </c>
      <c r="BH150" s="7">
        <v>1615</v>
      </c>
      <c r="BI150" s="7">
        <v>332</v>
      </c>
      <c r="BJ150" s="7"/>
      <c r="BK150" s="7">
        <v>0</v>
      </c>
      <c r="BL150" s="7">
        <v>-284</v>
      </c>
      <c r="BM150" s="7">
        <v>-832</v>
      </c>
      <c r="BN150" s="7">
        <v>-578</v>
      </c>
      <c r="BO150" s="7">
        <v>-3</v>
      </c>
      <c r="BP150" s="7">
        <f t="shared" si="25"/>
        <v>2685</v>
      </c>
      <c r="BQ150" s="1">
        <v>30</v>
      </c>
      <c r="BR150" s="7">
        <v>192</v>
      </c>
      <c r="BS150" s="7">
        <v>10</v>
      </c>
      <c r="BT150" s="7">
        <v>153</v>
      </c>
      <c r="BU150" s="7">
        <v>69</v>
      </c>
      <c r="BV150" s="7">
        <v>2</v>
      </c>
      <c r="BW150" s="7">
        <v>57</v>
      </c>
      <c r="BX150" s="7">
        <v>0</v>
      </c>
      <c r="BY150" s="7">
        <v>33</v>
      </c>
      <c r="BZ150" s="7">
        <v>71</v>
      </c>
      <c r="CA150" s="7">
        <v>1</v>
      </c>
      <c r="CB150" s="7">
        <v>193</v>
      </c>
      <c r="CC150" s="7">
        <v>1</v>
      </c>
      <c r="CD150" s="7">
        <v>58</v>
      </c>
      <c r="CE150" s="7">
        <v>117</v>
      </c>
      <c r="CF150" s="7">
        <v>46</v>
      </c>
    </row>
    <row r="151" spans="1:84" x14ac:dyDescent="0.25">
      <c r="A151" s="15">
        <v>17</v>
      </c>
      <c r="B151" s="8" t="s">
        <v>311</v>
      </c>
      <c r="C151" s="57" t="s">
        <v>659</v>
      </c>
      <c r="D151" s="8" t="s">
        <v>509</v>
      </c>
      <c r="E151" s="8" t="s">
        <v>125</v>
      </c>
      <c r="F151" s="8" t="s">
        <v>234</v>
      </c>
      <c r="G151" s="8" t="s">
        <v>127</v>
      </c>
      <c r="H151" s="7">
        <v>13916582</v>
      </c>
      <c r="I151" s="7">
        <v>13929910</v>
      </c>
      <c r="J151" s="7">
        <v>556870</v>
      </c>
      <c r="K151" s="12">
        <v>111016</v>
      </c>
      <c r="L151" s="12">
        <v>2245618</v>
      </c>
      <c r="M151" s="12">
        <v>4371136</v>
      </c>
      <c r="N151" s="12">
        <v>0</v>
      </c>
      <c r="O151" s="25">
        <f t="shared" si="23"/>
        <v>6727770</v>
      </c>
      <c r="P151" s="12">
        <v>0</v>
      </c>
      <c r="Q151" s="12">
        <v>1420374</v>
      </c>
      <c r="R151" s="12">
        <v>0</v>
      </c>
      <c r="S151" s="12">
        <f t="shared" si="24"/>
        <v>1420374</v>
      </c>
      <c r="T151" s="7">
        <v>3092947</v>
      </c>
      <c r="U151" s="7">
        <v>984000</v>
      </c>
      <c r="V151" s="7">
        <v>18364</v>
      </c>
      <c r="W151" s="7">
        <v>0</v>
      </c>
      <c r="X151" s="7">
        <v>13321977</v>
      </c>
      <c r="Y151" s="7" t="s">
        <v>531</v>
      </c>
      <c r="Z151" s="26">
        <v>5.2299999999999999E-2</v>
      </c>
      <c r="AA151" s="7">
        <v>111016</v>
      </c>
      <c r="AB151" s="26">
        <f>1051196/13174507</f>
        <v>7.9790158371770573E-2</v>
      </c>
      <c r="AC151" s="7">
        <v>1051169</v>
      </c>
      <c r="AD151" s="7">
        <v>0</v>
      </c>
      <c r="AE151" s="7">
        <f>13328+857</f>
        <v>14185</v>
      </c>
      <c r="AF151" s="7">
        <v>401558</v>
      </c>
      <c r="AG151" s="7">
        <v>33068</v>
      </c>
      <c r="AH151" s="7">
        <v>84640</v>
      </c>
      <c r="AI151" s="7">
        <f>94176+4399</f>
        <v>98575</v>
      </c>
      <c r="AJ151" s="7">
        <v>3095</v>
      </c>
      <c r="AK151" s="7">
        <v>47331</v>
      </c>
      <c r="AL151" s="7">
        <v>9250</v>
      </c>
      <c r="AM151" s="7">
        <v>35478</v>
      </c>
      <c r="AN151" s="7">
        <v>14136</v>
      </c>
      <c r="AO151" s="7">
        <f>14416+8628+39672</f>
        <v>62716</v>
      </c>
      <c r="AP151" s="7">
        <v>18670</v>
      </c>
      <c r="AQ151" s="7">
        <v>1087</v>
      </c>
      <c r="AR151" s="7">
        <v>0</v>
      </c>
      <c r="AS151" s="7">
        <v>7451</v>
      </c>
      <c r="AT151" s="7">
        <v>57582</v>
      </c>
      <c r="AU151" s="7">
        <v>0</v>
      </c>
      <c r="AV151" s="7">
        <v>914533</v>
      </c>
      <c r="AW151" s="7">
        <v>1006260</v>
      </c>
      <c r="AX151" s="26">
        <f t="shared" si="22"/>
        <v>0</v>
      </c>
      <c r="AY151" s="7">
        <v>0</v>
      </c>
      <c r="AZ151" s="7">
        <v>0</v>
      </c>
      <c r="BA151" s="7">
        <v>148368</v>
      </c>
      <c r="BB151" s="7">
        <v>0</v>
      </c>
      <c r="BC151" s="7">
        <v>140304</v>
      </c>
      <c r="BD151" s="7">
        <v>0</v>
      </c>
      <c r="BE151" s="7">
        <v>0</v>
      </c>
      <c r="BF151" s="7">
        <v>0</v>
      </c>
      <c r="BG151" s="7">
        <v>2445</v>
      </c>
      <c r="BH151" s="7">
        <v>938</v>
      </c>
      <c r="BI151" s="7">
        <v>0</v>
      </c>
      <c r="BJ151" s="7"/>
      <c r="BK151" s="7">
        <v>0</v>
      </c>
      <c r="BL151" s="7">
        <v>-94</v>
      </c>
      <c r="BM151" s="7">
        <v>-480</v>
      </c>
      <c r="BN151" s="7">
        <v>-478</v>
      </c>
      <c r="BO151" s="7">
        <v>0</v>
      </c>
      <c r="BP151" s="7">
        <f t="shared" si="25"/>
        <v>2331</v>
      </c>
      <c r="BQ151" s="1">
        <v>10</v>
      </c>
      <c r="BR151" s="7">
        <v>170</v>
      </c>
      <c r="BS151" s="7">
        <v>25</v>
      </c>
      <c r="BT151" s="7">
        <v>172</v>
      </c>
      <c r="BU151" s="7">
        <v>58</v>
      </c>
      <c r="BV151" s="7">
        <v>0</v>
      </c>
      <c r="BW151" s="7">
        <v>12</v>
      </c>
      <c r="BX151" s="7">
        <v>8</v>
      </c>
      <c r="BY151" s="7">
        <v>28</v>
      </c>
      <c r="BZ151" s="7">
        <v>22</v>
      </c>
      <c r="CA151" s="7">
        <v>0</v>
      </c>
      <c r="CB151" s="7">
        <v>123</v>
      </c>
      <c r="CC151" s="7">
        <v>15</v>
      </c>
      <c r="CD151" s="7">
        <v>83</v>
      </c>
      <c r="CE151" s="7">
        <v>110</v>
      </c>
      <c r="CF151" s="7">
        <v>0</v>
      </c>
    </row>
    <row r="152" spans="1:84" x14ac:dyDescent="0.25">
      <c r="A152" s="15">
        <v>17</v>
      </c>
      <c r="B152" s="8" t="s">
        <v>401</v>
      </c>
      <c r="C152" s="57" t="s">
        <v>391</v>
      </c>
      <c r="D152" s="8" t="s">
        <v>660</v>
      </c>
      <c r="E152" s="8" t="s">
        <v>125</v>
      </c>
      <c r="F152" s="8" t="s">
        <v>234</v>
      </c>
      <c r="G152" s="8" t="s">
        <v>127</v>
      </c>
      <c r="H152" s="7">
        <v>16145161</v>
      </c>
      <c r="I152" s="7">
        <v>16166734</v>
      </c>
      <c r="J152" s="7">
        <v>619240</v>
      </c>
      <c r="K152" s="12">
        <v>0</v>
      </c>
      <c r="L152" s="12">
        <v>1109678</v>
      </c>
      <c r="M152" s="12">
        <v>6310999</v>
      </c>
      <c r="N152" s="12">
        <v>0</v>
      </c>
      <c r="O152" s="25">
        <f t="shared" si="23"/>
        <v>7420677</v>
      </c>
      <c r="P152" s="12">
        <v>0</v>
      </c>
      <c r="Q152" s="12">
        <v>1752682</v>
      </c>
      <c r="R152" s="12">
        <v>0</v>
      </c>
      <c r="S152" s="12">
        <f t="shared" si="24"/>
        <v>1752682</v>
      </c>
      <c r="T152" s="7">
        <v>3659676</v>
      </c>
      <c r="U152" s="7">
        <v>1222602</v>
      </c>
      <c r="V152" s="7">
        <v>32817</v>
      </c>
      <c r="W152" s="7">
        <v>1006</v>
      </c>
      <c r="X152" s="7">
        <v>15526050</v>
      </c>
      <c r="Y152" s="7" t="s">
        <v>266</v>
      </c>
      <c r="Z152" s="26">
        <v>5.8599999999999999E-2</v>
      </c>
      <c r="AA152" s="7">
        <v>0</v>
      </c>
      <c r="AB152" s="26">
        <f>1408428/15424381</f>
        <v>9.1311800454099257E-2</v>
      </c>
      <c r="AC152" s="7">
        <v>1408141</v>
      </c>
      <c r="AD152" s="7">
        <v>0</v>
      </c>
      <c r="AE152" s="7">
        <f>21574+497</f>
        <v>22071</v>
      </c>
      <c r="AF152" s="7">
        <v>654687</v>
      </c>
      <c r="AG152" s="7">
        <v>54602</v>
      </c>
      <c r="AH152" s="7">
        <v>127558</v>
      </c>
      <c r="AI152" s="7">
        <v>112584</v>
      </c>
      <c r="AJ152" s="7">
        <v>0</v>
      </c>
      <c r="AK152" s="7">
        <v>38834</v>
      </c>
      <c r="AL152" s="7">
        <v>17250</v>
      </c>
      <c r="AM152" s="7">
        <v>16127</v>
      </c>
      <c r="AN152" s="7">
        <v>23332</v>
      </c>
      <c r="AO152" s="7">
        <f>17907+18190+17343</f>
        <v>53440</v>
      </c>
      <c r="AP152" s="7">
        <v>14803</v>
      </c>
      <c r="AQ152" s="7">
        <v>1947</v>
      </c>
      <c r="AR152" s="7">
        <v>15204</v>
      </c>
      <c r="AS152" s="7">
        <v>32035</v>
      </c>
      <c r="AT152" s="7">
        <v>6659</v>
      </c>
      <c r="AU152" s="7">
        <v>0</v>
      </c>
      <c r="AV152" s="7">
        <v>1221098</v>
      </c>
      <c r="AW152" s="7">
        <v>1257340</v>
      </c>
      <c r="AX152" s="26">
        <f t="shared" si="22"/>
        <v>0</v>
      </c>
      <c r="AY152" s="7">
        <v>0</v>
      </c>
      <c r="AZ152" s="7">
        <v>0</v>
      </c>
      <c r="BA152" s="7">
        <v>152922</v>
      </c>
      <c r="BB152" s="7">
        <v>4554</v>
      </c>
      <c r="BC152" s="7">
        <v>164834</v>
      </c>
      <c r="BD152" s="7">
        <v>0</v>
      </c>
      <c r="BE152" s="7">
        <v>0</v>
      </c>
      <c r="BF152" s="7">
        <v>0</v>
      </c>
      <c r="BG152" s="7">
        <v>2541</v>
      </c>
      <c r="BH152" s="7">
        <v>1255</v>
      </c>
      <c r="BI152" s="7">
        <v>0</v>
      </c>
      <c r="BJ152" s="7"/>
      <c r="BK152" s="7">
        <f>1-2</f>
        <v>-1</v>
      </c>
      <c r="BL152" s="7">
        <v>-98</v>
      </c>
      <c r="BM152" s="7">
        <v>-696</v>
      </c>
      <c r="BN152" s="7">
        <v>-469</v>
      </c>
      <c r="BO152" s="7">
        <v>-5</v>
      </c>
      <c r="BP152" s="7">
        <f t="shared" si="25"/>
        <v>2527</v>
      </c>
      <c r="BQ152" s="1">
        <v>25</v>
      </c>
      <c r="BR152" s="7">
        <v>193</v>
      </c>
      <c r="BS152" s="7">
        <v>51</v>
      </c>
      <c r="BT152" s="7">
        <v>252</v>
      </c>
      <c r="BU152" s="7">
        <v>42</v>
      </c>
      <c r="BV152" s="7">
        <v>0</v>
      </c>
      <c r="BW152" s="7">
        <v>10</v>
      </c>
      <c r="BX152" s="7">
        <v>6</v>
      </c>
      <c r="BY152" s="7">
        <v>18</v>
      </c>
      <c r="BZ152" s="7">
        <v>34</v>
      </c>
      <c r="CA152" s="7">
        <v>6</v>
      </c>
      <c r="CB152" s="7">
        <v>122</v>
      </c>
      <c r="CC152" s="7">
        <v>8</v>
      </c>
      <c r="CD152" s="7">
        <v>75</v>
      </c>
      <c r="CE152" s="7">
        <v>214</v>
      </c>
      <c r="CF152" s="7">
        <v>16</v>
      </c>
    </row>
    <row r="153" spans="1:84" x14ac:dyDescent="0.25">
      <c r="A153" s="15">
        <v>17</v>
      </c>
      <c r="B153" s="8" t="s">
        <v>449</v>
      </c>
      <c r="C153" s="57" t="s">
        <v>443</v>
      </c>
      <c r="D153" s="8" t="s">
        <v>660</v>
      </c>
      <c r="E153" s="8" t="s">
        <v>125</v>
      </c>
      <c r="F153" s="8" t="s">
        <v>234</v>
      </c>
      <c r="G153" s="8" t="s">
        <v>127</v>
      </c>
      <c r="H153" s="7">
        <v>14583769</v>
      </c>
      <c r="I153" s="7">
        <v>14598077</v>
      </c>
      <c r="J153" s="7">
        <v>491909</v>
      </c>
      <c r="K153" s="12">
        <v>0</v>
      </c>
      <c r="L153" s="12">
        <v>2754347</v>
      </c>
      <c r="M153" s="12">
        <v>3988010</v>
      </c>
      <c r="N153" s="12">
        <v>0</v>
      </c>
      <c r="O153" s="25">
        <f t="shared" si="23"/>
        <v>6742357</v>
      </c>
      <c r="P153" s="12">
        <v>0</v>
      </c>
      <c r="Q153" s="12">
        <v>1634647</v>
      </c>
      <c r="R153" s="12">
        <v>0</v>
      </c>
      <c r="S153" s="12">
        <f t="shared" si="24"/>
        <v>1634647</v>
      </c>
      <c r="T153" s="7">
        <v>3244778</v>
      </c>
      <c r="U153" s="7">
        <v>1164237</v>
      </c>
      <c r="V153" s="7">
        <v>25855</v>
      </c>
      <c r="W153" s="7">
        <v>13223</v>
      </c>
      <c r="X153" s="7">
        <v>14140446</v>
      </c>
      <c r="Y153" s="7" t="s">
        <v>266</v>
      </c>
      <c r="Z153" s="26">
        <v>5.3400000000000003E-2</v>
      </c>
      <c r="AA153" s="7">
        <v>0</v>
      </c>
      <c r="AB153" s="26">
        <f>1293370/14081153</f>
        <v>9.1851143155677661E-2</v>
      </c>
      <c r="AC153" s="7">
        <v>1290670</v>
      </c>
      <c r="AD153" s="7">
        <v>0</v>
      </c>
      <c r="AE153" s="7">
        <f>14308+568</f>
        <v>14876</v>
      </c>
      <c r="AF153" s="7">
        <v>637214</v>
      </c>
      <c r="AG153" s="7">
        <v>50301</v>
      </c>
      <c r="AH153" s="7">
        <v>101718</v>
      </c>
      <c r="AI153" s="7">
        <v>110404</v>
      </c>
      <c r="AJ153" s="7">
        <v>2458</v>
      </c>
      <c r="AK153" s="7">
        <v>32665</v>
      </c>
      <c r="AL153" s="7">
        <v>9250</v>
      </c>
      <c r="AM153" s="7">
        <v>8353</v>
      </c>
      <c r="AN153" s="7">
        <v>43336</v>
      </c>
      <c r="AO153" s="7">
        <f>24757+25965+20937</f>
        <v>71659</v>
      </c>
      <c r="AP153" s="7">
        <v>12488</v>
      </c>
      <c r="AQ153" s="7">
        <v>2114</v>
      </c>
      <c r="AR153" s="7">
        <v>15780</v>
      </c>
      <c r="AS153" s="7">
        <v>18007</v>
      </c>
      <c r="AT153" s="7">
        <v>5669</v>
      </c>
      <c r="AU153" s="7">
        <v>0</v>
      </c>
      <c r="AV153" s="7">
        <v>1185625</v>
      </c>
      <c r="AW153" s="7">
        <v>1251698</v>
      </c>
      <c r="AX153" s="26">
        <f t="shared" si="22"/>
        <v>0</v>
      </c>
      <c r="AY153" s="7">
        <v>2139</v>
      </c>
      <c r="AZ153" s="7">
        <v>1000</v>
      </c>
      <c r="BA153" s="7">
        <v>148368</v>
      </c>
      <c r="BB153" s="7">
        <v>0</v>
      </c>
      <c r="BC153" s="7">
        <v>144634</v>
      </c>
      <c r="BD153" s="7">
        <v>0</v>
      </c>
      <c r="BE153" s="7">
        <v>0</v>
      </c>
      <c r="BF153" s="7">
        <v>0</v>
      </c>
      <c r="BG153" s="7">
        <v>2626</v>
      </c>
      <c r="BH153" s="7">
        <v>1198</v>
      </c>
      <c r="BI153" s="7">
        <v>0</v>
      </c>
      <c r="BJ153" s="7"/>
      <c r="BK153" s="7">
        <f>5-1</f>
        <v>4</v>
      </c>
      <c r="BL153" s="7">
        <v>-116</v>
      </c>
      <c r="BM153" s="7">
        <v>-657</v>
      </c>
      <c r="BN153" s="7">
        <v>-313</v>
      </c>
      <c r="BO153" s="7">
        <v>0</v>
      </c>
      <c r="BP153" s="7">
        <f t="shared" si="25"/>
        <v>2742</v>
      </c>
      <c r="BQ153" s="1">
        <v>17</v>
      </c>
      <c r="BR153" s="7">
        <v>119</v>
      </c>
      <c r="BS153" s="7">
        <v>16</v>
      </c>
      <c r="BT153" s="7">
        <v>113</v>
      </c>
      <c r="BU153" s="7">
        <v>62</v>
      </c>
      <c r="BV153" s="7">
        <v>3</v>
      </c>
      <c r="BW153" s="7">
        <v>9</v>
      </c>
      <c r="BX153" s="7">
        <v>5</v>
      </c>
      <c r="BY153" s="7">
        <v>22</v>
      </c>
      <c r="BZ153" s="7">
        <v>44</v>
      </c>
      <c r="CA153" s="7">
        <v>0</v>
      </c>
      <c r="CB153" s="7">
        <v>112</v>
      </c>
      <c r="CC153" s="7">
        <v>7</v>
      </c>
      <c r="CD153" s="7">
        <v>82</v>
      </c>
      <c r="CE153" s="7">
        <v>165</v>
      </c>
      <c r="CF153" s="7">
        <v>0</v>
      </c>
    </row>
    <row r="154" spans="1:84" x14ac:dyDescent="0.25">
      <c r="A154" s="15">
        <v>17</v>
      </c>
      <c r="B154" s="8" t="s">
        <v>479</v>
      </c>
      <c r="C154" s="57" t="s">
        <v>412</v>
      </c>
      <c r="D154" s="8" t="s">
        <v>437</v>
      </c>
      <c r="E154" s="8" t="s">
        <v>556</v>
      </c>
      <c r="F154" s="8"/>
      <c r="G154" s="8" t="s">
        <v>537</v>
      </c>
      <c r="H154" s="7">
        <v>32819498</v>
      </c>
      <c r="I154" s="7">
        <v>32867263</v>
      </c>
      <c r="J154" s="7">
        <v>1812578</v>
      </c>
      <c r="K154" s="12">
        <v>4098</v>
      </c>
      <c r="L154" s="12">
        <v>3657320</v>
      </c>
      <c r="M154" s="12">
        <v>5950737</v>
      </c>
      <c r="N154" s="12">
        <v>0</v>
      </c>
      <c r="O154" s="25">
        <f t="shared" si="23"/>
        <v>9612155</v>
      </c>
      <c r="P154" s="12">
        <v>214732</v>
      </c>
      <c r="Q154" s="12">
        <v>4279250</v>
      </c>
      <c r="R154" s="12">
        <v>0</v>
      </c>
      <c r="S154" s="12">
        <f t="shared" si="24"/>
        <v>4493982</v>
      </c>
      <c r="T154" s="7">
        <v>8215767</v>
      </c>
      <c r="U154" s="7">
        <v>4895238</v>
      </c>
      <c r="V154" s="7">
        <v>158678</v>
      </c>
      <c r="W154" s="7">
        <v>0</v>
      </c>
      <c r="X154" s="7">
        <v>29285591</v>
      </c>
      <c r="Y154" s="7" t="s">
        <v>531</v>
      </c>
      <c r="Z154" s="26">
        <v>0.21829999999999999</v>
      </c>
      <c r="AA154" s="7">
        <v>0</v>
      </c>
      <c r="AB154" s="26">
        <f>1803320/29085803</f>
        <v>6.2000007357541409E-2</v>
      </c>
      <c r="AC154" s="7">
        <v>1805093</v>
      </c>
      <c r="AD154" s="7">
        <v>0</v>
      </c>
      <c r="AE154" s="7">
        <f>47765+3480</f>
        <v>51245</v>
      </c>
      <c r="AF154" s="7">
        <v>1146406</v>
      </c>
      <c r="AG154" s="7">
        <v>91079</v>
      </c>
      <c r="AH154" s="7">
        <v>171719</v>
      </c>
      <c r="AI154" s="7">
        <v>140773</v>
      </c>
      <c r="AJ154" s="7">
        <v>750</v>
      </c>
      <c r="AK154" s="7">
        <v>39303</v>
      </c>
      <c r="AL154" s="7">
        <v>11500</v>
      </c>
      <c r="AM154" s="7">
        <v>29248</v>
      </c>
      <c r="AN154" s="7">
        <v>0</v>
      </c>
      <c r="AO154" s="7">
        <f>33688+61056+43978</f>
        <v>138722</v>
      </c>
      <c r="AP154" s="7">
        <v>16938</v>
      </c>
      <c r="AQ154" s="7">
        <v>3075</v>
      </c>
      <c r="AR154" s="7">
        <v>0</v>
      </c>
      <c r="AS154" s="7">
        <v>23245</v>
      </c>
      <c r="AT154" s="7">
        <v>9406</v>
      </c>
      <c r="AU154" s="7">
        <v>0</v>
      </c>
      <c r="AV154" s="7">
        <v>1896428</v>
      </c>
      <c r="AW154" s="7">
        <v>1903443</v>
      </c>
      <c r="AX154" s="26">
        <f t="shared" si="22"/>
        <v>0</v>
      </c>
      <c r="AY154" s="7">
        <v>1354</v>
      </c>
      <c r="AZ154" s="7">
        <v>0</v>
      </c>
      <c r="BA154" s="7">
        <v>148368</v>
      </c>
      <c r="BB154" s="7">
        <v>0</v>
      </c>
      <c r="BC154" s="7">
        <v>247995</v>
      </c>
      <c r="BD154" s="7">
        <v>0</v>
      </c>
      <c r="BE154" s="7">
        <v>0</v>
      </c>
      <c r="BF154" s="7">
        <v>0</v>
      </c>
      <c r="BG154" s="7">
        <v>9119</v>
      </c>
      <c r="BH154" s="7">
        <v>4322</v>
      </c>
      <c r="BI154" s="7">
        <v>0</v>
      </c>
      <c r="BJ154" s="7"/>
      <c r="BK154" s="7">
        <v>6</v>
      </c>
      <c r="BL154" s="7">
        <v>-448</v>
      </c>
      <c r="BM154" s="7">
        <v>-1919</v>
      </c>
      <c r="BN154" s="7">
        <v>-1104</v>
      </c>
      <c r="BO154" s="7">
        <v>-2</v>
      </c>
      <c r="BP154" s="7">
        <f t="shared" si="25"/>
        <v>9974</v>
      </c>
      <c r="BQ154" s="1">
        <v>181</v>
      </c>
      <c r="BR154" s="7">
        <v>145</v>
      </c>
      <c r="BS154" s="7">
        <v>97</v>
      </c>
      <c r="BT154" s="7">
        <v>661</v>
      </c>
      <c r="BU154" s="7">
        <v>187</v>
      </c>
      <c r="BV154" s="7">
        <v>14</v>
      </c>
      <c r="BW154" s="7">
        <v>1</v>
      </c>
      <c r="BX154" s="7">
        <v>3</v>
      </c>
      <c r="BY154" s="7">
        <v>62</v>
      </c>
      <c r="BZ154" s="7">
        <v>237</v>
      </c>
      <c r="CA154" s="7">
        <v>2</v>
      </c>
      <c r="CB154" s="7">
        <v>7</v>
      </c>
      <c r="CC154" s="7">
        <v>7</v>
      </c>
      <c r="CD154" s="7">
        <v>72</v>
      </c>
      <c r="CE154" s="7">
        <v>673</v>
      </c>
      <c r="CF154" s="7">
        <v>44</v>
      </c>
    </row>
    <row r="155" spans="1:84" x14ac:dyDescent="0.25">
      <c r="A155" s="15">
        <v>17</v>
      </c>
      <c r="B155" s="8" t="s">
        <v>491</v>
      </c>
      <c r="C155" s="57" t="s">
        <v>493</v>
      </c>
      <c r="D155" s="8" t="s">
        <v>668</v>
      </c>
      <c r="E155" s="8" t="s">
        <v>125</v>
      </c>
      <c r="F155" s="8" t="s">
        <v>551</v>
      </c>
      <c r="G155" s="8" t="s">
        <v>127</v>
      </c>
      <c r="H155" s="7">
        <v>6198293</v>
      </c>
      <c r="I155" s="7">
        <v>6200205</v>
      </c>
      <c r="J155" s="7">
        <v>214959</v>
      </c>
      <c r="K155" s="12">
        <v>0</v>
      </c>
      <c r="L155" s="12">
        <v>779209</v>
      </c>
      <c r="M155" s="12">
        <v>1249243</v>
      </c>
      <c r="N155" s="12">
        <v>0</v>
      </c>
      <c r="O155" s="25">
        <f t="shared" si="23"/>
        <v>2028452</v>
      </c>
      <c r="P155" s="12">
        <v>0</v>
      </c>
      <c r="Q155" s="12">
        <v>23441</v>
      </c>
      <c r="R155" s="12">
        <v>1370047</v>
      </c>
      <c r="S155" s="12">
        <f t="shared" si="24"/>
        <v>1393488</v>
      </c>
      <c r="T155" s="7">
        <v>1681688</v>
      </c>
      <c r="U155" s="7">
        <v>203172</v>
      </c>
      <c r="V155" s="7">
        <v>0</v>
      </c>
      <c r="W155" s="7">
        <v>0</v>
      </c>
      <c r="X155" s="7">
        <v>5874083</v>
      </c>
      <c r="Y155" s="7" t="s">
        <v>531</v>
      </c>
      <c r="Z155" s="26">
        <v>6.0699999999999997E-2</v>
      </c>
      <c r="AA155" s="7">
        <v>0</v>
      </c>
      <c r="AB155" s="26">
        <f>536895/5868839</f>
        <v>9.1482318734591284E-2</v>
      </c>
      <c r="AC155" s="7">
        <v>536366</v>
      </c>
      <c r="AD155" s="7">
        <v>0</v>
      </c>
      <c r="AE155" s="7">
        <f>1912+177</f>
        <v>2089</v>
      </c>
      <c r="AF155" s="7">
        <v>158147</v>
      </c>
      <c r="AG155" s="7">
        <v>15689</v>
      </c>
      <c r="AH155" s="7">
        <v>35771</v>
      </c>
      <c r="AI155" s="7">
        <f>38509+770</f>
        <v>39279</v>
      </c>
      <c r="AJ155" s="7">
        <v>1277</v>
      </c>
      <c r="AK155" s="7">
        <v>22054</v>
      </c>
      <c r="AL155" s="7">
        <v>9250</v>
      </c>
      <c r="AM155" s="7">
        <v>400</v>
      </c>
      <c r="AN155" s="7">
        <v>4195</v>
      </c>
      <c r="AO155" s="7">
        <f>11460+6769+17039</f>
        <v>35268</v>
      </c>
      <c r="AP155" s="7">
        <v>6025</v>
      </c>
      <c r="AQ155" s="7">
        <v>1949</v>
      </c>
      <c r="AR155" s="7">
        <v>0</v>
      </c>
      <c r="AS155" s="7">
        <v>22084</v>
      </c>
      <c r="AT155" s="7">
        <v>12068</v>
      </c>
      <c r="AU155" s="7">
        <v>0</v>
      </c>
      <c r="AV155" s="7">
        <v>410162</v>
      </c>
      <c r="AW155" s="7">
        <v>409646</v>
      </c>
      <c r="AX155" s="26">
        <f t="shared" si="22"/>
        <v>0</v>
      </c>
      <c r="AY155" s="7">
        <v>3612</v>
      </c>
      <c r="AZ155" s="7">
        <v>0</v>
      </c>
      <c r="BA155" s="7">
        <v>148368</v>
      </c>
      <c r="BB155" s="7">
        <v>0</v>
      </c>
      <c r="BC155" s="7">
        <v>52407</v>
      </c>
      <c r="BD155" s="7">
        <v>0</v>
      </c>
      <c r="BE155" s="7">
        <v>0</v>
      </c>
      <c r="BF155" s="7">
        <v>0</v>
      </c>
      <c r="BG155" s="7">
        <v>971</v>
      </c>
      <c r="BH155" s="7">
        <v>313</v>
      </c>
      <c r="BI155" s="7">
        <v>0</v>
      </c>
      <c r="BJ155" s="7"/>
      <c r="BK155" s="7">
        <v>4</v>
      </c>
      <c r="BL155" s="7">
        <v>-38</v>
      </c>
      <c r="BM155" s="7">
        <v>-126</v>
      </c>
      <c r="BN155" s="7">
        <v>-230</v>
      </c>
      <c r="BO155" s="7">
        <v>0</v>
      </c>
      <c r="BP155" s="7">
        <f t="shared" si="25"/>
        <v>894</v>
      </c>
      <c r="BQ155" s="1">
        <v>0</v>
      </c>
      <c r="BR155" s="7">
        <v>34</v>
      </c>
      <c r="BS155" s="7">
        <v>10</v>
      </c>
      <c r="BT155" s="7">
        <v>106</v>
      </c>
      <c r="BU155" s="7">
        <v>80</v>
      </c>
      <c r="BV155" s="7">
        <v>0</v>
      </c>
      <c r="BW155" s="7">
        <v>0</v>
      </c>
      <c r="BX155" s="7">
        <v>2</v>
      </c>
      <c r="BY155" s="7">
        <v>10</v>
      </c>
      <c r="BZ155" s="7">
        <v>8</v>
      </c>
      <c r="CA155" s="7">
        <v>0</v>
      </c>
      <c r="CB155" s="7">
        <v>15</v>
      </c>
      <c r="CC155" s="7">
        <v>4</v>
      </c>
      <c r="CD155" s="7">
        <v>10</v>
      </c>
      <c r="CE155" s="7">
        <v>24</v>
      </c>
      <c r="CF155" s="7">
        <v>0</v>
      </c>
    </row>
    <row r="156" spans="1:84" x14ac:dyDescent="0.25">
      <c r="A156" s="15">
        <v>17</v>
      </c>
      <c r="B156" s="8" t="s">
        <v>671</v>
      </c>
      <c r="C156" s="57" t="s">
        <v>43</v>
      </c>
      <c r="D156" s="8" t="s">
        <v>633</v>
      </c>
      <c r="E156" s="8" t="s">
        <v>556</v>
      </c>
      <c r="F156" s="8"/>
      <c r="G156" s="8" t="s">
        <v>537</v>
      </c>
      <c r="H156" s="7">
        <v>904568</v>
      </c>
      <c r="I156" s="7">
        <v>904574</v>
      </c>
      <c r="J156" s="7">
        <v>2266</v>
      </c>
      <c r="K156" s="12">
        <v>0</v>
      </c>
      <c r="L156" s="12">
        <v>0</v>
      </c>
      <c r="M156" s="12">
        <v>0</v>
      </c>
      <c r="N156" s="12">
        <v>191680</v>
      </c>
      <c r="O156" s="25">
        <f t="shared" si="23"/>
        <v>191680</v>
      </c>
      <c r="P156" s="12">
        <v>0</v>
      </c>
      <c r="Q156" s="12">
        <v>0</v>
      </c>
      <c r="R156" s="12">
        <v>134402</v>
      </c>
      <c r="S156" s="12">
        <f t="shared" si="24"/>
        <v>134402</v>
      </c>
      <c r="T156" s="7">
        <v>481053</v>
      </c>
      <c r="U156" s="7">
        <v>14311</v>
      </c>
      <c r="V156" s="7">
        <v>0</v>
      </c>
      <c r="W156" s="7">
        <v>0</v>
      </c>
      <c r="X156" s="7">
        <v>909949</v>
      </c>
      <c r="Y156" s="7" t="s">
        <v>531</v>
      </c>
      <c r="Z156" s="26">
        <v>3.5999999999999999E-3</v>
      </c>
      <c r="AA156" s="7">
        <v>0</v>
      </c>
      <c r="AB156" s="26">
        <f>88520/909951</f>
        <v>9.7279963426602098E-2</v>
      </c>
      <c r="AC156" s="7">
        <v>88503</v>
      </c>
      <c r="AD156" s="7">
        <v>0</v>
      </c>
      <c r="AE156" s="7">
        <f>6+52</f>
        <v>58</v>
      </c>
      <c r="AF156" s="7">
        <v>30870</v>
      </c>
      <c r="AG156" s="7">
        <v>2877</v>
      </c>
      <c r="AH156" s="7">
        <v>1266</v>
      </c>
      <c r="AI156" s="7">
        <f>9986+1337</f>
        <v>11323</v>
      </c>
      <c r="AJ156" s="7">
        <v>1820</v>
      </c>
      <c r="AK156" s="7">
        <v>2252</v>
      </c>
      <c r="AL156" s="7">
        <v>5000</v>
      </c>
      <c r="AM156" s="7">
        <v>5249</v>
      </c>
      <c r="AN156" s="7">
        <v>0</v>
      </c>
      <c r="AO156" s="7">
        <f>1951+1131+262</f>
        <v>3344</v>
      </c>
      <c r="AP156" s="7">
        <v>250</v>
      </c>
      <c r="AQ156" s="7">
        <v>0</v>
      </c>
      <c r="AR156" s="7">
        <v>0</v>
      </c>
      <c r="AS156" s="7">
        <v>451</v>
      </c>
      <c r="AT156" s="7">
        <v>0</v>
      </c>
      <c r="AU156" s="7">
        <v>0</v>
      </c>
      <c r="AV156" s="7">
        <v>68125</v>
      </c>
      <c r="AW156" s="7">
        <v>77031</v>
      </c>
      <c r="AX156" s="26">
        <f t="shared" si="22"/>
        <v>0</v>
      </c>
      <c r="AY156" s="7">
        <v>0</v>
      </c>
      <c r="AZ156" s="7">
        <v>0</v>
      </c>
      <c r="BA156" s="7">
        <v>45228</v>
      </c>
      <c r="BB156" s="7">
        <v>113</v>
      </c>
      <c r="BC156" s="7">
        <v>1679</v>
      </c>
      <c r="BD156" s="7">
        <v>0</v>
      </c>
      <c r="BE156" s="7">
        <v>0</v>
      </c>
      <c r="BF156" s="7">
        <v>0</v>
      </c>
      <c r="BG156" s="7">
        <v>265</v>
      </c>
      <c r="BH156" s="7">
        <v>0</v>
      </c>
      <c r="BI156" s="7">
        <v>0</v>
      </c>
      <c r="BJ156" s="7"/>
      <c r="BK156" s="7">
        <v>0</v>
      </c>
      <c r="BL156" s="7">
        <v>-4</v>
      </c>
      <c r="BM156" s="7">
        <v>-19</v>
      </c>
      <c r="BN156" s="7">
        <v>-101</v>
      </c>
      <c r="BO156" s="7">
        <v>0</v>
      </c>
      <c r="BP156" s="7">
        <f t="shared" si="25"/>
        <v>141</v>
      </c>
      <c r="BQ156" s="1">
        <v>0</v>
      </c>
      <c r="BR156" s="7">
        <v>26</v>
      </c>
      <c r="BS156" s="7">
        <v>12</v>
      </c>
      <c r="BT156" s="7">
        <v>61</v>
      </c>
      <c r="BU156" s="7">
        <v>2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0</v>
      </c>
      <c r="CC156" s="7">
        <v>0</v>
      </c>
      <c r="CD156" s="7">
        <v>0</v>
      </c>
      <c r="CE156" s="7">
        <v>0</v>
      </c>
      <c r="CF156" s="7">
        <v>0</v>
      </c>
    </row>
    <row r="157" spans="1:84" x14ac:dyDescent="0.25">
      <c r="A157" s="15">
        <v>17</v>
      </c>
      <c r="B157" s="8" t="s">
        <v>763</v>
      </c>
      <c r="C157" s="57" t="s">
        <v>794</v>
      </c>
      <c r="D157" s="8" t="s">
        <v>633</v>
      </c>
      <c r="E157" s="8" t="s">
        <v>556</v>
      </c>
      <c r="F157" s="8"/>
      <c r="G157" s="8" t="s">
        <v>537</v>
      </c>
      <c r="H157" s="7">
        <v>5681346</v>
      </c>
      <c r="I157" s="7">
        <v>5686110</v>
      </c>
      <c r="J157" s="7">
        <v>198850</v>
      </c>
      <c r="K157" s="12">
        <v>0</v>
      </c>
      <c r="L157" s="12">
        <v>437780</v>
      </c>
      <c r="M157" s="12">
        <v>1435278</v>
      </c>
      <c r="N157" s="12">
        <v>0</v>
      </c>
      <c r="O157" s="25">
        <f t="shared" si="23"/>
        <v>1873058</v>
      </c>
      <c r="P157" s="12">
        <v>0</v>
      </c>
      <c r="Q157" s="12">
        <v>526846</v>
      </c>
      <c r="R157" s="12">
        <v>0</v>
      </c>
      <c r="S157" s="12">
        <f t="shared" si="24"/>
        <v>526846</v>
      </c>
      <c r="T157" s="7">
        <v>1817455</v>
      </c>
      <c r="U157" s="7">
        <v>655566</v>
      </c>
      <c r="V157" s="7">
        <v>665</v>
      </c>
      <c r="W157" s="7">
        <v>0</v>
      </c>
      <c r="X157" s="7">
        <v>5337298</v>
      </c>
      <c r="Y157" s="7" t="s">
        <v>531</v>
      </c>
      <c r="Z157" s="26">
        <v>0.1162</v>
      </c>
      <c r="AA157" s="7">
        <v>0</v>
      </c>
      <c r="AB157" s="26">
        <f>452335/5328161</f>
        <v>8.4895144872686845E-2</v>
      </c>
      <c r="AC157" s="7">
        <v>451850</v>
      </c>
      <c r="AD157" s="7">
        <v>0</v>
      </c>
      <c r="AE157" s="7">
        <f>5212+244</f>
        <v>5456</v>
      </c>
      <c r="AF157" s="7">
        <v>160386</v>
      </c>
      <c r="AG157" s="7">
        <v>17562</v>
      </c>
      <c r="AH157" s="7">
        <v>4458</v>
      </c>
      <c r="AI157" s="7">
        <f>25376+3705</f>
        <v>29081</v>
      </c>
      <c r="AJ157" s="7">
        <v>0</v>
      </c>
      <c r="AK157" s="7">
        <v>13084</v>
      </c>
      <c r="AL157" s="7">
        <v>5250</v>
      </c>
      <c r="AM157" s="7">
        <v>2800</v>
      </c>
      <c r="AN157" s="7">
        <v>0</v>
      </c>
      <c r="AO157" s="7">
        <f>4707+7588+8530</f>
        <v>20825</v>
      </c>
      <c r="AP157" s="7">
        <v>4527</v>
      </c>
      <c r="AQ157" s="7">
        <v>1627</v>
      </c>
      <c r="AR157" s="7">
        <v>0</v>
      </c>
      <c r="AS157" s="7">
        <v>5603</v>
      </c>
      <c r="AT157" s="7">
        <v>11050</v>
      </c>
      <c r="AU157" s="7">
        <v>0</v>
      </c>
      <c r="AV157" s="7">
        <v>299746</v>
      </c>
      <c r="AW157" s="7">
        <v>313080</v>
      </c>
      <c r="AX157" s="26">
        <f t="shared" si="22"/>
        <v>0</v>
      </c>
      <c r="AY157" s="7">
        <v>0</v>
      </c>
      <c r="AZ157" s="7">
        <v>0</v>
      </c>
      <c r="BA157" s="7">
        <v>148368</v>
      </c>
      <c r="BB157" s="7">
        <v>0</v>
      </c>
      <c r="BC157" s="7">
        <v>29952</v>
      </c>
      <c r="BD157" s="7">
        <v>0</v>
      </c>
      <c r="BE157" s="7">
        <v>0</v>
      </c>
      <c r="BF157" s="7">
        <v>0</v>
      </c>
      <c r="BG157" s="7">
        <v>921</v>
      </c>
      <c r="BH157" s="7">
        <v>449</v>
      </c>
      <c r="BI157" s="7">
        <v>1</v>
      </c>
      <c r="BJ157" s="7"/>
      <c r="BK157" s="7">
        <f>142+19-1</f>
        <v>160</v>
      </c>
      <c r="BL157" s="7">
        <v>-72</v>
      </c>
      <c r="BM157" s="7">
        <v>-216</v>
      </c>
      <c r="BN157" s="7">
        <v>-91</v>
      </c>
      <c r="BO157" s="7">
        <v>0</v>
      </c>
      <c r="BP157" s="7">
        <f t="shared" si="25"/>
        <v>1152</v>
      </c>
      <c r="BQ157" s="1">
        <v>0</v>
      </c>
      <c r="BR157" s="7">
        <v>25</v>
      </c>
      <c r="BS157" s="7">
        <v>10</v>
      </c>
      <c r="BT157" s="7">
        <v>54</v>
      </c>
      <c r="BU157" s="7">
        <v>1</v>
      </c>
      <c r="BV157" s="7">
        <v>6</v>
      </c>
      <c r="BW157" s="7">
        <v>1</v>
      </c>
      <c r="BX157" s="7">
        <v>1</v>
      </c>
      <c r="BY157" s="7">
        <v>17</v>
      </c>
      <c r="BZ157" s="7">
        <v>74</v>
      </c>
      <c r="CA157" s="7">
        <v>3</v>
      </c>
      <c r="CB157" s="7">
        <v>0</v>
      </c>
      <c r="CC157" s="7">
        <v>2</v>
      </c>
      <c r="CD157" s="7">
        <v>11</v>
      </c>
      <c r="CE157" s="7">
        <v>34</v>
      </c>
      <c r="CF157" s="7">
        <v>22</v>
      </c>
    </row>
    <row r="158" spans="1:84" x14ac:dyDescent="0.25">
      <c r="A158" s="15">
        <v>18</v>
      </c>
      <c r="B158" s="8" t="s">
        <v>116</v>
      </c>
      <c r="C158" s="57" t="s">
        <v>195</v>
      </c>
      <c r="D158" s="8" t="s">
        <v>698</v>
      </c>
      <c r="E158" s="8" t="s">
        <v>774</v>
      </c>
      <c r="F158" s="8" t="s">
        <v>234</v>
      </c>
      <c r="G158" s="8" t="s">
        <v>777</v>
      </c>
      <c r="H158" s="7">
        <v>20111035</v>
      </c>
      <c r="I158" s="7">
        <v>20117480</v>
      </c>
      <c r="J158" s="7">
        <v>1211934</v>
      </c>
      <c r="K158" s="12">
        <v>4772933</v>
      </c>
      <c r="L158" s="12">
        <v>771442</v>
      </c>
      <c r="M158" s="12">
        <v>3469734</v>
      </c>
      <c r="N158" s="12">
        <v>0</v>
      </c>
      <c r="O158" s="25">
        <f t="shared" si="23"/>
        <v>9014109</v>
      </c>
      <c r="P158" s="12">
        <v>434546</v>
      </c>
      <c r="Q158" s="12">
        <v>977764</v>
      </c>
      <c r="R158" s="12">
        <v>0</v>
      </c>
      <c r="S158" s="12">
        <f t="shared" si="24"/>
        <v>1412310</v>
      </c>
      <c r="T158" s="7">
        <v>4700781</v>
      </c>
      <c r="U158" s="7">
        <v>1378278</v>
      </c>
      <c r="V158" s="7">
        <v>44962</v>
      </c>
      <c r="W158" s="7">
        <v>125604</v>
      </c>
      <c r="X158" s="7">
        <v>17859836</v>
      </c>
      <c r="Y158" s="7" t="s">
        <v>531</v>
      </c>
      <c r="Z158" s="26">
        <v>0.1336</v>
      </c>
      <c r="AA158" s="7">
        <v>0</v>
      </c>
      <c r="AB158" s="26">
        <f>1183053/16126736</f>
        <v>7.3359730078051757E-2</v>
      </c>
      <c r="AC158" s="7">
        <v>1183732</v>
      </c>
      <c r="AD158" s="7">
        <v>0</v>
      </c>
      <c r="AE158" s="7">
        <f>5926+1386</f>
        <v>7312</v>
      </c>
      <c r="AF158" s="7">
        <v>666796</v>
      </c>
      <c r="AG158" s="7">
        <v>62331</v>
      </c>
      <c r="AH158" s="7">
        <v>112979</v>
      </c>
      <c r="AI158" s="7">
        <v>58218</v>
      </c>
      <c r="AJ158" s="7">
        <v>0</v>
      </c>
      <c r="AK158" s="7">
        <v>50786</v>
      </c>
      <c r="AL158" s="7">
        <v>18426</v>
      </c>
      <c r="AM158" s="7">
        <v>0</v>
      </c>
      <c r="AN158" s="7">
        <v>4000</v>
      </c>
      <c r="AO158" s="7">
        <f>15739+17954+22896</f>
        <v>56589</v>
      </c>
      <c r="AP158" s="7">
        <v>21439</v>
      </c>
      <c r="AQ158" s="7">
        <v>1205</v>
      </c>
      <c r="AR158" s="7">
        <v>0</v>
      </c>
      <c r="AS158" s="7">
        <v>5364</v>
      </c>
      <c r="AT158" s="7">
        <v>64627</v>
      </c>
      <c r="AU158" s="7">
        <v>0</v>
      </c>
      <c r="AV158" s="7">
        <v>1195133</v>
      </c>
      <c r="AW158" s="7">
        <v>1245133</v>
      </c>
      <c r="AX158" s="26">
        <f t="shared" si="22"/>
        <v>0</v>
      </c>
      <c r="AY158" s="7">
        <v>673</v>
      </c>
      <c r="AZ158" s="7">
        <v>0</v>
      </c>
      <c r="BA158" s="7">
        <v>148368</v>
      </c>
      <c r="BB158" s="7">
        <v>0</v>
      </c>
      <c r="BC158" s="7">
        <v>192173</v>
      </c>
      <c r="BD158" s="7">
        <v>0</v>
      </c>
      <c r="BE158" s="7">
        <v>0</v>
      </c>
      <c r="BF158" s="7">
        <v>0</v>
      </c>
      <c r="BG158" s="7">
        <v>4524</v>
      </c>
      <c r="BH158" s="7">
        <v>2451</v>
      </c>
      <c r="BI158" s="7">
        <v>0</v>
      </c>
      <c r="BJ158" s="7"/>
      <c r="BK158" s="7">
        <f>7-1</f>
        <v>6</v>
      </c>
      <c r="BL158" s="7">
        <v>-296</v>
      </c>
      <c r="BM158" s="7">
        <v>-1101</v>
      </c>
      <c r="BN158" s="7">
        <v>-628</v>
      </c>
      <c r="BO158" s="7">
        <v>-2</v>
      </c>
      <c r="BP158" s="7">
        <f t="shared" si="25"/>
        <v>4954</v>
      </c>
      <c r="BQ158" s="1">
        <v>8</v>
      </c>
      <c r="BR158" s="7">
        <v>138</v>
      </c>
      <c r="BS158" s="7">
        <v>74</v>
      </c>
      <c r="BT158" s="7">
        <v>370</v>
      </c>
      <c r="BU158" s="7">
        <v>37</v>
      </c>
      <c r="BV158" s="7">
        <v>9</v>
      </c>
      <c r="BW158" s="7">
        <v>3</v>
      </c>
      <c r="BX158" s="7">
        <v>6</v>
      </c>
      <c r="BY158" s="7">
        <v>60</v>
      </c>
      <c r="BZ158" s="7">
        <v>102</v>
      </c>
      <c r="CA158" s="7">
        <v>1</v>
      </c>
      <c r="CB158" s="7">
        <v>5</v>
      </c>
      <c r="CC158" s="7">
        <v>10</v>
      </c>
      <c r="CD158" s="7">
        <v>204</v>
      </c>
      <c r="CE158" s="7">
        <v>431</v>
      </c>
      <c r="CF158" s="7">
        <v>6</v>
      </c>
    </row>
    <row r="159" spans="1:84" x14ac:dyDescent="0.25">
      <c r="A159" s="15">
        <v>18</v>
      </c>
      <c r="B159" s="8" t="s">
        <v>176</v>
      </c>
      <c r="C159" s="57" t="s">
        <v>436</v>
      </c>
      <c r="D159" s="8" t="s">
        <v>44</v>
      </c>
      <c r="E159" s="8" t="s">
        <v>30</v>
      </c>
      <c r="F159" s="8"/>
      <c r="G159" s="8" t="s">
        <v>32</v>
      </c>
      <c r="H159" s="7">
        <v>1997976</v>
      </c>
      <c r="I159" s="7">
        <v>2000858</v>
      </c>
      <c r="J159" s="7">
        <v>159437</v>
      </c>
      <c r="K159" s="12">
        <v>0</v>
      </c>
      <c r="L159" s="12">
        <v>91762</v>
      </c>
      <c r="M159" s="12">
        <v>428123</v>
      </c>
      <c r="N159" s="12">
        <v>0</v>
      </c>
      <c r="O159" s="25">
        <f t="shared" si="23"/>
        <v>519885</v>
      </c>
      <c r="P159" s="12">
        <v>6327</v>
      </c>
      <c r="Q159" s="12">
        <v>395964</v>
      </c>
      <c r="R159" s="12">
        <v>3106</v>
      </c>
      <c r="S159" s="12">
        <f t="shared" si="24"/>
        <v>405397</v>
      </c>
      <c r="T159" s="7">
        <v>642946</v>
      </c>
      <c r="U159" s="7">
        <v>80425</v>
      </c>
      <c r="V159" s="7">
        <v>12665</v>
      </c>
      <c r="W159" s="7">
        <v>0</v>
      </c>
      <c r="X159" s="7">
        <v>1844159</v>
      </c>
      <c r="Y159" s="7" t="s">
        <v>553</v>
      </c>
      <c r="Z159" s="26">
        <v>0.1014</v>
      </c>
      <c r="AA159" s="7">
        <v>0</v>
      </c>
      <c r="AB159" s="26">
        <f>182839/1828388</f>
        <v>0.10000010938597279</v>
      </c>
      <c r="AC159" s="7">
        <v>182841</v>
      </c>
      <c r="AD159" s="7">
        <v>0</v>
      </c>
      <c r="AE159" s="7">
        <f>2882+317+61</f>
        <v>3260</v>
      </c>
      <c r="AF159" s="7">
        <v>61588</v>
      </c>
      <c r="AG159" s="7">
        <v>7254</v>
      </c>
      <c r="AH159" s="7">
        <v>6247</v>
      </c>
      <c r="AI159" s="7">
        <v>13566</v>
      </c>
      <c r="AJ159" s="7">
        <v>1011</v>
      </c>
      <c r="AK159" s="7">
        <v>5668</v>
      </c>
      <c r="AL159" s="7">
        <v>5000</v>
      </c>
      <c r="AM159" s="7">
        <v>0</v>
      </c>
      <c r="AN159" s="7">
        <v>0</v>
      </c>
      <c r="AO159" s="7">
        <f>2005+3800+2133</f>
        <v>7938</v>
      </c>
      <c r="AP159" s="7">
        <v>250</v>
      </c>
      <c r="AQ159" s="7">
        <v>0</v>
      </c>
      <c r="AR159" s="7">
        <v>0</v>
      </c>
      <c r="AS159" s="7">
        <v>276</v>
      </c>
      <c r="AT159" s="7">
        <v>0</v>
      </c>
      <c r="AU159" s="7">
        <v>35134</v>
      </c>
      <c r="AV159" s="7">
        <v>111661</v>
      </c>
      <c r="AW159" s="7">
        <v>114362</v>
      </c>
      <c r="AX159" s="26">
        <f t="shared" si="22"/>
        <v>0.31464880307358883</v>
      </c>
      <c r="AY159" s="7">
        <v>0</v>
      </c>
      <c r="AZ159" s="7">
        <v>0</v>
      </c>
      <c r="BA159" s="7">
        <v>74822</v>
      </c>
      <c r="BB159" s="7">
        <v>39</v>
      </c>
      <c r="BC159" s="7">
        <v>12678</v>
      </c>
      <c r="BD159" s="7">
        <v>0</v>
      </c>
      <c r="BE159" s="7">
        <v>0</v>
      </c>
      <c r="BF159" s="7">
        <v>0</v>
      </c>
      <c r="BG159" s="7">
        <v>287</v>
      </c>
      <c r="BH159" s="7">
        <v>140</v>
      </c>
      <c r="BI159" s="7">
        <v>0</v>
      </c>
      <c r="BJ159" s="7"/>
      <c r="BK159" s="7">
        <v>8</v>
      </c>
      <c r="BL159" s="7">
        <v>-25</v>
      </c>
      <c r="BM159" s="7">
        <v>-74</v>
      </c>
      <c r="BN159" s="7">
        <v>-52</v>
      </c>
      <c r="BO159" s="7">
        <v>0</v>
      </c>
      <c r="BP159" s="7">
        <f t="shared" si="25"/>
        <v>284</v>
      </c>
      <c r="BQ159" s="1">
        <v>0</v>
      </c>
      <c r="BR159" s="7">
        <v>13</v>
      </c>
      <c r="BS159" s="7">
        <v>4</v>
      </c>
      <c r="BT159" s="7">
        <v>30</v>
      </c>
      <c r="BU159" s="7">
        <v>1</v>
      </c>
      <c r="BV159" s="7">
        <v>1</v>
      </c>
      <c r="BW159" s="7">
        <v>0</v>
      </c>
      <c r="BX159" s="7">
        <v>1</v>
      </c>
      <c r="BY159" s="7">
        <v>1</v>
      </c>
      <c r="BZ159" s="7">
        <v>9</v>
      </c>
      <c r="CA159" s="7">
        <v>0</v>
      </c>
      <c r="CB159" s="7">
        <v>1</v>
      </c>
      <c r="CC159" s="7">
        <v>1</v>
      </c>
      <c r="CD159" s="7">
        <v>6</v>
      </c>
      <c r="CE159" s="7">
        <v>17</v>
      </c>
      <c r="CF159" s="7">
        <v>0</v>
      </c>
    </row>
    <row r="160" spans="1:84" x14ac:dyDescent="0.25">
      <c r="A160" s="15">
        <v>18</v>
      </c>
      <c r="B160" s="8" t="s">
        <v>232</v>
      </c>
      <c r="C160" s="57" t="s">
        <v>646</v>
      </c>
      <c r="D160" s="8" t="s">
        <v>306</v>
      </c>
      <c r="E160" s="8" t="s">
        <v>517</v>
      </c>
      <c r="F160" s="8"/>
      <c r="G160" s="8" t="s">
        <v>512</v>
      </c>
      <c r="H160" s="7">
        <v>4194070</v>
      </c>
      <c r="I160" s="7">
        <v>4194506</v>
      </c>
      <c r="J160" s="7">
        <v>204983</v>
      </c>
      <c r="K160" s="12">
        <v>0</v>
      </c>
      <c r="L160" s="12">
        <v>0</v>
      </c>
      <c r="M160" s="12">
        <v>1645141</v>
      </c>
      <c r="N160" s="12">
        <v>0</v>
      </c>
      <c r="O160" s="25">
        <f t="shared" si="23"/>
        <v>1645141</v>
      </c>
      <c r="P160" s="12">
        <v>0</v>
      </c>
      <c r="Q160" s="12">
        <v>456920</v>
      </c>
      <c r="R160" s="12">
        <v>0</v>
      </c>
      <c r="S160" s="12">
        <f t="shared" si="24"/>
        <v>456920</v>
      </c>
      <c r="T160" s="7">
        <v>1097354</v>
      </c>
      <c r="U160" s="7">
        <v>253822</v>
      </c>
      <c r="V160" s="7">
        <v>0</v>
      </c>
      <c r="W160" s="7">
        <v>0</v>
      </c>
      <c r="X160" s="7">
        <v>3966802</v>
      </c>
      <c r="Y160" s="7" t="s">
        <v>531</v>
      </c>
      <c r="Z160" s="26">
        <v>0.09</v>
      </c>
      <c r="AA160" s="7">
        <v>0</v>
      </c>
      <c r="AB160" s="26">
        <f>385148/3851477</f>
        <v>0.10000007789219564</v>
      </c>
      <c r="AC160" s="7">
        <v>384228</v>
      </c>
      <c r="AD160" s="7">
        <v>0</v>
      </c>
      <c r="AE160" s="7">
        <f>436+159+169</f>
        <v>764</v>
      </c>
      <c r="AF160" s="7">
        <v>70837</v>
      </c>
      <c r="AG160" s="7">
        <v>6806</v>
      </c>
      <c r="AH160" s="7">
        <v>16459</v>
      </c>
      <c r="AI160" s="7">
        <v>12150</v>
      </c>
      <c r="AJ160" s="7">
        <v>4760</v>
      </c>
      <c r="AK160" s="7">
        <v>18520</v>
      </c>
      <c r="AL160" s="7">
        <v>5000</v>
      </c>
      <c r="AM160" s="7">
        <v>67030</v>
      </c>
      <c r="AN160" s="7">
        <v>0</v>
      </c>
      <c r="AO160" s="7">
        <f>7837+8532+7044</f>
        <v>23413</v>
      </c>
      <c r="AP160" s="7">
        <v>7278</v>
      </c>
      <c r="AQ160" s="7">
        <v>-161</v>
      </c>
      <c r="AR160" s="7">
        <v>0</v>
      </c>
      <c r="AS160" s="7">
        <v>4501</v>
      </c>
      <c r="AT160" s="7">
        <v>974</v>
      </c>
      <c r="AU160" s="7">
        <v>0</v>
      </c>
      <c r="AV160" s="7">
        <v>264993</v>
      </c>
      <c r="AW160" s="7">
        <v>269021</v>
      </c>
      <c r="AX160" s="26">
        <f t="shared" si="22"/>
        <v>0</v>
      </c>
      <c r="AY160" s="7">
        <v>0</v>
      </c>
      <c r="AZ160" s="7">
        <v>0</v>
      </c>
      <c r="BA160" s="7">
        <v>148368</v>
      </c>
      <c r="BB160" s="7">
        <v>0</v>
      </c>
      <c r="BC160" s="7">
        <v>2235</v>
      </c>
      <c r="BD160" s="7">
        <v>0</v>
      </c>
      <c r="BE160" s="7">
        <v>0</v>
      </c>
      <c r="BF160" s="7">
        <v>0</v>
      </c>
      <c r="BG160" s="7">
        <v>1191</v>
      </c>
      <c r="BH160" s="7">
        <v>488</v>
      </c>
      <c r="BI160" s="7">
        <v>0</v>
      </c>
      <c r="BJ160" s="7"/>
      <c r="BK160" s="7">
        <f>14-1</f>
        <v>13</v>
      </c>
      <c r="BL160" s="7">
        <v>-110</v>
      </c>
      <c r="BM160" s="7">
        <v>-162</v>
      </c>
      <c r="BN160" s="7">
        <v>-229</v>
      </c>
      <c r="BO160" s="7">
        <v>0</v>
      </c>
      <c r="BP160" s="7">
        <f t="shared" si="25"/>
        <v>1191</v>
      </c>
      <c r="BQ160" s="1">
        <v>0</v>
      </c>
      <c r="BR160" s="7">
        <v>27</v>
      </c>
      <c r="BS160" s="7">
        <v>20</v>
      </c>
      <c r="BT160" s="7">
        <v>174</v>
      </c>
      <c r="BU160" s="7">
        <v>8</v>
      </c>
      <c r="BV160" s="7">
        <v>0</v>
      </c>
      <c r="BW160" s="7">
        <v>0</v>
      </c>
      <c r="BX160" s="7">
        <v>1</v>
      </c>
      <c r="BY160" s="7">
        <v>9</v>
      </c>
      <c r="BZ160" s="7">
        <v>37</v>
      </c>
      <c r="CA160" s="7">
        <v>0</v>
      </c>
      <c r="CB160" s="7">
        <v>0</v>
      </c>
      <c r="CC160" s="7">
        <v>0</v>
      </c>
      <c r="CD160" s="7">
        <v>16</v>
      </c>
      <c r="CE160" s="7">
        <v>42</v>
      </c>
      <c r="CF160" s="7">
        <v>0</v>
      </c>
    </row>
    <row r="161" spans="1:84" x14ac:dyDescent="0.25">
      <c r="A161" s="15">
        <v>18</v>
      </c>
      <c r="B161" s="8" t="s">
        <v>271</v>
      </c>
      <c r="C161" s="57" t="s">
        <v>407</v>
      </c>
      <c r="D161" s="8" t="s">
        <v>676</v>
      </c>
      <c r="E161" s="8" t="s">
        <v>774</v>
      </c>
      <c r="F161" s="8" t="s">
        <v>787</v>
      </c>
      <c r="G161" s="8" t="s">
        <v>777</v>
      </c>
      <c r="H161" s="7">
        <v>49878809</v>
      </c>
      <c r="I161" s="7">
        <v>49924976</v>
      </c>
      <c r="J161" s="7">
        <v>3083830</v>
      </c>
      <c r="K161" s="12">
        <v>17595355</v>
      </c>
      <c r="L161" s="12">
        <v>3529722</v>
      </c>
      <c r="M161" s="12">
        <v>7356195</v>
      </c>
      <c r="N161" s="12">
        <v>0</v>
      </c>
      <c r="O161" s="25">
        <f t="shared" si="23"/>
        <v>28481272</v>
      </c>
      <c r="P161" s="12">
        <v>475148</v>
      </c>
      <c r="Q161" s="12">
        <v>2682025</v>
      </c>
      <c r="R161" s="3">
        <v>0</v>
      </c>
      <c r="S161" s="12">
        <f t="shared" si="24"/>
        <v>3157173</v>
      </c>
      <c r="T161" s="7">
        <v>9670797</v>
      </c>
      <c r="U161" s="7">
        <v>1691059</v>
      </c>
      <c r="V161" s="7">
        <v>40961</v>
      </c>
      <c r="W161" s="7">
        <v>0</v>
      </c>
      <c r="X161" s="7">
        <v>45924317</v>
      </c>
      <c r="Y161" s="7" t="s">
        <v>531</v>
      </c>
      <c r="Z161" s="26">
        <v>0.1007</v>
      </c>
      <c r="AA161" s="7">
        <v>0</v>
      </c>
      <c r="AB161" s="26">
        <f>2834326/43062583</f>
        <v>6.5818764285458672E-2</v>
      </c>
      <c r="AC161" s="7">
        <v>2820773</v>
      </c>
      <c r="AD161" s="7">
        <v>0</v>
      </c>
      <c r="AE161" s="7">
        <f>46168+1641</f>
        <v>47809</v>
      </c>
      <c r="AF161" s="7">
        <v>1668845</v>
      </c>
      <c r="AG161" s="7">
        <v>147475</v>
      </c>
      <c r="AH161" s="7">
        <v>342999</v>
      </c>
      <c r="AI161" s="7">
        <f>276119+4977</f>
        <v>281096</v>
      </c>
      <c r="AJ161" s="7">
        <v>50</v>
      </c>
      <c r="AK161" s="7">
        <v>53055</v>
      </c>
      <c r="AL161" s="7">
        <v>27902</v>
      </c>
      <c r="AM161" s="7">
        <v>8458</v>
      </c>
      <c r="AN161" s="7">
        <v>0</v>
      </c>
      <c r="AO161" s="7">
        <f>11668+61632+49786</f>
        <v>123086</v>
      </c>
      <c r="AP161" s="7">
        <v>13700</v>
      </c>
      <c r="AQ161" s="7">
        <v>0</v>
      </c>
      <c r="AR161" s="7">
        <v>0</v>
      </c>
      <c r="AS161" s="7">
        <v>1133</v>
      </c>
      <c r="AT161" s="7">
        <v>83016</v>
      </c>
      <c r="AU161" s="7">
        <v>0</v>
      </c>
      <c r="AV161" s="7">
        <v>2901445</v>
      </c>
      <c r="AW161" s="7">
        <v>2950719</v>
      </c>
      <c r="AX161" s="26">
        <f t="shared" si="22"/>
        <v>0</v>
      </c>
      <c r="AY161" s="7">
        <v>0</v>
      </c>
      <c r="AZ161" s="7">
        <v>0</v>
      </c>
      <c r="BA161" s="7">
        <v>148368</v>
      </c>
      <c r="BB161" s="7">
        <v>0</v>
      </c>
      <c r="BC161" s="7">
        <v>294115</v>
      </c>
      <c r="BD161" s="7">
        <v>0</v>
      </c>
      <c r="BE161" s="7">
        <v>0</v>
      </c>
      <c r="BF161" s="7">
        <v>0</v>
      </c>
      <c r="BG161" s="7">
        <v>6095</v>
      </c>
      <c r="BH161" s="7">
        <v>2888</v>
      </c>
      <c r="BI161" s="7">
        <v>16</v>
      </c>
      <c r="BJ161" s="7"/>
      <c r="BK161" s="7">
        <v>33</v>
      </c>
      <c r="BL161" s="7">
        <v>-345</v>
      </c>
      <c r="BM161" s="7">
        <v>-1653</v>
      </c>
      <c r="BN161" s="7">
        <v>-1086</v>
      </c>
      <c r="BO161" s="7">
        <v>-15</v>
      </c>
      <c r="BP161" s="7">
        <f t="shared" si="25"/>
        <v>5933</v>
      </c>
      <c r="BQ161" s="1">
        <v>23</v>
      </c>
      <c r="BR161" s="7">
        <v>400</v>
      </c>
      <c r="BS161" s="7">
        <v>135</v>
      </c>
      <c r="BT161" s="7">
        <v>481</v>
      </c>
      <c r="BU161" s="7">
        <v>36</v>
      </c>
      <c r="BV161" s="7">
        <v>13</v>
      </c>
      <c r="BW161" s="7">
        <v>0</v>
      </c>
      <c r="BX161" s="7">
        <v>5</v>
      </c>
      <c r="BY161" s="7">
        <v>56</v>
      </c>
      <c r="BZ161" s="7">
        <v>73</v>
      </c>
      <c r="CA161" s="7">
        <v>2</v>
      </c>
      <c r="CB161" s="7">
        <v>18</v>
      </c>
      <c r="CC161" s="7">
        <v>41</v>
      </c>
      <c r="CD161" s="7">
        <v>309</v>
      </c>
      <c r="CE161" s="7">
        <v>299</v>
      </c>
      <c r="CF161" s="7">
        <v>16</v>
      </c>
    </row>
    <row r="162" spans="1:84" x14ac:dyDescent="0.25">
      <c r="A162" s="15">
        <v>18</v>
      </c>
      <c r="B162" s="8" t="s">
        <v>272</v>
      </c>
      <c r="C162" s="57" t="s">
        <v>430</v>
      </c>
      <c r="D162" s="8" t="s">
        <v>604</v>
      </c>
      <c r="E162" s="8" t="s">
        <v>357</v>
      </c>
      <c r="F162" s="8"/>
      <c r="G162" s="8" t="s">
        <v>358</v>
      </c>
      <c r="H162" s="7">
        <v>3172498</v>
      </c>
      <c r="I162" s="7">
        <v>3175895</v>
      </c>
      <c r="J162" s="7">
        <v>117226</v>
      </c>
      <c r="K162" s="12">
        <v>9618</v>
      </c>
      <c r="L162" s="2">
        <v>106200</v>
      </c>
      <c r="M162" s="12">
        <v>1289576</v>
      </c>
      <c r="N162" s="12">
        <v>0</v>
      </c>
      <c r="O162" s="25">
        <f t="shared" si="23"/>
        <v>1405394</v>
      </c>
      <c r="P162" s="12">
        <v>0</v>
      </c>
      <c r="Q162" s="12">
        <v>497</v>
      </c>
      <c r="R162" s="12">
        <v>323228</v>
      </c>
      <c r="S162" s="12">
        <f t="shared" si="24"/>
        <v>323725</v>
      </c>
      <c r="T162" s="7">
        <v>976296</v>
      </c>
      <c r="U162" s="7">
        <v>63171</v>
      </c>
      <c r="V162" s="7">
        <v>536</v>
      </c>
      <c r="W162" s="7">
        <v>0</v>
      </c>
      <c r="X162" s="7">
        <v>3068042</v>
      </c>
      <c r="Y162" s="7" t="s">
        <v>422</v>
      </c>
      <c r="Z162" s="26">
        <v>0.1</v>
      </c>
      <c r="AA162" s="7">
        <v>0</v>
      </c>
      <c r="AB162" s="26">
        <f>293277/3040996</f>
        <v>9.6441100218481055E-2</v>
      </c>
      <c r="AC162" s="7">
        <v>292115</v>
      </c>
      <c r="AD162" s="7">
        <v>0</v>
      </c>
      <c r="AE162" s="7">
        <f>3397+93</f>
        <v>3490</v>
      </c>
      <c r="AF162" s="7">
        <v>85051</v>
      </c>
      <c r="AG162" s="7">
        <v>6850</v>
      </c>
      <c r="AH162" s="7">
        <v>22133</v>
      </c>
      <c r="AI162" s="7">
        <v>14520</v>
      </c>
      <c r="AJ162" s="7">
        <v>795</v>
      </c>
      <c r="AK162" s="7">
        <v>5574</v>
      </c>
      <c r="AL162" s="7">
        <v>5000</v>
      </c>
      <c r="AM162" s="7">
        <v>375</v>
      </c>
      <c r="AN162" s="7">
        <v>0</v>
      </c>
      <c r="AO162" s="7">
        <f>4149+6691+3484</f>
        <v>14324</v>
      </c>
      <c r="AP162" s="7">
        <v>250</v>
      </c>
      <c r="AQ162" s="7">
        <v>0</v>
      </c>
      <c r="AR162" s="7">
        <v>0</v>
      </c>
      <c r="AS162" s="7">
        <v>3290</v>
      </c>
      <c r="AT162" s="7">
        <v>1022</v>
      </c>
      <c r="AU162" s="7">
        <v>0</v>
      </c>
      <c r="AV162" s="7">
        <v>169408</v>
      </c>
      <c r="AW162" s="7">
        <v>162481</v>
      </c>
      <c r="AX162" s="26">
        <f t="shared" si="22"/>
        <v>0</v>
      </c>
      <c r="AY162" s="7">
        <v>0</v>
      </c>
      <c r="AZ162" s="7">
        <v>0</v>
      </c>
      <c r="BA162" s="7">
        <v>148368</v>
      </c>
      <c r="BB162" s="7">
        <v>0</v>
      </c>
      <c r="BC162" s="7">
        <v>5412</v>
      </c>
      <c r="BD162" s="7">
        <v>0</v>
      </c>
      <c r="BE162" s="7">
        <v>0</v>
      </c>
      <c r="BF162" s="7">
        <v>0</v>
      </c>
      <c r="BG162" s="7">
        <v>626</v>
      </c>
      <c r="BH162" s="7">
        <v>259</v>
      </c>
      <c r="BI162" s="7">
        <v>8</v>
      </c>
      <c r="BJ162" s="7"/>
      <c r="BK162" s="7">
        <v>9</v>
      </c>
      <c r="BL162" s="7">
        <v>-55</v>
      </c>
      <c r="BM162" s="7">
        <v>-87</v>
      </c>
      <c r="BN162" s="7">
        <v>-177</v>
      </c>
      <c r="BO162" s="7">
        <v>0</v>
      </c>
      <c r="BP162" s="7">
        <f t="shared" si="25"/>
        <v>583</v>
      </c>
      <c r="BQ162" s="1">
        <v>0</v>
      </c>
      <c r="BR162" s="7">
        <v>28</v>
      </c>
      <c r="BS162" s="7">
        <v>24</v>
      </c>
      <c r="BT162" s="7">
        <v>119</v>
      </c>
      <c r="BU162" s="7">
        <v>1</v>
      </c>
      <c r="BV162" s="7">
        <v>4</v>
      </c>
      <c r="BW162" s="7">
        <v>0</v>
      </c>
      <c r="BX162" s="7">
        <v>2</v>
      </c>
      <c r="BY162" s="7">
        <v>23</v>
      </c>
      <c r="BZ162" s="7">
        <v>19</v>
      </c>
      <c r="CA162" s="7">
        <v>4</v>
      </c>
      <c r="CB162" s="7">
        <v>0</v>
      </c>
      <c r="CC162" s="7">
        <v>4</v>
      </c>
      <c r="CD162" s="7">
        <v>13</v>
      </c>
      <c r="CE162" s="7">
        <v>15</v>
      </c>
      <c r="CF162" s="7">
        <v>22</v>
      </c>
    </row>
    <row r="163" spans="1:84" x14ac:dyDescent="0.25">
      <c r="A163" s="15">
        <v>18</v>
      </c>
      <c r="B163" s="8" t="s">
        <v>276</v>
      </c>
      <c r="C163" s="57" t="s">
        <v>411</v>
      </c>
      <c r="D163" s="8" t="s">
        <v>764</v>
      </c>
      <c r="E163" s="8" t="s">
        <v>774</v>
      </c>
      <c r="F163" s="8" t="s">
        <v>787</v>
      </c>
      <c r="G163" s="8" t="s">
        <v>777</v>
      </c>
      <c r="H163" s="7">
        <v>8052885</v>
      </c>
      <c r="I163" s="7">
        <v>8060721</v>
      </c>
      <c r="J163" s="7">
        <v>359510</v>
      </c>
      <c r="K163" s="12">
        <v>615552</v>
      </c>
      <c r="L163" s="12">
        <v>641247</v>
      </c>
      <c r="M163" s="12">
        <v>95824</v>
      </c>
      <c r="N163" s="12">
        <v>2424955</v>
      </c>
      <c r="O163" s="25">
        <f t="shared" si="23"/>
        <v>3777578</v>
      </c>
      <c r="P163" s="12">
        <v>26776</v>
      </c>
      <c r="Q163" s="12">
        <v>14216</v>
      </c>
      <c r="R163" s="12">
        <v>778770</v>
      </c>
      <c r="S163" s="12">
        <f t="shared" si="24"/>
        <v>819762</v>
      </c>
      <c r="T163" s="7">
        <v>1799171</v>
      </c>
      <c r="U163" s="7">
        <v>727809</v>
      </c>
      <c r="V163" s="7">
        <v>10557</v>
      </c>
      <c r="W163" s="7">
        <v>0</v>
      </c>
      <c r="X163" s="7">
        <v>7901337</v>
      </c>
      <c r="Y163" s="7" t="s">
        <v>531</v>
      </c>
      <c r="Z163" s="26">
        <v>5.1200000000000002E-2</v>
      </c>
      <c r="AA163" s="7">
        <v>0</v>
      </c>
      <c r="AB163" s="26">
        <f>739401/7838691</f>
        <v>9.4327101297908028E-2</v>
      </c>
      <c r="AC163" s="7">
        <v>739012</v>
      </c>
      <c r="AD163" s="7">
        <v>0</v>
      </c>
      <c r="AE163" s="7">
        <f>7823+23+788</f>
        <v>8634</v>
      </c>
      <c r="AF163" s="7">
        <v>323688</v>
      </c>
      <c r="AG163" s="7">
        <v>38567</v>
      </c>
      <c r="AH163" s="7">
        <v>38149</v>
      </c>
      <c r="AI163" s="7">
        <v>53708</v>
      </c>
      <c r="AJ163" s="7">
        <v>1854</v>
      </c>
      <c r="AK163" s="7">
        <v>22027</v>
      </c>
      <c r="AL163" s="7">
        <v>5456</v>
      </c>
      <c r="AM163" s="7">
        <v>7943</v>
      </c>
      <c r="AN163" s="7">
        <v>0</v>
      </c>
      <c r="AO163" s="7">
        <f>5940+8152+26065</f>
        <v>40157</v>
      </c>
      <c r="AP163" s="7">
        <v>9367</v>
      </c>
      <c r="AQ163" s="7">
        <v>0</v>
      </c>
      <c r="AR163" s="7">
        <v>0</v>
      </c>
      <c r="AS163" s="7">
        <v>2225</v>
      </c>
      <c r="AT163" s="7">
        <v>10231</v>
      </c>
      <c r="AU163" s="7">
        <v>0</v>
      </c>
      <c r="AV163" s="7">
        <v>597420</v>
      </c>
      <c r="AW163" s="7">
        <v>612728</v>
      </c>
      <c r="AX163" s="26">
        <f t="shared" si="22"/>
        <v>0</v>
      </c>
      <c r="AY163" s="7">
        <v>0</v>
      </c>
      <c r="AZ163" s="7">
        <v>0</v>
      </c>
      <c r="BA163" s="7">
        <v>149004</v>
      </c>
      <c r="BB163" s="29">
        <v>636</v>
      </c>
      <c r="BC163" s="7">
        <v>108971</v>
      </c>
      <c r="BD163" s="7">
        <v>7410</v>
      </c>
      <c r="BE163" s="7">
        <v>8046</v>
      </c>
      <c r="BF163" s="7">
        <v>0</v>
      </c>
      <c r="BG163" s="7">
        <v>1348</v>
      </c>
      <c r="BH163" s="7">
        <v>766</v>
      </c>
      <c r="BI163" s="7">
        <v>0</v>
      </c>
      <c r="BJ163" s="7"/>
      <c r="BK163" s="7">
        <v>13</v>
      </c>
      <c r="BL163" s="7">
        <v>-115</v>
      </c>
      <c r="BM163" s="7">
        <v>-401</v>
      </c>
      <c r="BN163" s="7">
        <v>-266</v>
      </c>
      <c r="BO163" s="7">
        <v>-5</v>
      </c>
      <c r="BP163" s="7">
        <f t="shared" si="25"/>
        <v>1340</v>
      </c>
      <c r="BQ163" s="1">
        <v>8</v>
      </c>
      <c r="BR163" s="7">
        <v>57</v>
      </c>
      <c r="BS163" s="7">
        <v>16</v>
      </c>
      <c r="BT163" s="7">
        <v>100</v>
      </c>
      <c r="BU163" s="7">
        <v>59</v>
      </c>
      <c r="BV163" s="7">
        <v>34</v>
      </c>
      <c r="BW163" s="7">
        <v>0</v>
      </c>
      <c r="BX163" s="7">
        <v>2</v>
      </c>
      <c r="BY163" s="7">
        <v>22</v>
      </c>
      <c r="BZ163" s="7">
        <v>85</v>
      </c>
      <c r="CA163" s="7">
        <v>6</v>
      </c>
      <c r="CB163" s="7">
        <v>4</v>
      </c>
      <c r="CC163" s="7">
        <v>9</v>
      </c>
      <c r="CD163" s="7">
        <v>38</v>
      </c>
      <c r="CE163" s="7">
        <v>296</v>
      </c>
      <c r="CF163" s="7">
        <v>54</v>
      </c>
    </row>
    <row r="164" spans="1:84" x14ac:dyDescent="0.25">
      <c r="A164" s="15">
        <v>18</v>
      </c>
      <c r="B164" s="8" t="s">
        <v>347</v>
      </c>
      <c r="C164" s="57" t="s">
        <v>197</v>
      </c>
      <c r="D164" s="8" t="s">
        <v>718</v>
      </c>
      <c r="E164" s="8" t="s">
        <v>774</v>
      </c>
      <c r="F164" s="8" t="s">
        <v>787</v>
      </c>
      <c r="G164" s="8" t="s">
        <v>777</v>
      </c>
      <c r="H164" s="7">
        <v>27501810</v>
      </c>
      <c r="I164" s="7">
        <v>27529032</v>
      </c>
      <c r="J164" s="7">
        <v>1370794</v>
      </c>
      <c r="K164" s="12">
        <v>11048788</v>
      </c>
      <c r="L164" s="12">
        <v>2242042</v>
      </c>
      <c r="M164" s="12">
        <v>3644544</v>
      </c>
      <c r="N164" s="12">
        <v>0</v>
      </c>
      <c r="O164" s="25">
        <f t="shared" si="23"/>
        <v>16935374</v>
      </c>
      <c r="P164" s="12">
        <v>396458</v>
      </c>
      <c r="Q164" s="12">
        <v>2562075</v>
      </c>
      <c r="R164" s="12">
        <v>0</v>
      </c>
      <c r="S164" s="12">
        <f t="shared" si="24"/>
        <v>2958533</v>
      </c>
      <c r="T164" s="7">
        <v>3870839</v>
      </c>
      <c r="U164" s="7">
        <v>1262647</v>
      </c>
      <c r="V164" s="7">
        <v>21487</v>
      </c>
      <c r="W164" s="7">
        <v>0</v>
      </c>
      <c r="X164" s="7">
        <v>26272875</v>
      </c>
      <c r="Y164" s="7" t="s">
        <v>531</v>
      </c>
      <c r="Z164" s="26">
        <v>6.4199999999999993E-2</v>
      </c>
      <c r="AA164" s="7">
        <v>0</v>
      </c>
      <c r="AB164" s="26">
        <f>1181248/25251388</f>
        <v>4.6779527525378013E-2</v>
      </c>
      <c r="AC164" s="7">
        <v>1181340</v>
      </c>
      <c r="AD164" s="7">
        <v>0</v>
      </c>
      <c r="AE164" s="7">
        <f>26522+971+1170</f>
        <v>28663</v>
      </c>
      <c r="AF164" s="7">
        <v>598870</v>
      </c>
      <c r="AG164" s="7">
        <v>50463</v>
      </c>
      <c r="AH164" s="7">
        <v>102045</v>
      </c>
      <c r="AI164" s="7">
        <v>73006</v>
      </c>
      <c r="AJ164" s="7">
        <v>3167</v>
      </c>
      <c r="AK164" s="7">
        <v>31432</v>
      </c>
      <c r="AL164" s="7">
        <v>8356</v>
      </c>
      <c r="AM164" s="7">
        <v>-1252</v>
      </c>
      <c r="AN164" s="7">
        <v>0</v>
      </c>
      <c r="AO164" s="7">
        <f>14440+33461+22496</f>
        <v>70397</v>
      </c>
      <c r="AP164" s="7">
        <v>10795</v>
      </c>
      <c r="AQ164" s="7">
        <v>-334</v>
      </c>
      <c r="AR164" s="7">
        <v>0</v>
      </c>
      <c r="AS164" s="7">
        <v>837</v>
      </c>
      <c r="AT164" s="7">
        <v>49609</v>
      </c>
      <c r="AU164" s="7">
        <v>0</v>
      </c>
      <c r="AV164" s="7">
        <v>1087562</v>
      </c>
      <c r="AW164" s="7">
        <v>1072511</v>
      </c>
      <c r="AX164" s="26">
        <f t="shared" ref="AX164:AX195" si="26">AU164/AV164</f>
        <v>0</v>
      </c>
      <c r="AY164" s="7">
        <v>0</v>
      </c>
      <c r="AZ164" s="7">
        <v>0</v>
      </c>
      <c r="BA164" s="7">
        <v>148368</v>
      </c>
      <c r="BB164" s="7">
        <v>0</v>
      </c>
      <c r="BC164" s="7">
        <v>159672</v>
      </c>
      <c r="BD164" s="7">
        <v>0</v>
      </c>
      <c r="BE164" s="7">
        <v>0</v>
      </c>
      <c r="BF164" s="7">
        <v>0</v>
      </c>
      <c r="BG164" s="7">
        <v>2815</v>
      </c>
      <c r="BH164" s="7">
        <v>1534</v>
      </c>
      <c r="BI164" s="7">
        <f>11-11</f>
        <v>0</v>
      </c>
      <c r="BJ164" s="7"/>
      <c r="BK164" s="7">
        <f>23-1</f>
        <v>22</v>
      </c>
      <c r="BL164" s="7">
        <v>-174</v>
      </c>
      <c r="BM164" s="7">
        <v>-791</v>
      </c>
      <c r="BN164" s="7">
        <v>-451</v>
      </c>
      <c r="BO164" s="7">
        <v>-3</v>
      </c>
      <c r="BP164" s="7">
        <f t="shared" si="25"/>
        <v>2952</v>
      </c>
      <c r="BQ164" s="1">
        <v>1</v>
      </c>
      <c r="BR164" s="7">
        <v>220</v>
      </c>
      <c r="BS164" s="7">
        <v>47</v>
      </c>
      <c r="BT164" s="7">
        <v>90</v>
      </c>
      <c r="BU164" s="7">
        <v>95</v>
      </c>
      <c r="BV164" s="7">
        <v>2</v>
      </c>
      <c r="BW164" s="7">
        <v>51</v>
      </c>
      <c r="BX164" s="7">
        <v>4</v>
      </c>
      <c r="BY164" s="7">
        <v>34</v>
      </c>
      <c r="BZ164" s="7">
        <v>34</v>
      </c>
      <c r="CA164" s="7">
        <v>0</v>
      </c>
      <c r="CB164" s="7">
        <v>246</v>
      </c>
      <c r="CC164" s="7">
        <v>15</v>
      </c>
      <c r="CD164" s="7">
        <v>42</v>
      </c>
      <c r="CE164" s="7">
        <v>88</v>
      </c>
      <c r="CF164" s="7">
        <v>3</v>
      </c>
    </row>
    <row r="165" spans="1:84" x14ac:dyDescent="0.25">
      <c r="A165" s="15">
        <v>18</v>
      </c>
      <c r="B165" s="8" t="s">
        <v>427</v>
      </c>
      <c r="C165" s="57" t="s">
        <v>399</v>
      </c>
      <c r="D165" s="8" t="s">
        <v>97</v>
      </c>
      <c r="E165" s="8" t="s">
        <v>357</v>
      </c>
      <c r="F165" s="8"/>
      <c r="G165" s="8" t="s">
        <v>358</v>
      </c>
      <c r="H165" s="7">
        <v>4237486</v>
      </c>
      <c r="I165" s="7">
        <v>4241776</v>
      </c>
      <c r="J165" s="7">
        <v>125740</v>
      </c>
      <c r="K165" s="12">
        <v>0</v>
      </c>
      <c r="L165" s="12">
        <v>317260</v>
      </c>
      <c r="M165" s="12">
        <v>1380270</v>
      </c>
      <c r="N165" s="12">
        <v>0</v>
      </c>
      <c r="O165" s="25">
        <f t="shared" si="23"/>
        <v>1697530</v>
      </c>
      <c r="P165" s="12">
        <v>0</v>
      </c>
      <c r="Q165" s="12">
        <v>558969</v>
      </c>
      <c r="R165" s="12">
        <v>0</v>
      </c>
      <c r="S165" s="12">
        <f t="shared" si="24"/>
        <v>558969</v>
      </c>
      <c r="T165" s="7">
        <v>1254524</v>
      </c>
      <c r="U165" s="7">
        <v>219755</v>
      </c>
      <c r="V165" s="7">
        <v>1389</v>
      </c>
      <c r="W165" s="7">
        <v>0</v>
      </c>
      <c r="X165" s="7">
        <v>4146704</v>
      </c>
      <c r="Y165" s="7" t="s">
        <v>147</v>
      </c>
      <c r="Z165" s="26">
        <v>0.08</v>
      </c>
      <c r="AA165" s="7">
        <v>0</v>
      </c>
      <c r="AB165" s="26">
        <f>414532/4145315</f>
        <v>0.10000012061809536</v>
      </c>
      <c r="AC165" s="7">
        <v>414537</v>
      </c>
      <c r="AD165" s="7">
        <v>0</v>
      </c>
      <c r="AE165" s="7">
        <f>4290+68</f>
        <v>4358</v>
      </c>
      <c r="AF165" s="7">
        <v>149202</v>
      </c>
      <c r="AG165" s="7">
        <v>13405</v>
      </c>
      <c r="AH165" s="7">
        <v>30215</v>
      </c>
      <c r="AI165" s="7">
        <f>17836+2903</f>
        <v>20739</v>
      </c>
      <c r="AJ165" s="7">
        <v>2850</v>
      </c>
      <c r="AK165" s="7">
        <v>19683</v>
      </c>
      <c r="AL165" s="7">
        <v>5349</v>
      </c>
      <c r="AM165" s="7">
        <v>1845</v>
      </c>
      <c r="AN165" s="7">
        <v>0</v>
      </c>
      <c r="AO165" s="7">
        <f>3739+3701+2957</f>
        <v>10397</v>
      </c>
      <c r="AP165" s="7">
        <v>3101</v>
      </c>
      <c r="AQ165" s="7">
        <v>0</v>
      </c>
      <c r="AR165" s="7">
        <v>0</v>
      </c>
      <c r="AS165" s="7">
        <v>6126</v>
      </c>
      <c r="AT165" s="7">
        <v>2633</v>
      </c>
      <c r="AU165" s="7">
        <v>17836</v>
      </c>
      <c r="AV165" s="7">
        <v>280451</v>
      </c>
      <c r="AW165" s="7">
        <v>305630</v>
      </c>
      <c r="AX165" s="26">
        <f t="shared" si="26"/>
        <v>6.3597562497548596E-2</v>
      </c>
      <c r="AY165" s="7">
        <v>0</v>
      </c>
      <c r="AZ165" s="7">
        <v>0</v>
      </c>
      <c r="BA165" s="7">
        <v>148368</v>
      </c>
      <c r="BB165" s="7">
        <v>0</v>
      </c>
      <c r="BC165" s="7">
        <v>33107</v>
      </c>
      <c r="BD165" s="7">
        <v>0</v>
      </c>
      <c r="BE165" s="7">
        <v>0</v>
      </c>
      <c r="BF165" s="7">
        <v>0</v>
      </c>
      <c r="BG165" s="7">
        <v>958</v>
      </c>
      <c r="BH165" s="7">
        <v>366</v>
      </c>
      <c r="BI165" s="7">
        <v>0</v>
      </c>
      <c r="BJ165" s="7"/>
      <c r="BK165" s="7">
        <f>5-1</f>
        <v>4</v>
      </c>
      <c r="BL165" s="7">
        <v>-94</v>
      </c>
      <c r="BM165" s="7">
        <v>-172</v>
      </c>
      <c r="BN165" s="7">
        <v>-204</v>
      </c>
      <c r="BO165" s="7">
        <v>0</v>
      </c>
      <c r="BP165" s="7">
        <f t="shared" si="25"/>
        <v>858</v>
      </c>
      <c r="BQ165" s="1">
        <v>0</v>
      </c>
      <c r="BR165" s="7">
        <v>25</v>
      </c>
      <c r="BS165" s="7">
        <v>22</v>
      </c>
      <c r="BT165" s="7">
        <v>157</v>
      </c>
      <c r="BU165" s="7">
        <v>0</v>
      </c>
      <c r="BV165" s="7">
        <v>0</v>
      </c>
      <c r="BW165" s="7">
        <v>1</v>
      </c>
      <c r="BX165" s="7">
        <v>3</v>
      </c>
      <c r="BY165" s="7">
        <v>31</v>
      </c>
      <c r="BZ165" s="7">
        <v>43</v>
      </c>
      <c r="CA165" s="7">
        <v>0</v>
      </c>
      <c r="CB165" s="7">
        <v>4</v>
      </c>
      <c r="CC165" s="7">
        <v>2</v>
      </c>
      <c r="CD165" s="7">
        <v>46</v>
      </c>
      <c r="CE165" s="7">
        <v>85</v>
      </c>
      <c r="CF165" s="7">
        <v>2</v>
      </c>
    </row>
    <row r="166" spans="1:84" x14ac:dyDescent="0.25">
      <c r="A166" s="15">
        <v>18</v>
      </c>
      <c r="B166" s="8" t="s">
        <v>450</v>
      </c>
      <c r="C166" s="57" t="s">
        <v>281</v>
      </c>
      <c r="D166" s="8" t="s">
        <v>251</v>
      </c>
      <c r="E166" s="8" t="s">
        <v>573</v>
      </c>
      <c r="F166" s="8"/>
      <c r="G166" s="8" t="s">
        <v>576</v>
      </c>
      <c r="H166" s="7">
        <v>12856142</v>
      </c>
      <c r="I166" s="7">
        <v>12863939</v>
      </c>
      <c r="J166" s="7">
        <v>433029</v>
      </c>
      <c r="K166" s="12">
        <v>0</v>
      </c>
      <c r="L166" s="12">
        <v>859151</v>
      </c>
      <c r="M166" s="12">
        <v>2950844</v>
      </c>
      <c r="N166" s="12">
        <v>554241</v>
      </c>
      <c r="O166" s="25">
        <f t="shared" si="23"/>
        <v>4364236</v>
      </c>
      <c r="P166" s="12">
        <v>0</v>
      </c>
      <c r="Q166" s="12">
        <v>1170453</v>
      </c>
      <c r="R166" s="12">
        <v>735959</v>
      </c>
      <c r="S166" s="12">
        <f t="shared" si="24"/>
        <v>1906412</v>
      </c>
      <c r="T166" s="7">
        <v>3606578</v>
      </c>
      <c r="U166" s="7">
        <v>1461162</v>
      </c>
      <c r="V166" s="7">
        <v>0</v>
      </c>
      <c r="W166" s="7">
        <v>0</v>
      </c>
      <c r="X166" s="7">
        <v>12349149</v>
      </c>
      <c r="Y166" s="7" t="s">
        <v>531</v>
      </c>
      <c r="Z166" s="26">
        <v>0.09</v>
      </c>
      <c r="AA166" s="7">
        <v>0</v>
      </c>
      <c r="AB166" s="26">
        <f>993431/12340711</f>
        <v>8.0500305047253765E-2</v>
      </c>
      <c r="AC166" s="7">
        <v>992680</v>
      </c>
      <c r="AD166" s="7">
        <v>0</v>
      </c>
      <c r="AE166" s="7">
        <f>7450+1441+730</f>
        <v>9621</v>
      </c>
      <c r="AF166" s="7">
        <v>492716</v>
      </c>
      <c r="AG166" s="7">
        <v>44711</v>
      </c>
      <c r="AH166" s="7">
        <v>103187</v>
      </c>
      <c r="AI166" s="7">
        <v>51259</v>
      </c>
      <c r="AJ166" s="7">
        <v>0</v>
      </c>
      <c r="AK166" s="7">
        <v>27500</v>
      </c>
      <c r="AL166" s="7">
        <v>10271</v>
      </c>
      <c r="AM166" s="7">
        <v>11354</v>
      </c>
      <c r="AN166" s="7">
        <v>0</v>
      </c>
      <c r="AO166" s="7">
        <f>12922+15633+17726</f>
        <v>46281</v>
      </c>
      <c r="AP166" s="7">
        <v>9207</v>
      </c>
      <c r="AQ166" s="7">
        <v>0</v>
      </c>
      <c r="AR166" s="7">
        <v>0</v>
      </c>
      <c r="AS166" s="7">
        <v>906</v>
      </c>
      <c r="AT166" s="7">
        <v>28973</v>
      </c>
      <c r="AU166" s="7">
        <v>0</v>
      </c>
      <c r="AV166" s="7">
        <v>851312</v>
      </c>
      <c r="AW166" s="7">
        <v>869002</v>
      </c>
      <c r="AX166" s="26">
        <f t="shared" si="26"/>
        <v>0</v>
      </c>
      <c r="AY166" s="7">
        <v>0</v>
      </c>
      <c r="AZ166" s="7">
        <v>0</v>
      </c>
      <c r="BA166" s="7">
        <v>148368</v>
      </c>
      <c r="BB166" s="7">
        <v>0</v>
      </c>
      <c r="BC166" s="7">
        <v>131442</v>
      </c>
      <c r="BD166" s="7">
        <v>0</v>
      </c>
      <c r="BE166" s="7">
        <v>0</v>
      </c>
      <c r="BF166" s="7">
        <v>0</v>
      </c>
      <c r="BG166" s="7">
        <v>2480</v>
      </c>
      <c r="BH166" s="7">
        <v>1168</v>
      </c>
      <c r="BI166" s="7">
        <v>30</v>
      </c>
      <c r="BJ166" s="7"/>
      <c r="BK166" s="7">
        <f>1+42-1</f>
        <v>42</v>
      </c>
      <c r="BL166" s="7">
        <v>-178</v>
      </c>
      <c r="BM166" s="7">
        <v>-568</v>
      </c>
      <c r="BN166" s="7">
        <v>-525</v>
      </c>
      <c r="BO166" s="7">
        <v>-3</v>
      </c>
      <c r="BP166" s="7">
        <f t="shared" si="25"/>
        <v>2446</v>
      </c>
      <c r="BQ166" s="1">
        <v>0</v>
      </c>
      <c r="BR166" s="7">
        <v>89</v>
      </c>
      <c r="BS166" s="7">
        <v>40</v>
      </c>
      <c r="BT166" s="7">
        <v>258</v>
      </c>
      <c r="BU166" s="7">
        <v>134</v>
      </c>
      <c r="BV166" s="7">
        <v>4</v>
      </c>
      <c r="BW166" s="7">
        <v>0</v>
      </c>
      <c r="BX166" s="7">
        <v>4</v>
      </c>
      <c r="BY166" s="7">
        <v>24</v>
      </c>
      <c r="BZ166" s="7">
        <v>83</v>
      </c>
      <c r="CA166" s="7">
        <v>0</v>
      </c>
      <c r="CB166" s="7">
        <v>8</v>
      </c>
      <c r="CC166" s="7">
        <v>7</v>
      </c>
      <c r="CD166" s="7">
        <v>50</v>
      </c>
      <c r="CE166" s="7">
        <v>245</v>
      </c>
      <c r="CF166" s="7">
        <v>9</v>
      </c>
    </row>
    <row r="167" spans="1:84" x14ac:dyDescent="0.25">
      <c r="A167" s="15">
        <v>18</v>
      </c>
      <c r="B167" s="8" t="s">
        <v>617</v>
      </c>
      <c r="C167" s="57" t="s">
        <v>92</v>
      </c>
      <c r="D167" s="8" t="s">
        <v>97</v>
      </c>
      <c r="E167" s="8" t="s">
        <v>357</v>
      </c>
      <c r="F167" s="8"/>
      <c r="G167" s="8" t="s">
        <v>358</v>
      </c>
      <c r="H167" s="7">
        <v>3220437</v>
      </c>
      <c r="I167" s="7">
        <v>3228026</v>
      </c>
      <c r="J167" s="7">
        <v>139169</v>
      </c>
      <c r="K167" s="12">
        <v>194414</v>
      </c>
      <c r="L167" s="12">
        <v>0</v>
      </c>
      <c r="M167" s="12">
        <v>0</v>
      </c>
      <c r="N167" s="12">
        <v>1011433</v>
      </c>
      <c r="O167" s="25">
        <f t="shared" si="23"/>
        <v>1205847</v>
      </c>
      <c r="P167" s="12">
        <v>24456</v>
      </c>
      <c r="Q167" s="12">
        <v>0</v>
      </c>
      <c r="R167" s="12">
        <v>445824</v>
      </c>
      <c r="S167" s="12">
        <f t="shared" si="24"/>
        <v>470280</v>
      </c>
      <c r="T167" s="7">
        <v>953397</v>
      </c>
      <c r="U167" s="7">
        <v>223786</v>
      </c>
      <c r="V167" s="7">
        <v>510</v>
      </c>
      <c r="W167" s="7">
        <v>0</v>
      </c>
      <c r="X167" s="7">
        <v>3172101</v>
      </c>
      <c r="Y167" s="7" t="s">
        <v>260</v>
      </c>
      <c r="Z167" s="26">
        <v>0.107</v>
      </c>
      <c r="AA167" s="7">
        <v>954</v>
      </c>
      <c r="AB167" s="26">
        <f>309151/3154607</f>
        <v>9.799984593960516E-2</v>
      </c>
      <c r="AC167" s="7">
        <v>315509</v>
      </c>
      <c r="AD167" s="7">
        <v>0</v>
      </c>
      <c r="AE167" s="7">
        <f>7540+41+896</f>
        <v>8477</v>
      </c>
      <c r="AF167" s="7">
        <v>102359</v>
      </c>
      <c r="AG167" s="7">
        <v>8535</v>
      </c>
      <c r="AH167" s="7">
        <v>17495</v>
      </c>
      <c r="AI167" s="7">
        <v>12000</v>
      </c>
      <c r="AJ167" s="7">
        <v>11400</v>
      </c>
      <c r="AK167" s="7">
        <v>8559</v>
      </c>
      <c r="AL167" s="7">
        <v>5000</v>
      </c>
      <c r="AM167" s="7">
        <v>8435</v>
      </c>
      <c r="AN167" s="7">
        <v>0</v>
      </c>
      <c r="AO167" s="7">
        <f>3303+5460+3543</f>
        <v>12306</v>
      </c>
      <c r="AP167" s="7">
        <v>3843</v>
      </c>
      <c r="AQ167" s="7">
        <v>0</v>
      </c>
      <c r="AR167" s="7">
        <v>0</v>
      </c>
      <c r="AS167" s="7">
        <v>945</v>
      </c>
      <c r="AT167" s="7">
        <v>833</v>
      </c>
      <c r="AU167" s="7">
        <v>12000</v>
      </c>
      <c r="AV167" s="7">
        <v>197761</v>
      </c>
      <c r="AW167" s="7">
        <v>198666</v>
      </c>
      <c r="AX167" s="26">
        <f t="shared" si="26"/>
        <v>6.067930481743114E-2</v>
      </c>
      <c r="AY167" s="7">
        <v>0</v>
      </c>
      <c r="AZ167" s="7">
        <v>0</v>
      </c>
      <c r="BA167" s="7">
        <v>148368</v>
      </c>
      <c r="BB167" s="7">
        <v>0</v>
      </c>
      <c r="BC167" s="7">
        <v>1723</v>
      </c>
      <c r="BD167" s="7">
        <v>0</v>
      </c>
      <c r="BE167" s="7">
        <v>0</v>
      </c>
      <c r="BF167" s="7">
        <v>0</v>
      </c>
      <c r="BG167" s="7">
        <v>860</v>
      </c>
      <c r="BH167" s="7">
        <v>359</v>
      </c>
      <c r="BI167" s="7">
        <v>0</v>
      </c>
      <c r="BJ167" s="7"/>
      <c r="BK167" s="7">
        <v>-1</v>
      </c>
      <c r="BL167" s="7">
        <v>-95</v>
      </c>
      <c r="BM167" s="7">
        <v>-176</v>
      </c>
      <c r="BN167" s="7">
        <v>-194</v>
      </c>
      <c r="BO167" s="7">
        <v>-1</v>
      </c>
      <c r="BP167" s="7">
        <f t="shared" si="25"/>
        <v>752</v>
      </c>
      <c r="BQ167" s="1">
        <v>2</v>
      </c>
      <c r="BR167" s="7">
        <v>23</v>
      </c>
      <c r="BS167" s="7">
        <v>19</v>
      </c>
      <c r="BT167" s="7">
        <v>146</v>
      </c>
      <c r="BU167" s="7">
        <v>0</v>
      </c>
      <c r="BV167" s="7">
        <v>8</v>
      </c>
      <c r="BW167" s="7">
        <v>1</v>
      </c>
      <c r="BX167" s="7">
        <v>0</v>
      </c>
      <c r="BY167" s="7">
        <v>15</v>
      </c>
      <c r="BZ167" s="7">
        <v>4</v>
      </c>
      <c r="CA167" s="7">
        <v>49</v>
      </c>
      <c r="CB167" s="7">
        <v>2</v>
      </c>
      <c r="CC167" s="7">
        <v>3</v>
      </c>
      <c r="CD167" s="7">
        <v>22</v>
      </c>
      <c r="CE167" s="7">
        <v>5</v>
      </c>
      <c r="CF167" s="7">
        <v>60</v>
      </c>
    </row>
    <row r="168" spans="1:84" x14ac:dyDescent="0.25">
      <c r="A168" s="15">
        <v>18</v>
      </c>
      <c r="B168" s="8" t="s">
        <v>643</v>
      </c>
      <c r="C168" s="57" t="s">
        <v>646</v>
      </c>
      <c r="D168" s="8" t="s">
        <v>592</v>
      </c>
      <c r="E168" s="8" t="s">
        <v>573</v>
      </c>
      <c r="F168" s="8"/>
      <c r="G168" s="8" t="s">
        <v>576</v>
      </c>
      <c r="H168" s="7">
        <v>415204</v>
      </c>
      <c r="I168" s="7">
        <v>415397</v>
      </c>
      <c r="J168" s="7">
        <v>21059</v>
      </c>
      <c r="K168" s="12">
        <v>950</v>
      </c>
      <c r="L168" s="12">
        <v>49157</v>
      </c>
      <c r="M168" s="12">
        <v>132811</v>
      </c>
      <c r="N168" s="12">
        <v>0</v>
      </c>
      <c r="O168" s="25">
        <f t="shared" si="23"/>
        <v>182918</v>
      </c>
      <c r="P168" s="12">
        <v>1502</v>
      </c>
      <c r="Q168" s="12">
        <v>50047</v>
      </c>
      <c r="R168" s="12">
        <v>0</v>
      </c>
      <c r="S168" s="12">
        <f t="shared" si="24"/>
        <v>51549</v>
      </c>
      <c r="T168" s="7">
        <v>88343</v>
      </c>
      <c r="U168" s="7">
        <v>29349</v>
      </c>
      <c r="V168" s="7">
        <v>0</v>
      </c>
      <c r="W168" s="7">
        <v>0</v>
      </c>
      <c r="X168" s="7">
        <v>391416</v>
      </c>
      <c r="Y168" s="7" t="s">
        <v>95</v>
      </c>
      <c r="Z168" s="26">
        <v>0.12</v>
      </c>
      <c r="AA168" s="7">
        <v>950</v>
      </c>
      <c r="AB168" s="26">
        <f>39047/390466</f>
        <v>0.10000102441697868</v>
      </c>
      <c r="AC168" s="7">
        <v>39039</v>
      </c>
      <c r="AD168" s="7">
        <v>0</v>
      </c>
      <c r="AE168" s="7">
        <f>110+8+5</f>
        <v>123</v>
      </c>
      <c r="AF168" s="7">
        <v>12741</v>
      </c>
      <c r="AG168" s="7">
        <v>0</v>
      </c>
      <c r="AH168" s="7">
        <v>0</v>
      </c>
      <c r="AI168" s="7">
        <v>1899</v>
      </c>
      <c r="AJ168" s="7">
        <v>0</v>
      </c>
      <c r="AK168" s="7">
        <v>114</v>
      </c>
      <c r="AL168" s="7">
        <v>0</v>
      </c>
      <c r="AM168" s="7">
        <v>0</v>
      </c>
      <c r="AN168" s="7">
        <v>0</v>
      </c>
      <c r="AO168" s="7">
        <f>596+697+409</f>
        <v>1702</v>
      </c>
      <c r="AP168" s="7">
        <v>238</v>
      </c>
      <c r="AQ168" s="7">
        <v>0</v>
      </c>
      <c r="AR168" s="7">
        <v>0</v>
      </c>
      <c r="AS168" s="7">
        <v>768</v>
      </c>
      <c r="AT168" s="7">
        <v>225</v>
      </c>
      <c r="AU168" s="7">
        <v>19245</v>
      </c>
      <c r="AV168" s="7">
        <v>20469</v>
      </c>
      <c r="AW168" s="7">
        <v>24492</v>
      </c>
      <c r="AX168" s="26">
        <f t="shared" si="26"/>
        <v>0.94020225707166938</v>
      </c>
      <c r="AY168" s="7">
        <v>0</v>
      </c>
      <c r="AZ168" s="7">
        <v>0</v>
      </c>
      <c r="BA168" s="7">
        <v>19492</v>
      </c>
      <c r="BB168" s="7">
        <v>0</v>
      </c>
      <c r="BC168" s="7">
        <v>1099</v>
      </c>
      <c r="BD168" s="7">
        <v>0</v>
      </c>
      <c r="BE168" s="7">
        <v>0</v>
      </c>
      <c r="BF168" s="7">
        <v>0</v>
      </c>
      <c r="BG168" s="7">
        <v>75</v>
      </c>
      <c r="BH168" s="7">
        <v>48</v>
      </c>
      <c r="BI168" s="7">
        <v>0</v>
      </c>
      <c r="BJ168" s="7"/>
      <c r="BK168" s="7">
        <v>1</v>
      </c>
      <c r="BL168" s="7">
        <v>-5</v>
      </c>
      <c r="BM168" s="7">
        <v>-17</v>
      </c>
      <c r="BN168" s="7">
        <v>-9</v>
      </c>
      <c r="BO168" s="7">
        <v>0</v>
      </c>
      <c r="BP168" s="7">
        <f t="shared" si="25"/>
        <v>93</v>
      </c>
      <c r="BQ168" s="1">
        <v>0</v>
      </c>
      <c r="BR168" s="7">
        <v>0</v>
      </c>
      <c r="BS168" s="7">
        <v>0</v>
      </c>
      <c r="BT168" s="7">
        <v>5</v>
      </c>
      <c r="BU168" s="7">
        <v>4</v>
      </c>
      <c r="BV168" s="7">
        <v>0</v>
      </c>
      <c r="BW168" s="7">
        <v>0</v>
      </c>
      <c r="BX168" s="7">
        <v>0</v>
      </c>
      <c r="BY168" s="7">
        <v>1</v>
      </c>
      <c r="BZ168" s="7">
        <v>4</v>
      </c>
      <c r="CA168" s="7">
        <v>0</v>
      </c>
      <c r="CB168" s="7">
        <v>0</v>
      </c>
      <c r="CC168" s="7">
        <v>0</v>
      </c>
      <c r="CD168" s="7">
        <v>2</v>
      </c>
      <c r="CE168" s="7">
        <v>15</v>
      </c>
      <c r="CF168" s="7">
        <v>0</v>
      </c>
    </row>
    <row r="169" spans="1:84" x14ac:dyDescent="0.25">
      <c r="A169" s="15">
        <v>18</v>
      </c>
      <c r="B169" s="8" t="s">
        <v>856</v>
      </c>
      <c r="C169" s="57" t="s">
        <v>642</v>
      </c>
      <c r="D169" s="8" t="s">
        <v>605</v>
      </c>
      <c r="E169" s="8" t="s">
        <v>573</v>
      </c>
      <c r="F169" s="8"/>
      <c r="G169" s="8" t="s">
        <v>576</v>
      </c>
      <c r="H169" s="7">
        <v>19066875</v>
      </c>
      <c r="I169" s="7">
        <v>19080185</v>
      </c>
      <c r="J169" s="7">
        <v>737175</v>
      </c>
      <c r="K169" s="12">
        <v>754</v>
      </c>
      <c r="L169" s="12">
        <v>1110358</v>
      </c>
      <c r="M169" s="12">
        <v>5420923</v>
      </c>
      <c r="N169" s="12">
        <v>0</v>
      </c>
      <c r="O169" s="25">
        <f t="shared" si="23"/>
        <v>6532035</v>
      </c>
      <c r="P169" s="12">
        <v>0</v>
      </c>
      <c r="Q169" s="12">
        <v>2735974</v>
      </c>
      <c r="R169" s="12">
        <v>0</v>
      </c>
      <c r="S169" s="12">
        <f t="shared" si="24"/>
        <v>2735974</v>
      </c>
      <c r="T169" s="7">
        <v>4361205</v>
      </c>
      <c r="U169" s="7">
        <v>2903067</v>
      </c>
      <c r="V169" s="7">
        <v>2514</v>
      </c>
      <c r="W169" s="7">
        <v>0</v>
      </c>
      <c r="X169" s="7">
        <v>18244525</v>
      </c>
      <c r="Y169" s="7" t="s">
        <v>531</v>
      </c>
      <c r="Z169" s="26">
        <v>0.06</v>
      </c>
      <c r="AA169" s="7">
        <v>0</v>
      </c>
      <c r="AB169" s="26">
        <f>1687179/18239775</f>
        <v>9.2499989720267933E-2</v>
      </c>
      <c r="AC169" s="7">
        <v>1687188</v>
      </c>
      <c r="AD169" s="7">
        <v>0</v>
      </c>
      <c r="AE169" s="7">
        <f>12420+2535+2184</f>
        <v>17139</v>
      </c>
      <c r="AF169" s="7">
        <v>852193</v>
      </c>
      <c r="AG169" s="7">
        <v>80722</v>
      </c>
      <c r="AH169" s="7">
        <v>163661</v>
      </c>
      <c r="AI169" s="7">
        <v>222839</v>
      </c>
      <c r="AJ169" s="7">
        <v>2518</v>
      </c>
      <c r="AK169" s="7">
        <v>67840</v>
      </c>
      <c r="AL169" s="7">
        <v>15616</v>
      </c>
      <c r="AM169" s="7">
        <v>1888</v>
      </c>
      <c r="AN169" s="7">
        <v>0</v>
      </c>
      <c r="AO169" s="7">
        <f>17785+13244+11740</f>
        <v>42769</v>
      </c>
      <c r="AP169" s="7">
        <v>16604</v>
      </c>
      <c r="AQ169" s="7">
        <v>2694</v>
      </c>
      <c r="AR169" s="7">
        <v>2334</v>
      </c>
      <c r="AS169" s="7">
        <v>1183</v>
      </c>
      <c r="AT169" s="7">
        <v>45796</v>
      </c>
      <c r="AU169" s="7">
        <v>0</v>
      </c>
      <c r="AV169" s="7">
        <v>1598203</v>
      </c>
      <c r="AW169" s="7">
        <v>1691714</v>
      </c>
      <c r="AX169" s="26">
        <f t="shared" si="26"/>
        <v>0</v>
      </c>
      <c r="AY169" s="7">
        <v>500</v>
      </c>
      <c r="AZ169" s="7">
        <v>0</v>
      </c>
      <c r="BA169" s="7">
        <v>148368</v>
      </c>
      <c r="BB169" s="7">
        <v>0</v>
      </c>
      <c r="BC169" s="7">
        <v>205672</v>
      </c>
      <c r="BD169" s="7">
        <v>0</v>
      </c>
      <c r="BE169" s="7">
        <v>0</v>
      </c>
      <c r="BF169" s="7">
        <v>0</v>
      </c>
      <c r="BG169" s="7">
        <v>4056</v>
      </c>
      <c r="BH169" s="7">
        <v>2010</v>
      </c>
      <c r="BI169" s="7">
        <v>0</v>
      </c>
      <c r="BJ169" s="7"/>
      <c r="BK169" s="7">
        <f>21-4</f>
        <v>17</v>
      </c>
      <c r="BL169" s="7">
        <v>-229</v>
      </c>
      <c r="BM169" s="7">
        <v>-986</v>
      </c>
      <c r="BN169" s="7">
        <v>-653</v>
      </c>
      <c r="BO169" s="7">
        <v>-14</v>
      </c>
      <c r="BP169" s="7">
        <f t="shared" si="25"/>
        <v>4201</v>
      </c>
      <c r="BQ169" s="1">
        <v>38</v>
      </c>
      <c r="BR169" s="7">
        <v>144</v>
      </c>
      <c r="BS169" s="7">
        <v>43</v>
      </c>
      <c r="BT169" s="7">
        <v>267</v>
      </c>
      <c r="BU169" s="7">
        <v>184</v>
      </c>
      <c r="BV169" s="7">
        <v>15</v>
      </c>
      <c r="BW169" s="7">
        <v>0</v>
      </c>
      <c r="BX169" s="7">
        <v>0</v>
      </c>
      <c r="BY169" s="7">
        <v>32</v>
      </c>
      <c r="BZ169" s="7">
        <v>131</v>
      </c>
      <c r="CA169" s="7">
        <v>68</v>
      </c>
      <c r="CB169" s="7">
        <v>3</v>
      </c>
      <c r="CC169" s="7">
        <v>7</v>
      </c>
      <c r="CD169" s="7">
        <v>72</v>
      </c>
      <c r="CE169" s="7">
        <v>527</v>
      </c>
      <c r="CF169" s="7">
        <v>44</v>
      </c>
    </row>
    <row r="170" spans="1:84" x14ac:dyDescent="0.25">
      <c r="A170" s="15">
        <v>18</v>
      </c>
      <c r="B170" s="8" t="s">
        <v>859</v>
      </c>
      <c r="C170" s="57" t="s">
        <v>123</v>
      </c>
      <c r="D170" s="8" t="s">
        <v>168</v>
      </c>
      <c r="E170" s="8" t="s">
        <v>357</v>
      </c>
      <c r="F170" s="8"/>
      <c r="G170" s="8" t="s">
        <v>358</v>
      </c>
      <c r="H170" s="3">
        <v>2533639</v>
      </c>
      <c r="I170" s="7">
        <v>2537083</v>
      </c>
      <c r="J170" s="7">
        <v>85532</v>
      </c>
      <c r="K170" s="12">
        <v>0</v>
      </c>
      <c r="L170" s="12">
        <v>126008</v>
      </c>
      <c r="M170" s="12">
        <v>821418</v>
      </c>
      <c r="N170" s="12">
        <v>0</v>
      </c>
      <c r="O170" s="25">
        <f t="shared" si="23"/>
        <v>947426</v>
      </c>
      <c r="P170" s="12">
        <v>0</v>
      </c>
      <c r="Q170" s="12">
        <v>248835</v>
      </c>
      <c r="R170" s="12">
        <v>0</v>
      </c>
      <c r="S170" s="12">
        <f t="shared" si="24"/>
        <v>248835</v>
      </c>
      <c r="T170" s="7">
        <v>755506</v>
      </c>
      <c r="U170" s="7">
        <v>165111</v>
      </c>
      <c r="V170" s="7">
        <v>0</v>
      </c>
      <c r="W170" s="7">
        <v>0</v>
      </c>
      <c r="X170" s="7">
        <v>2390282</v>
      </c>
      <c r="Y170" s="7" t="s">
        <v>260</v>
      </c>
      <c r="Z170" s="26">
        <v>8.3900000000000002E-2</v>
      </c>
      <c r="AA170" s="7">
        <v>0</v>
      </c>
      <c r="AB170" s="26">
        <f>237432/2374318</f>
        <v>0.10000008423471497</v>
      </c>
      <c r="AC170" s="7">
        <v>237440</v>
      </c>
      <c r="AD170" s="7">
        <v>0</v>
      </c>
      <c r="AE170" s="7">
        <f>3444+237</f>
        <v>3681</v>
      </c>
      <c r="AF170" s="7">
        <v>72807</v>
      </c>
      <c r="AG170" s="7">
        <v>5958</v>
      </c>
      <c r="AH170" s="7">
        <v>11737</v>
      </c>
      <c r="AI170" s="7">
        <v>14472</v>
      </c>
      <c r="AJ170" s="7">
        <v>239</v>
      </c>
      <c r="AK170" s="7">
        <v>12344</v>
      </c>
      <c r="AL170" s="7">
        <v>5000</v>
      </c>
      <c r="AM170" s="7">
        <v>0</v>
      </c>
      <c r="AN170" s="7">
        <v>0</v>
      </c>
      <c r="AO170" s="7">
        <f>5034+4009+4455</f>
        <v>13498</v>
      </c>
      <c r="AP170" s="7">
        <v>250</v>
      </c>
      <c r="AQ170" s="7">
        <v>0</v>
      </c>
      <c r="AR170" s="7">
        <v>0</v>
      </c>
      <c r="AS170" s="7">
        <v>4233</v>
      </c>
      <c r="AT170" s="7">
        <v>0</v>
      </c>
      <c r="AU170" s="7">
        <v>31801</v>
      </c>
      <c r="AV170" s="7">
        <v>147079</v>
      </c>
      <c r="AW170" s="7">
        <v>180230</v>
      </c>
      <c r="AX170" s="26">
        <f t="shared" si="26"/>
        <v>0.21621713500907674</v>
      </c>
      <c r="AY170" s="7">
        <v>0</v>
      </c>
      <c r="AZ170" s="7">
        <v>0</v>
      </c>
      <c r="BA170" s="7">
        <v>109400</v>
      </c>
      <c r="BB170" s="7">
        <v>0</v>
      </c>
      <c r="BC170" s="7">
        <v>153</v>
      </c>
      <c r="BD170" s="7">
        <v>0</v>
      </c>
      <c r="BE170" s="7">
        <v>0</v>
      </c>
      <c r="BF170" s="7">
        <v>0</v>
      </c>
      <c r="BG170" s="7">
        <v>580</v>
      </c>
      <c r="BH170" s="7">
        <v>205</v>
      </c>
      <c r="BI170" s="7">
        <v>0</v>
      </c>
      <c r="BJ170" s="7"/>
      <c r="BK170" s="7">
        <v>0</v>
      </c>
      <c r="BL170" s="7">
        <v>-50</v>
      </c>
      <c r="BM170" s="7">
        <v>-70</v>
      </c>
      <c r="BN170" s="7">
        <v>-130</v>
      </c>
      <c r="BO170" s="7">
        <v>0</v>
      </c>
      <c r="BP170" s="7">
        <f t="shared" si="25"/>
        <v>535</v>
      </c>
      <c r="BQ170" s="1">
        <v>5</v>
      </c>
      <c r="BR170" s="7">
        <v>15</v>
      </c>
      <c r="BS170" s="7">
        <v>18</v>
      </c>
      <c r="BT170" s="7">
        <v>88</v>
      </c>
      <c r="BU170" s="7">
        <v>4</v>
      </c>
      <c r="BV170" s="7">
        <v>0</v>
      </c>
      <c r="BW170" s="7">
        <v>0</v>
      </c>
      <c r="BX170" s="7">
        <v>0</v>
      </c>
      <c r="BY170" s="7">
        <v>6</v>
      </c>
      <c r="BZ170" s="7">
        <v>26</v>
      </c>
      <c r="CA170" s="7">
        <v>0</v>
      </c>
      <c r="CB170" s="7">
        <v>0</v>
      </c>
      <c r="CC170" s="7">
        <v>0</v>
      </c>
      <c r="CD170" s="7">
        <v>8</v>
      </c>
      <c r="CE170" s="7">
        <v>23</v>
      </c>
      <c r="CF170" s="7">
        <v>0</v>
      </c>
    </row>
    <row r="171" spans="1:84" x14ac:dyDescent="0.25">
      <c r="A171" s="15">
        <v>19</v>
      </c>
      <c r="B171" s="8" t="s">
        <v>45</v>
      </c>
      <c r="C171" s="57" t="s">
        <v>421</v>
      </c>
      <c r="D171" s="8" t="s">
        <v>664</v>
      </c>
      <c r="E171" s="8" t="s">
        <v>757</v>
      </c>
      <c r="F171" s="8"/>
      <c r="G171" s="8" t="s">
        <v>758</v>
      </c>
      <c r="H171" s="7">
        <v>20864023</v>
      </c>
      <c r="I171" s="7">
        <v>20897626</v>
      </c>
      <c r="J171" s="7">
        <v>2152260</v>
      </c>
      <c r="K171" s="12">
        <v>0</v>
      </c>
      <c r="L171" s="12">
        <v>1660016</v>
      </c>
      <c r="M171" s="12">
        <v>6964352</v>
      </c>
      <c r="N171" s="12">
        <v>0</v>
      </c>
      <c r="O171" s="25">
        <f t="shared" si="23"/>
        <v>8624368</v>
      </c>
      <c r="P171" s="12">
        <v>0</v>
      </c>
      <c r="Q171" s="12">
        <v>1047237</v>
      </c>
      <c r="R171" s="12">
        <v>0</v>
      </c>
      <c r="S171" s="12">
        <f t="shared" si="24"/>
        <v>1047237</v>
      </c>
      <c r="T171" s="7">
        <v>4134263</v>
      </c>
      <c r="U171" s="7">
        <v>3039333</v>
      </c>
      <c r="V171" s="7">
        <v>149083</v>
      </c>
      <c r="W171" s="7">
        <v>0</v>
      </c>
      <c r="X171" s="7">
        <v>18376455</v>
      </c>
      <c r="Y171" s="7" t="s">
        <v>531</v>
      </c>
      <c r="Z171" s="26">
        <v>0.18609999999999999</v>
      </c>
      <c r="AA171" s="7">
        <v>0</v>
      </c>
      <c r="AB171" s="26">
        <f>1375819/18227372</f>
        <v>7.5480930547749833E-2</v>
      </c>
      <c r="AC171" s="7">
        <v>1375089</v>
      </c>
      <c r="AD171" s="7">
        <v>78574</v>
      </c>
      <c r="AE171" s="7">
        <f>21843+1397</f>
        <v>23240</v>
      </c>
      <c r="AF171" s="7">
        <v>760810</v>
      </c>
      <c r="AG171" s="7">
        <v>59306</v>
      </c>
      <c r="AH171" s="7">
        <v>205682</v>
      </c>
      <c r="AI171" s="7">
        <v>92748</v>
      </c>
      <c r="AJ171" s="7">
        <v>2865</v>
      </c>
      <c r="AK171" s="7">
        <v>38242</v>
      </c>
      <c r="AL171" s="7">
        <v>15400</v>
      </c>
      <c r="AM171" s="7">
        <v>1000</v>
      </c>
      <c r="AN171" s="7">
        <v>0</v>
      </c>
      <c r="AO171" s="7">
        <f>13686+36309+36086</f>
        <v>86081</v>
      </c>
      <c r="AP171" s="7">
        <v>16205</v>
      </c>
      <c r="AQ171" s="7">
        <v>-163</v>
      </c>
      <c r="AR171" s="7">
        <v>0</v>
      </c>
      <c r="AS171" s="7">
        <v>1557</v>
      </c>
      <c r="AT171" s="7">
        <v>15754</v>
      </c>
      <c r="AU171" s="7">
        <v>0</v>
      </c>
      <c r="AV171" s="7">
        <v>1356756</v>
      </c>
      <c r="AW171" s="7">
        <v>1423654</v>
      </c>
      <c r="AX171" s="26">
        <f t="shared" si="26"/>
        <v>0</v>
      </c>
      <c r="AY171" s="7">
        <v>0</v>
      </c>
      <c r="AZ171" s="7">
        <v>0</v>
      </c>
      <c r="BA171" s="7">
        <v>148368</v>
      </c>
      <c r="BB171" s="7">
        <v>0</v>
      </c>
      <c r="BC171" s="7">
        <v>190397</v>
      </c>
      <c r="BD171" s="7">
        <v>0</v>
      </c>
      <c r="BE171" s="7">
        <v>0</v>
      </c>
      <c r="BF171" s="7">
        <v>0</v>
      </c>
      <c r="BG171" s="7">
        <v>5661</v>
      </c>
      <c r="BH171" s="7">
        <v>3712</v>
      </c>
      <c r="BI171" s="7">
        <v>0</v>
      </c>
      <c r="BJ171" s="7"/>
      <c r="BK171" s="7">
        <f>174-525</f>
        <v>-351</v>
      </c>
      <c r="BL171" s="7">
        <v>-2321</v>
      </c>
      <c r="BM171" s="7">
        <v>0</v>
      </c>
      <c r="BN171" s="7">
        <v>-721</v>
      </c>
      <c r="BO171" s="7">
        <v>-1</v>
      </c>
      <c r="BP171" s="7">
        <f t="shared" si="25"/>
        <v>5979</v>
      </c>
      <c r="BQ171" s="1">
        <v>0</v>
      </c>
      <c r="BR171" s="7">
        <v>119</v>
      </c>
      <c r="BS171" s="7">
        <v>61</v>
      </c>
      <c r="BT171" s="7">
        <v>542</v>
      </c>
      <c r="BU171" s="7">
        <v>1</v>
      </c>
      <c r="BV171" s="7">
        <v>-1</v>
      </c>
      <c r="BW171" s="7">
        <v>0</v>
      </c>
      <c r="BX171" s="7">
        <v>1</v>
      </c>
      <c r="BY171" s="7">
        <v>34</v>
      </c>
      <c r="BZ171" s="7">
        <v>179</v>
      </c>
      <c r="CA171" s="7">
        <v>0</v>
      </c>
      <c r="CB171" s="7">
        <v>2</v>
      </c>
      <c r="CC171" s="7">
        <v>11</v>
      </c>
      <c r="CD171" s="7">
        <v>90</v>
      </c>
      <c r="CE171" s="7">
        <v>585</v>
      </c>
      <c r="CF171" s="7">
        <v>9</v>
      </c>
    </row>
    <row r="172" spans="1:84" x14ac:dyDescent="0.25">
      <c r="A172" s="15">
        <v>19</v>
      </c>
      <c r="B172" s="8" t="s">
        <v>219</v>
      </c>
      <c r="C172" s="57" t="s">
        <v>47</v>
      </c>
      <c r="D172" s="8" t="s">
        <v>664</v>
      </c>
      <c r="E172" s="8" t="s">
        <v>757</v>
      </c>
      <c r="F172" s="8"/>
      <c r="G172" s="8" t="s">
        <v>758</v>
      </c>
      <c r="H172" s="7">
        <v>22069040</v>
      </c>
      <c r="I172" s="7">
        <v>22108641</v>
      </c>
      <c r="J172" s="7">
        <v>1989990</v>
      </c>
      <c r="K172" s="12">
        <v>0</v>
      </c>
      <c r="L172" s="12">
        <v>648593</v>
      </c>
      <c r="M172" s="12">
        <v>3701754</v>
      </c>
      <c r="N172" s="12">
        <v>4926113</v>
      </c>
      <c r="O172" s="25">
        <f t="shared" ref="O172:O195" si="27">SUM(K172:N172)</f>
        <v>9276460</v>
      </c>
      <c r="P172" s="12">
        <v>1235131</v>
      </c>
      <c r="Q172" s="12">
        <v>0</v>
      </c>
      <c r="R172" s="12">
        <v>0</v>
      </c>
      <c r="S172" s="12">
        <f t="shared" ref="S172:S195" si="28">SUM(P172:R172)</f>
        <v>1235131</v>
      </c>
      <c r="T172" s="7">
        <v>4668439</v>
      </c>
      <c r="U172" s="7">
        <v>2849899</v>
      </c>
      <c r="V172" s="7">
        <v>123615</v>
      </c>
      <c r="W172" s="7">
        <v>0</v>
      </c>
      <c r="X172" s="7">
        <v>19520014</v>
      </c>
      <c r="Y172" s="7" t="s">
        <v>531</v>
      </c>
      <c r="Z172" s="26">
        <v>0.16719999999999999</v>
      </c>
      <c r="AA172" s="7">
        <v>0</v>
      </c>
      <c r="AB172" s="26">
        <f>1357005/19385786</f>
        <v>6.9999998968316268E-2</v>
      </c>
      <c r="AC172" s="7">
        <v>1355857</v>
      </c>
      <c r="AD172" s="7">
        <v>135435</v>
      </c>
      <c r="AE172" s="7">
        <f>27424+4703+906</f>
        <v>33033</v>
      </c>
      <c r="AF172" s="7">
        <v>726612</v>
      </c>
      <c r="AG172" s="7">
        <v>55991</v>
      </c>
      <c r="AH172" s="7">
        <v>175610</v>
      </c>
      <c r="AI172" s="7">
        <v>88923</v>
      </c>
      <c r="AJ172" s="7">
        <v>3069</v>
      </c>
      <c r="AK172" s="7">
        <v>55117</v>
      </c>
      <c r="AL172" s="7">
        <v>10200</v>
      </c>
      <c r="AM172" s="7">
        <v>2063</v>
      </c>
      <c r="AN172" s="7">
        <v>0</v>
      </c>
      <c r="AO172" s="7">
        <f>10218+30238+42197</f>
        <v>82653</v>
      </c>
      <c r="AP172" s="7">
        <v>13398</v>
      </c>
      <c r="AQ172" s="7">
        <v>-389</v>
      </c>
      <c r="AR172" s="7">
        <v>0</v>
      </c>
      <c r="AS172" s="7">
        <v>13059</v>
      </c>
      <c r="AT172" s="7">
        <v>61325</v>
      </c>
      <c r="AU172" s="7">
        <v>0</v>
      </c>
      <c r="AV172" s="7">
        <v>1319690</v>
      </c>
      <c r="AW172" s="7">
        <v>1388070</v>
      </c>
      <c r="AX172" s="26">
        <f t="shared" si="26"/>
        <v>0</v>
      </c>
      <c r="AY172" s="7">
        <v>0</v>
      </c>
      <c r="AZ172" s="7">
        <v>0</v>
      </c>
      <c r="BA172" s="7">
        <v>148368</v>
      </c>
      <c r="BB172" s="7">
        <v>0</v>
      </c>
      <c r="BC172" s="7">
        <v>216245</v>
      </c>
      <c r="BD172" s="7">
        <v>0</v>
      </c>
      <c r="BE172" s="7">
        <v>0</v>
      </c>
      <c r="BF172" s="7">
        <v>0</v>
      </c>
      <c r="BG172" s="7">
        <v>5824</v>
      </c>
      <c r="BH172" s="7">
        <v>3618</v>
      </c>
      <c r="BI172" s="7">
        <v>56</v>
      </c>
      <c r="BJ172" s="7"/>
      <c r="BK172" s="7">
        <f>36-1+57</f>
        <v>92</v>
      </c>
      <c r="BL172" s="7">
        <v>-462</v>
      </c>
      <c r="BM172" s="7">
        <v>-2102</v>
      </c>
      <c r="BN172" s="7">
        <v>-438</v>
      </c>
      <c r="BO172" s="7">
        <v>0</v>
      </c>
      <c r="BP172" s="7">
        <f t="shared" ref="BP172:BP195" si="29">SUM(BG172:BO172)</f>
        <v>6588</v>
      </c>
      <c r="BQ172" s="1">
        <v>0</v>
      </c>
      <c r="BR172" s="7">
        <v>103</v>
      </c>
      <c r="BS172" s="7">
        <v>45</v>
      </c>
      <c r="BT172" s="7">
        <v>285</v>
      </c>
      <c r="BU172" s="7">
        <v>0</v>
      </c>
      <c r="BV172" s="7">
        <v>5</v>
      </c>
      <c r="BW172" s="7">
        <v>0</v>
      </c>
      <c r="BX172" s="7">
        <v>1</v>
      </c>
      <c r="BY172" s="7">
        <v>43</v>
      </c>
      <c r="BZ172" s="7">
        <v>151</v>
      </c>
      <c r="CA172" s="7">
        <v>1</v>
      </c>
      <c r="CB172" s="7">
        <v>3</v>
      </c>
      <c r="CC172" s="7">
        <v>5</v>
      </c>
      <c r="CD172" s="7">
        <v>87</v>
      </c>
      <c r="CE172" s="7">
        <v>570</v>
      </c>
      <c r="CF172" s="7">
        <v>5</v>
      </c>
    </row>
    <row r="173" spans="1:84" x14ac:dyDescent="0.25">
      <c r="A173" s="15">
        <v>19</v>
      </c>
      <c r="B173" s="8" t="s">
        <v>708</v>
      </c>
      <c r="C173" s="57" t="s">
        <v>473</v>
      </c>
      <c r="D173" s="8" t="s">
        <v>153</v>
      </c>
      <c r="E173" s="8" t="s">
        <v>805</v>
      </c>
      <c r="F173" s="8"/>
      <c r="G173" s="8" t="s">
        <v>806</v>
      </c>
      <c r="H173" s="7">
        <v>1961388</v>
      </c>
      <c r="I173" s="7">
        <v>1970682</v>
      </c>
      <c r="J173" s="7">
        <v>174423</v>
      </c>
      <c r="K173" s="12">
        <v>0</v>
      </c>
      <c r="L173" s="12">
        <v>82562</v>
      </c>
      <c r="M173" s="12">
        <v>659954</v>
      </c>
      <c r="N173" s="12">
        <v>0</v>
      </c>
      <c r="O173" s="25">
        <f t="shared" si="27"/>
        <v>742516</v>
      </c>
      <c r="P173" s="12">
        <v>0</v>
      </c>
      <c r="Q173" s="12">
        <v>0</v>
      </c>
      <c r="R173" s="12">
        <v>224015</v>
      </c>
      <c r="S173" s="12">
        <f t="shared" si="28"/>
        <v>224015</v>
      </c>
      <c r="T173" s="7">
        <v>549867</v>
      </c>
      <c r="U173" s="7">
        <v>133048</v>
      </c>
      <c r="V173" s="7">
        <v>3039</v>
      </c>
      <c r="W173" s="7">
        <v>0</v>
      </c>
      <c r="X173" s="7">
        <v>1833375</v>
      </c>
      <c r="Y173" s="7" t="s">
        <v>40</v>
      </c>
      <c r="Z173" s="26">
        <v>0.1908</v>
      </c>
      <c r="AA173" s="7">
        <v>0</v>
      </c>
      <c r="AB173" s="26">
        <f>171210/1824127</f>
        <v>9.385859646833801E-2</v>
      </c>
      <c r="AC173" s="7">
        <v>171215</v>
      </c>
      <c r="AD173" s="7">
        <v>43797</v>
      </c>
      <c r="AE173" s="7">
        <f>87+1542+341</f>
        <v>1970</v>
      </c>
      <c r="AF173" s="7">
        <v>27369</v>
      </c>
      <c r="AG173" s="7">
        <v>2899</v>
      </c>
      <c r="AH173" s="7">
        <v>0</v>
      </c>
      <c r="AI173" s="7">
        <v>9298</v>
      </c>
      <c r="AJ173" s="7">
        <v>6500</v>
      </c>
      <c r="AK173" s="7">
        <v>74</v>
      </c>
      <c r="AL173" s="7">
        <v>7800</v>
      </c>
      <c r="AM173" s="7">
        <v>3959</v>
      </c>
      <c r="AN173" s="7">
        <v>0</v>
      </c>
      <c r="AO173" s="7">
        <f>3264+3106+2981</f>
        <v>9351</v>
      </c>
      <c r="AP173" s="7">
        <v>0</v>
      </c>
      <c r="AQ173" s="7">
        <v>0</v>
      </c>
      <c r="AR173" s="7">
        <v>0</v>
      </c>
      <c r="AS173" s="7">
        <v>2535</v>
      </c>
      <c r="AT173" s="7">
        <v>3030</v>
      </c>
      <c r="AU173" s="7">
        <v>0</v>
      </c>
      <c r="AV173" s="7">
        <v>77955</v>
      </c>
      <c r="AW173" s="7">
        <v>80517</v>
      </c>
      <c r="AX173" s="26">
        <f t="shared" si="26"/>
        <v>0</v>
      </c>
      <c r="AY173" s="7">
        <v>0</v>
      </c>
      <c r="AZ173" s="7">
        <v>0</v>
      </c>
      <c r="BA173" s="7">
        <v>91950</v>
      </c>
      <c r="BB173" s="7">
        <v>330</v>
      </c>
      <c r="BC173" s="7">
        <v>9152</v>
      </c>
      <c r="BD173" s="7">
        <v>0</v>
      </c>
      <c r="BE173" s="7">
        <v>0</v>
      </c>
      <c r="BF173" s="7">
        <v>0</v>
      </c>
      <c r="BG173" s="7">
        <v>382</v>
      </c>
      <c r="BH173" s="7">
        <v>132</v>
      </c>
      <c r="BI173" s="7">
        <v>0</v>
      </c>
      <c r="BJ173" s="7"/>
      <c r="BK173" s="7">
        <f>3-1</f>
        <v>2</v>
      </c>
      <c r="BL173" s="7">
        <v>-18</v>
      </c>
      <c r="BM173" s="7">
        <v>-56</v>
      </c>
      <c r="BN173" s="7">
        <v>-90</v>
      </c>
      <c r="BO173" s="7">
        <v>-2</v>
      </c>
      <c r="BP173" s="7">
        <f t="shared" si="29"/>
        <v>350</v>
      </c>
      <c r="BQ173" s="1">
        <v>0</v>
      </c>
      <c r="BR173" s="7">
        <v>11</v>
      </c>
      <c r="BS173" s="7">
        <v>4</v>
      </c>
      <c r="BT173" s="7">
        <v>76</v>
      </c>
      <c r="BU173" s="7">
        <v>0</v>
      </c>
      <c r="BV173" s="7">
        <v>1</v>
      </c>
      <c r="BW173" s="7">
        <v>1</v>
      </c>
      <c r="BX173" s="7">
        <v>1</v>
      </c>
      <c r="BY173" s="7">
        <v>7</v>
      </c>
      <c r="BZ173" s="7">
        <v>3</v>
      </c>
      <c r="CA173" s="7">
        <v>0</v>
      </c>
      <c r="CB173" s="7">
        <v>2</v>
      </c>
      <c r="CC173" s="7">
        <v>2</v>
      </c>
      <c r="CD173" s="7">
        <v>21</v>
      </c>
      <c r="CE173" s="7">
        <v>4</v>
      </c>
      <c r="CF173" s="7">
        <v>0</v>
      </c>
    </row>
    <row r="174" spans="1:84" x14ac:dyDescent="0.25">
      <c r="A174" s="15">
        <v>19</v>
      </c>
      <c r="B174" s="8" t="s">
        <v>858</v>
      </c>
      <c r="C174" s="57" t="s">
        <v>663</v>
      </c>
      <c r="D174" s="8" t="s">
        <v>212</v>
      </c>
      <c r="E174" s="8" t="s">
        <v>167</v>
      </c>
      <c r="F174" s="8"/>
      <c r="G174" s="8" t="s">
        <v>170</v>
      </c>
      <c r="H174" s="7">
        <v>19911871</v>
      </c>
      <c r="I174" s="7">
        <v>19974460</v>
      </c>
      <c r="J174" s="7">
        <v>851614</v>
      </c>
      <c r="K174" s="12">
        <v>18879</v>
      </c>
      <c r="L174" s="12">
        <v>2522787</v>
      </c>
      <c r="M174" s="12">
        <v>4720018</v>
      </c>
      <c r="N174" s="12">
        <v>0</v>
      </c>
      <c r="O174" s="25">
        <f t="shared" si="27"/>
        <v>7261684</v>
      </c>
      <c r="P174" s="12">
        <v>0</v>
      </c>
      <c r="Q174" s="12">
        <v>2459525</v>
      </c>
      <c r="R174" s="12">
        <v>0</v>
      </c>
      <c r="S174" s="12">
        <f t="shared" si="28"/>
        <v>2459525</v>
      </c>
      <c r="T174" s="7">
        <v>5646399</v>
      </c>
      <c r="U174" s="7">
        <v>1593840</v>
      </c>
      <c r="V174" s="7">
        <v>0</v>
      </c>
      <c r="W174" s="7">
        <v>0</v>
      </c>
      <c r="X174" s="7">
        <v>18343704</v>
      </c>
      <c r="Y174" s="7" t="s">
        <v>756</v>
      </c>
      <c r="Z174" s="26">
        <v>0.35830000000000001</v>
      </c>
      <c r="AA174" s="7">
        <v>0</v>
      </c>
      <c r="AB174" s="26">
        <f>1273082/16961450</f>
        <v>7.5057380117855496E-2</v>
      </c>
      <c r="AC174" s="7">
        <v>1270584</v>
      </c>
      <c r="AD174" s="7">
        <v>0</v>
      </c>
      <c r="AE174" s="7">
        <f>55734+202+116</f>
        <v>56052</v>
      </c>
      <c r="AF174" s="7">
        <v>655118</v>
      </c>
      <c r="AG174" s="7">
        <v>52410</v>
      </c>
      <c r="AH174" s="7">
        <v>151285</v>
      </c>
      <c r="AI174" s="7">
        <v>81019</v>
      </c>
      <c r="AJ174" s="7">
        <v>5043</v>
      </c>
      <c r="AK174" s="7">
        <v>22533</v>
      </c>
      <c r="AL174" s="7">
        <v>9700</v>
      </c>
      <c r="AM174" s="7">
        <v>7394</v>
      </c>
      <c r="AN174" s="7">
        <v>0</v>
      </c>
      <c r="AO174" s="7">
        <f>8856+18760+18164</f>
        <v>45780</v>
      </c>
      <c r="AP174" s="7">
        <v>22721</v>
      </c>
      <c r="AQ174" s="7">
        <v>0</v>
      </c>
      <c r="AR174" s="7">
        <v>0</v>
      </c>
      <c r="AS174" s="7">
        <v>0</v>
      </c>
      <c r="AT174" s="7">
        <v>95204</v>
      </c>
      <c r="AU174" s="7">
        <v>0</v>
      </c>
      <c r="AV174" s="7">
        <v>1163487</v>
      </c>
      <c r="AW174" s="7">
        <v>1176059</v>
      </c>
      <c r="AX174" s="26">
        <f t="shared" si="26"/>
        <v>0</v>
      </c>
      <c r="AY174" s="7">
        <v>0</v>
      </c>
      <c r="AZ174" s="7">
        <v>0</v>
      </c>
      <c r="BA174" s="7">
        <v>148368</v>
      </c>
      <c r="BB174" s="7">
        <v>0</v>
      </c>
      <c r="BC174" s="7">
        <v>127218</v>
      </c>
      <c r="BD174" s="7">
        <v>0</v>
      </c>
      <c r="BE174" s="7">
        <v>0</v>
      </c>
      <c r="BF174" s="7">
        <v>0</v>
      </c>
      <c r="BG174" s="7">
        <v>4778</v>
      </c>
      <c r="BH174" s="7">
        <v>2511</v>
      </c>
      <c r="BI174" s="7">
        <v>0</v>
      </c>
      <c r="BJ174" s="7"/>
      <c r="BK174" s="7">
        <v>65</v>
      </c>
      <c r="BL174" s="7">
        <v>-345</v>
      </c>
      <c r="BM174" s="7">
        <v>-1210</v>
      </c>
      <c r="BN174" s="7">
        <v>-1266</v>
      </c>
      <c r="BO174" s="7">
        <v>0</v>
      </c>
      <c r="BP174" s="7">
        <f t="shared" si="29"/>
        <v>4533</v>
      </c>
      <c r="BQ174" s="1">
        <v>2</v>
      </c>
      <c r="BR174" s="7">
        <v>165</v>
      </c>
      <c r="BS174" s="7">
        <v>104</v>
      </c>
      <c r="BT174" s="7">
        <v>958</v>
      </c>
      <c r="BU174" s="7">
        <v>22</v>
      </c>
      <c r="BV174" s="7">
        <v>17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29</v>
      </c>
      <c r="CC174" s="7">
        <v>15</v>
      </c>
      <c r="CD174" s="7">
        <v>51</v>
      </c>
      <c r="CE174" s="7">
        <v>180</v>
      </c>
      <c r="CF174" s="7">
        <v>0</v>
      </c>
    </row>
    <row r="175" spans="1:84" x14ac:dyDescent="0.25">
      <c r="A175" s="15">
        <v>20</v>
      </c>
      <c r="B175" s="8" t="s">
        <v>99</v>
      </c>
      <c r="C175" s="57" t="s">
        <v>794</v>
      </c>
      <c r="D175" s="8" t="s">
        <v>519</v>
      </c>
      <c r="E175" s="8" t="s">
        <v>566</v>
      </c>
      <c r="F175" s="8" t="s">
        <v>234</v>
      </c>
      <c r="G175" s="8" t="s">
        <v>567</v>
      </c>
      <c r="H175" s="7">
        <v>5201671</v>
      </c>
      <c r="I175" s="7">
        <v>5202849</v>
      </c>
      <c r="J175" s="7">
        <v>127409</v>
      </c>
      <c r="K175" s="12">
        <v>893156</v>
      </c>
      <c r="L175" s="12">
        <v>332461</v>
      </c>
      <c r="M175" s="12">
        <v>1847602</v>
      </c>
      <c r="N175" s="12">
        <v>0</v>
      </c>
      <c r="O175" s="25">
        <f t="shared" si="27"/>
        <v>3073219</v>
      </c>
      <c r="P175" s="12">
        <v>6544</v>
      </c>
      <c r="Q175" s="12">
        <v>341291</v>
      </c>
      <c r="R175" s="12">
        <v>0</v>
      </c>
      <c r="S175" s="12">
        <f t="shared" si="28"/>
        <v>347835</v>
      </c>
      <c r="T175" s="7">
        <v>735575</v>
      </c>
      <c r="U175" s="7">
        <v>330267</v>
      </c>
      <c r="V175" s="7">
        <v>0</v>
      </c>
      <c r="W175" s="7">
        <v>0</v>
      </c>
      <c r="X175" s="7">
        <v>4955559</v>
      </c>
      <c r="Y175" s="7" t="s">
        <v>73</v>
      </c>
      <c r="Z175" s="26">
        <v>0.124</v>
      </c>
      <c r="AA175" s="7">
        <v>0</v>
      </c>
      <c r="AB175" s="26">
        <f>465872/4920501</f>
        <v>9.4679789720599594E-2</v>
      </c>
      <c r="AC175" s="7">
        <v>464700</v>
      </c>
      <c r="AD175" s="7">
        <v>0</v>
      </c>
      <c r="AE175" s="7">
        <f>1158+218+281</f>
        <v>1657</v>
      </c>
      <c r="AF175" s="7">
        <v>113430</v>
      </c>
      <c r="AG175" s="7">
        <v>8933</v>
      </c>
      <c r="AH175" s="7">
        <v>19345</v>
      </c>
      <c r="AI175" s="7">
        <v>25297</v>
      </c>
      <c r="AJ175" s="7">
        <v>6420</v>
      </c>
      <c r="AK175" s="7">
        <v>11444</v>
      </c>
      <c r="AL175" s="7">
        <v>5700</v>
      </c>
      <c r="AM175" s="7">
        <v>10909</v>
      </c>
      <c r="AN175" s="7">
        <v>0</v>
      </c>
      <c r="AO175" s="7">
        <f>4747+14955+7837</f>
        <v>27539</v>
      </c>
      <c r="AP175" s="7">
        <v>8988</v>
      </c>
      <c r="AQ175" s="7">
        <v>0</v>
      </c>
      <c r="AR175" s="7">
        <v>1750</v>
      </c>
      <c r="AS175" s="7">
        <v>0</v>
      </c>
      <c r="AT175" s="7">
        <v>45050</v>
      </c>
      <c r="AU175" s="7">
        <v>0</v>
      </c>
      <c r="AV175" s="7">
        <v>325502</v>
      </c>
      <c r="AW175" s="7">
        <v>322118</v>
      </c>
      <c r="AX175" s="26">
        <f t="shared" si="26"/>
        <v>0</v>
      </c>
      <c r="AY175" s="7">
        <v>0</v>
      </c>
      <c r="AZ175" s="7">
        <v>0</v>
      </c>
      <c r="BA175" s="7">
        <v>148368</v>
      </c>
      <c r="BB175" s="7">
        <v>0</v>
      </c>
      <c r="BC175" s="7">
        <v>17171</v>
      </c>
      <c r="BD175" s="7">
        <v>0</v>
      </c>
      <c r="BE175" s="7">
        <v>0</v>
      </c>
      <c r="BF175" s="7">
        <v>0</v>
      </c>
      <c r="BG175" s="7">
        <v>607</v>
      </c>
      <c r="BH175" s="7">
        <v>355</v>
      </c>
      <c r="BI175" s="7">
        <v>0</v>
      </c>
      <c r="BJ175" s="7"/>
      <c r="BK175" s="7">
        <v>0</v>
      </c>
      <c r="BL175" s="7">
        <v>-44</v>
      </c>
      <c r="BM175" s="7">
        <v>-119</v>
      </c>
      <c r="BN175" s="7">
        <v>-115</v>
      </c>
      <c r="BO175" s="7">
        <v>0</v>
      </c>
      <c r="BP175" s="7">
        <f t="shared" si="29"/>
        <v>684</v>
      </c>
      <c r="BQ175" s="1">
        <v>4</v>
      </c>
      <c r="BR175" s="7">
        <v>46</v>
      </c>
      <c r="BS175" s="7">
        <v>9</v>
      </c>
      <c r="BT175" s="7">
        <v>59</v>
      </c>
      <c r="BU175" s="7">
        <v>0</v>
      </c>
      <c r="BV175" s="7">
        <v>1</v>
      </c>
      <c r="BW175" s="7">
        <v>0</v>
      </c>
      <c r="BX175" s="7">
        <v>2</v>
      </c>
      <c r="BY175" s="7">
        <v>10</v>
      </c>
      <c r="BZ175" s="7">
        <v>10</v>
      </c>
      <c r="CA175" s="7">
        <v>0</v>
      </c>
      <c r="CB175" s="7">
        <v>3</v>
      </c>
      <c r="CC175" s="7">
        <v>4</v>
      </c>
      <c r="CD175" s="7">
        <v>25</v>
      </c>
      <c r="CE175" s="7">
        <v>32</v>
      </c>
      <c r="CF175" s="7">
        <v>2</v>
      </c>
    </row>
    <row r="176" spans="1:84" x14ac:dyDescent="0.25">
      <c r="A176" s="15">
        <v>20</v>
      </c>
      <c r="B176" s="8" t="s">
        <v>236</v>
      </c>
      <c r="C176" s="57" t="s">
        <v>451</v>
      </c>
      <c r="D176" s="8" t="s">
        <v>746</v>
      </c>
      <c r="E176" s="8" t="s">
        <v>566</v>
      </c>
      <c r="F176" s="8" t="s">
        <v>551</v>
      </c>
      <c r="G176" s="8" t="s">
        <v>567</v>
      </c>
      <c r="H176" s="7">
        <v>8776597</v>
      </c>
      <c r="I176" s="7">
        <v>8785573</v>
      </c>
      <c r="J176" s="7">
        <v>196776</v>
      </c>
      <c r="K176" s="12">
        <v>343106</v>
      </c>
      <c r="L176" s="2">
        <v>519731</v>
      </c>
      <c r="M176" s="12">
        <v>3737661</v>
      </c>
      <c r="N176" s="12">
        <v>0</v>
      </c>
      <c r="O176" s="25">
        <f t="shared" si="27"/>
        <v>4600498</v>
      </c>
      <c r="P176" s="12">
        <v>0</v>
      </c>
      <c r="Q176" s="12">
        <v>764635</v>
      </c>
      <c r="R176" s="12">
        <v>0</v>
      </c>
      <c r="S176" s="12">
        <f t="shared" si="28"/>
        <v>764635</v>
      </c>
      <c r="T176" s="7">
        <v>1828032</v>
      </c>
      <c r="U176" s="7">
        <v>399389</v>
      </c>
      <c r="V176" s="7">
        <v>707</v>
      </c>
      <c r="W176" s="7">
        <v>0</v>
      </c>
      <c r="X176" s="7">
        <v>8203266</v>
      </c>
      <c r="Y176" s="7" t="s">
        <v>531</v>
      </c>
      <c r="Z176" s="26">
        <v>0.10879999999999999</v>
      </c>
      <c r="AA176" s="7">
        <v>0</v>
      </c>
      <c r="AB176" s="26">
        <f>609674/8193453</f>
        <v>7.4409897756171905E-2</v>
      </c>
      <c r="AC176" s="7">
        <v>609770</v>
      </c>
      <c r="AD176" s="7">
        <v>0</v>
      </c>
      <c r="AE176" s="7">
        <f>8026+225</f>
        <v>8251</v>
      </c>
      <c r="AF176" s="7">
        <v>228480</v>
      </c>
      <c r="AG176" s="7">
        <v>20231</v>
      </c>
      <c r="AH176" s="7">
        <v>47952</v>
      </c>
      <c r="AI176" s="7">
        <v>46030</v>
      </c>
      <c r="AJ176" s="7">
        <v>9900</v>
      </c>
      <c r="AK176" s="7">
        <v>10627</v>
      </c>
      <c r="AL176" s="7">
        <v>7200</v>
      </c>
      <c r="AM176" s="7">
        <v>0</v>
      </c>
      <c r="AN176" s="7">
        <v>0</v>
      </c>
      <c r="AO176" s="7">
        <f>5168+11979+17035</f>
        <v>34182</v>
      </c>
      <c r="AP176" s="7">
        <v>4744</v>
      </c>
      <c r="AQ176" s="7">
        <v>440</v>
      </c>
      <c r="AR176" s="7">
        <v>0</v>
      </c>
      <c r="AS176" s="7">
        <v>0</v>
      </c>
      <c r="AT176" s="7">
        <v>10486</v>
      </c>
      <c r="AU176" s="7">
        <v>49467</v>
      </c>
      <c r="AV176" s="7">
        <v>451308</v>
      </c>
      <c r="AW176" s="7">
        <v>474652</v>
      </c>
      <c r="AX176" s="26">
        <f t="shared" si="26"/>
        <v>0.10960807253582919</v>
      </c>
      <c r="AY176" s="7">
        <v>672</v>
      </c>
      <c r="AZ176" s="7">
        <v>0</v>
      </c>
      <c r="BA176" s="7">
        <v>148368</v>
      </c>
      <c r="BB176" s="7">
        <v>0</v>
      </c>
      <c r="BC176" s="7">
        <v>54706</v>
      </c>
      <c r="BD176" s="7">
        <v>0</v>
      </c>
      <c r="BE176" s="7">
        <v>0</v>
      </c>
      <c r="BF176" s="7">
        <v>0</v>
      </c>
      <c r="BG176" s="7">
        <v>1316</v>
      </c>
      <c r="BH176" s="7">
        <v>543</v>
      </c>
      <c r="BI176" s="7">
        <v>0</v>
      </c>
      <c r="BJ176" s="7"/>
      <c r="BK176" s="7">
        <f>11-1</f>
        <v>10</v>
      </c>
      <c r="BL176" s="7">
        <v>-141</v>
      </c>
      <c r="BM176" s="7">
        <v>-190</v>
      </c>
      <c r="BN176" s="7">
        <v>-311</v>
      </c>
      <c r="BO176" s="7">
        <v>-2</v>
      </c>
      <c r="BP176" s="7">
        <f t="shared" si="29"/>
        <v>1225</v>
      </c>
      <c r="BQ176" s="1">
        <v>0</v>
      </c>
      <c r="BR176" s="7">
        <v>84</v>
      </c>
      <c r="BS176" s="7">
        <v>49</v>
      </c>
      <c r="BT176" s="7">
        <v>179</v>
      </c>
      <c r="BU176" s="7">
        <v>0</v>
      </c>
      <c r="BV176" s="7">
        <v>1</v>
      </c>
      <c r="BW176" s="7">
        <v>11</v>
      </c>
      <c r="BX176" s="7">
        <v>6</v>
      </c>
      <c r="BY176" s="7">
        <v>86</v>
      </c>
      <c r="BZ176" s="7">
        <v>0</v>
      </c>
      <c r="CA176" s="7">
        <v>1</v>
      </c>
      <c r="CB176" s="7">
        <v>7</v>
      </c>
      <c r="CC176" s="7">
        <v>6</v>
      </c>
      <c r="CD176" s="7">
        <v>69</v>
      </c>
      <c r="CE176" s="7">
        <v>0</v>
      </c>
      <c r="CF176" s="7">
        <v>0</v>
      </c>
    </row>
    <row r="177" spans="1:84" x14ac:dyDescent="0.25">
      <c r="A177" s="15">
        <v>20</v>
      </c>
      <c r="B177" s="8" t="s">
        <v>312</v>
      </c>
      <c r="C177" s="57" t="s">
        <v>794</v>
      </c>
      <c r="D177" s="8" t="s">
        <v>258</v>
      </c>
      <c r="E177" s="8" t="s">
        <v>428</v>
      </c>
      <c r="F177" s="8"/>
      <c r="G177" s="8" t="s">
        <v>409</v>
      </c>
      <c r="H177" s="7">
        <v>11403381</v>
      </c>
      <c r="I177" s="7">
        <v>11449677</v>
      </c>
      <c r="J177" s="7">
        <v>320883</v>
      </c>
      <c r="K177" s="12">
        <v>206825</v>
      </c>
      <c r="L177" s="12">
        <v>625660</v>
      </c>
      <c r="M177" s="12">
        <v>5446664</v>
      </c>
      <c r="N177" s="12">
        <v>0</v>
      </c>
      <c r="O177" s="25">
        <f t="shared" si="27"/>
        <v>6279149</v>
      </c>
      <c r="P177" s="12">
        <v>2600</v>
      </c>
      <c r="Q177" s="12">
        <v>1123946</v>
      </c>
      <c r="R177" s="12">
        <v>0</v>
      </c>
      <c r="S177" s="12">
        <f t="shared" si="28"/>
        <v>1126546</v>
      </c>
      <c r="T177" s="7">
        <v>1810963</v>
      </c>
      <c r="U177" s="7">
        <v>717300</v>
      </c>
      <c r="V177" s="7">
        <v>4821</v>
      </c>
      <c r="W177" s="7">
        <v>0</v>
      </c>
      <c r="X177" s="7">
        <v>10768257</v>
      </c>
      <c r="Y177" s="7" t="s">
        <v>762</v>
      </c>
      <c r="Z177" s="26">
        <v>0.1041</v>
      </c>
      <c r="AA177" s="7">
        <v>0</v>
      </c>
      <c r="AB177" s="26">
        <f>770716/10693177</f>
        <v>7.2075492624876586E-2</v>
      </c>
      <c r="AC177" s="7">
        <v>771008</v>
      </c>
      <c r="AD177" s="7">
        <v>0</v>
      </c>
      <c r="AE177" s="7">
        <f>41635+2903+2908</f>
        <v>47446</v>
      </c>
      <c r="AF177" s="7">
        <v>330484</v>
      </c>
      <c r="AG177" s="7">
        <v>27356</v>
      </c>
      <c r="AH177" s="7">
        <v>58700</v>
      </c>
      <c r="AI177" s="7">
        <v>58708</v>
      </c>
      <c r="AJ177" s="7">
        <v>16624</v>
      </c>
      <c r="AK177" s="7">
        <v>41270</v>
      </c>
      <c r="AL177" s="7">
        <v>6700</v>
      </c>
      <c r="AM177" s="7">
        <v>2754</v>
      </c>
      <c r="AN177" s="7">
        <v>0</v>
      </c>
      <c r="AO177" s="7">
        <f>11961+20711+16007</f>
        <v>48679</v>
      </c>
      <c r="AP177" s="7">
        <v>10211</v>
      </c>
      <c r="AQ177" s="7">
        <v>1215</v>
      </c>
      <c r="AR177" s="7">
        <v>0</v>
      </c>
      <c r="AS177" s="7">
        <v>1004</v>
      </c>
      <c r="AT177" s="7">
        <v>23790</v>
      </c>
      <c r="AU177" s="7">
        <v>0</v>
      </c>
      <c r="AV177" s="7">
        <v>650596</v>
      </c>
      <c r="AW177" s="7">
        <v>658964</v>
      </c>
      <c r="AX177" s="26">
        <f t="shared" si="26"/>
        <v>0</v>
      </c>
      <c r="AY177" s="7">
        <v>0</v>
      </c>
      <c r="AZ177" s="7">
        <v>0</v>
      </c>
      <c r="BA177" s="7">
        <v>148368</v>
      </c>
      <c r="BB177" s="7">
        <v>0</v>
      </c>
      <c r="BC177" s="7">
        <v>101938</v>
      </c>
      <c r="BD177" s="7">
        <v>0</v>
      </c>
      <c r="BE177" s="7">
        <v>0</v>
      </c>
      <c r="BF177" s="7">
        <v>0</v>
      </c>
      <c r="BG177" s="7">
        <v>1935</v>
      </c>
      <c r="BH177" s="7">
        <v>1068</v>
      </c>
      <c r="BI177" s="7">
        <v>0</v>
      </c>
      <c r="BJ177" s="7"/>
      <c r="BK177" s="7">
        <v>-3</v>
      </c>
      <c r="BL177" s="7">
        <v>-141</v>
      </c>
      <c r="BM177" s="7">
        <v>-288</v>
      </c>
      <c r="BN177" s="7">
        <v>-369</v>
      </c>
      <c r="BO177" s="7">
        <v>0</v>
      </c>
      <c r="BP177" s="7">
        <f t="shared" si="29"/>
        <v>2202</v>
      </c>
      <c r="BQ177" s="1">
        <v>1</v>
      </c>
      <c r="BR177" s="7">
        <v>49</v>
      </c>
      <c r="BS177" s="7">
        <v>16</v>
      </c>
      <c r="BT177" s="7">
        <v>161</v>
      </c>
      <c r="BU177" s="7">
        <v>137</v>
      </c>
      <c r="BV177" s="7">
        <v>6</v>
      </c>
      <c r="BW177" s="7">
        <v>1</v>
      </c>
      <c r="BX177" s="7">
        <v>0</v>
      </c>
      <c r="BY177" s="7">
        <v>18</v>
      </c>
      <c r="BZ177" s="7">
        <v>73</v>
      </c>
      <c r="CA177" s="7">
        <v>0</v>
      </c>
      <c r="CB177" s="7">
        <v>0</v>
      </c>
      <c r="CC177" s="7">
        <v>3</v>
      </c>
      <c r="CD177" s="7">
        <v>33</v>
      </c>
      <c r="CE177" s="7">
        <v>155</v>
      </c>
      <c r="CF177" s="7">
        <v>5</v>
      </c>
    </row>
    <row r="178" spans="1:84" x14ac:dyDescent="0.25">
      <c r="A178" s="15">
        <v>20</v>
      </c>
      <c r="B178" s="8" t="s">
        <v>319</v>
      </c>
      <c r="C178" s="57" t="s">
        <v>391</v>
      </c>
      <c r="D178" s="8" t="s">
        <v>737</v>
      </c>
      <c r="E178" s="8" t="s">
        <v>428</v>
      </c>
      <c r="F178" s="8"/>
      <c r="G178" s="8" t="s">
        <v>409</v>
      </c>
      <c r="H178" s="7">
        <v>10538630</v>
      </c>
      <c r="I178" s="7">
        <v>10560741</v>
      </c>
      <c r="J178" s="7">
        <v>328148</v>
      </c>
      <c r="K178" s="12">
        <v>0</v>
      </c>
      <c r="L178" s="12">
        <v>204735</v>
      </c>
      <c r="M178" s="12">
        <v>3558158</v>
      </c>
      <c r="N178" s="12">
        <v>1699737</v>
      </c>
      <c r="O178" s="25">
        <f t="shared" si="27"/>
        <v>5462630</v>
      </c>
      <c r="P178" s="12">
        <v>0</v>
      </c>
      <c r="Q178" s="12">
        <v>367883</v>
      </c>
      <c r="R178" s="12">
        <v>730121</v>
      </c>
      <c r="S178" s="12">
        <f t="shared" si="28"/>
        <v>1098004</v>
      </c>
      <c r="T178" s="7">
        <v>1656948</v>
      </c>
      <c r="U178" s="7">
        <v>1007805</v>
      </c>
      <c r="V178" s="7">
        <v>2216</v>
      </c>
      <c r="W178" s="7">
        <v>0</v>
      </c>
      <c r="X178" s="7">
        <v>10287431</v>
      </c>
      <c r="Y178" s="7" t="s">
        <v>132</v>
      </c>
      <c r="Z178" s="26">
        <v>6.7199999999999996E-2</v>
      </c>
      <c r="AA178" s="7">
        <v>0</v>
      </c>
      <c r="AB178" s="26">
        <f>957426/10232061</f>
        <v>9.3571177888794835E-2</v>
      </c>
      <c r="AC178" s="7">
        <v>957789</v>
      </c>
      <c r="AD178" s="7">
        <v>0</v>
      </c>
      <c r="AE178" s="7">
        <f>20300+3001+1221</f>
        <v>24522</v>
      </c>
      <c r="AF178" s="7">
        <v>439482</v>
      </c>
      <c r="AG178" s="7">
        <v>36237</v>
      </c>
      <c r="AH178" s="7">
        <v>139295</v>
      </c>
      <c r="AI178" s="7">
        <f>44900+7956</f>
        <v>52856</v>
      </c>
      <c r="AJ178" s="7">
        <v>2107</v>
      </c>
      <c r="AK178" s="7">
        <v>15556</v>
      </c>
      <c r="AL178" s="7">
        <v>8100</v>
      </c>
      <c r="AM178" s="7">
        <v>0</v>
      </c>
      <c r="AN178" s="7">
        <v>0</v>
      </c>
      <c r="AO178" s="7">
        <f>16868+24106+16371</f>
        <v>57345</v>
      </c>
      <c r="AP178" s="7">
        <v>13793</v>
      </c>
      <c r="AQ178" s="7">
        <v>1006</v>
      </c>
      <c r="AR178" s="7">
        <v>0</v>
      </c>
      <c r="AS178" s="7">
        <v>1899</v>
      </c>
      <c r="AT178" s="7">
        <v>6357</v>
      </c>
      <c r="AU178" s="7">
        <v>0</v>
      </c>
      <c r="AV178" s="7">
        <v>834055</v>
      </c>
      <c r="AW178" s="7">
        <v>839971</v>
      </c>
      <c r="AX178" s="26">
        <f t="shared" si="26"/>
        <v>0</v>
      </c>
      <c r="AY178" s="7">
        <f>116+130</f>
        <v>246</v>
      </c>
      <c r="AZ178" s="7">
        <v>0</v>
      </c>
      <c r="BA178" s="7">
        <v>148368</v>
      </c>
      <c r="BB178" s="7">
        <v>0</v>
      </c>
      <c r="BC178" s="7">
        <v>131502</v>
      </c>
      <c r="BD178" s="7">
        <v>0</v>
      </c>
      <c r="BE178" s="7">
        <v>0</v>
      </c>
      <c r="BF178" s="7">
        <v>0</v>
      </c>
      <c r="BG178" s="7">
        <v>2887</v>
      </c>
      <c r="BH178" s="7">
        <v>1147</v>
      </c>
      <c r="BI178" s="7">
        <v>0</v>
      </c>
      <c r="BJ178" s="7"/>
      <c r="BK178" s="7">
        <v>-2</v>
      </c>
      <c r="BL178" s="7">
        <v>-195</v>
      </c>
      <c r="BM178" s="7">
        <v>-440</v>
      </c>
      <c r="BN178" s="7">
        <v>-684</v>
      </c>
      <c r="BO178" s="7">
        <v>0</v>
      </c>
      <c r="BP178" s="7">
        <f t="shared" si="29"/>
        <v>2713</v>
      </c>
      <c r="BQ178" s="1">
        <v>0</v>
      </c>
      <c r="BR178" s="7">
        <v>39</v>
      </c>
      <c r="BS178" s="7">
        <v>26</v>
      </c>
      <c r="BT178" s="7">
        <v>240</v>
      </c>
      <c r="BU178" s="7">
        <v>353</v>
      </c>
      <c r="BV178" s="7">
        <v>26</v>
      </c>
      <c r="BW178" s="7">
        <v>1</v>
      </c>
      <c r="BX178" s="7">
        <v>2</v>
      </c>
      <c r="BY178" s="7">
        <v>29</v>
      </c>
      <c r="BZ178" s="7">
        <v>122</v>
      </c>
      <c r="CA178" s="7">
        <v>9</v>
      </c>
      <c r="CB178" s="7">
        <v>4</v>
      </c>
      <c r="CC178" s="7">
        <v>4</v>
      </c>
      <c r="CD178" s="7">
        <v>38</v>
      </c>
      <c r="CE178" s="7">
        <v>261</v>
      </c>
      <c r="CF178" s="7">
        <v>13</v>
      </c>
    </row>
    <row r="179" spans="1:84" x14ac:dyDescent="0.25">
      <c r="A179" s="15">
        <v>20</v>
      </c>
      <c r="B179" s="8" t="s">
        <v>322</v>
      </c>
      <c r="C179" s="57" t="s">
        <v>399</v>
      </c>
      <c r="D179" s="8" t="s">
        <v>568</v>
      </c>
      <c r="E179" s="8" t="s">
        <v>566</v>
      </c>
      <c r="F179" s="8" t="s">
        <v>787</v>
      </c>
      <c r="G179" s="8" t="s">
        <v>567</v>
      </c>
      <c r="H179" s="7">
        <v>33559124</v>
      </c>
      <c r="I179" s="7">
        <v>33594044</v>
      </c>
      <c r="J179" s="7">
        <v>1204012</v>
      </c>
      <c r="K179" s="12">
        <v>9233710</v>
      </c>
      <c r="L179" s="12">
        <v>2030104</v>
      </c>
      <c r="M179" s="12">
        <v>10089000</v>
      </c>
      <c r="N179" s="12">
        <v>0</v>
      </c>
      <c r="O179" s="25">
        <f t="shared" si="27"/>
        <v>21352814</v>
      </c>
      <c r="P179" s="12">
        <v>6554</v>
      </c>
      <c r="Q179" s="12">
        <v>2195060</v>
      </c>
      <c r="R179" s="12">
        <v>0</v>
      </c>
      <c r="S179" s="12">
        <f t="shared" si="28"/>
        <v>2201614</v>
      </c>
      <c r="T179" s="7">
        <v>5299113</v>
      </c>
      <c r="U179" s="7">
        <v>1529793</v>
      </c>
      <c r="V179" s="7">
        <v>0</v>
      </c>
      <c r="W179" s="7">
        <v>0</v>
      </c>
      <c r="X179" s="7">
        <v>31587168</v>
      </c>
      <c r="Y179" s="7" t="s">
        <v>531</v>
      </c>
      <c r="Z179" s="26">
        <v>0.14349999999999999</v>
      </c>
      <c r="AA179" s="7">
        <v>0</v>
      </c>
      <c r="AB179" s="26">
        <f>1193537/31446681</f>
        <v>3.7954307483196718E-2</v>
      </c>
      <c r="AC179" s="7">
        <v>1194062</v>
      </c>
      <c r="AD179" s="7">
        <v>0</v>
      </c>
      <c r="AE179" s="7">
        <f>34920+766</f>
        <v>35686</v>
      </c>
      <c r="AF179" s="7">
        <v>623284</v>
      </c>
      <c r="AG179" s="7">
        <v>48056</v>
      </c>
      <c r="AH179" s="7">
        <v>129312</v>
      </c>
      <c r="AI179" s="7">
        <v>41184</v>
      </c>
      <c r="AJ179" s="7">
        <v>2498</v>
      </c>
      <c r="AK179" s="7">
        <v>41741</v>
      </c>
      <c r="AL179" s="7">
        <v>10200</v>
      </c>
      <c r="AM179" s="7">
        <v>8625</v>
      </c>
      <c r="AN179" s="7">
        <v>0</v>
      </c>
      <c r="AO179" s="7">
        <f>12220+30074+23953</f>
        <v>66247</v>
      </c>
      <c r="AP179" s="7">
        <v>13004</v>
      </c>
      <c r="AQ179" s="7">
        <v>486</v>
      </c>
      <c r="AR179" s="7">
        <v>0</v>
      </c>
      <c r="AS179" s="7">
        <v>727</v>
      </c>
      <c r="AT179" s="7">
        <v>10752</v>
      </c>
      <c r="AU179" s="7">
        <v>0</v>
      </c>
      <c r="AV179" s="7">
        <v>1030786</v>
      </c>
      <c r="AW179" s="7">
        <v>1069694</v>
      </c>
      <c r="AX179" s="26">
        <f t="shared" si="26"/>
        <v>0</v>
      </c>
      <c r="AY179" s="7">
        <v>0</v>
      </c>
      <c r="AZ179" s="7">
        <v>0</v>
      </c>
      <c r="BA179" s="7">
        <v>148368</v>
      </c>
      <c r="BB179" s="7">
        <v>0</v>
      </c>
      <c r="BC179" s="7">
        <v>182367</v>
      </c>
      <c r="BD179" s="7">
        <v>7133</v>
      </c>
      <c r="BE179" s="7">
        <v>7133</v>
      </c>
      <c r="BF179" s="7">
        <v>0</v>
      </c>
      <c r="BG179" s="7">
        <v>4287</v>
      </c>
      <c r="BH179" s="7">
        <v>1925</v>
      </c>
      <c r="BI179" s="7">
        <v>48</v>
      </c>
      <c r="BJ179" s="7"/>
      <c r="BK179" s="7">
        <f>-36+26</f>
        <v>-10</v>
      </c>
      <c r="BL179" s="7">
        <v>-358</v>
      </c>
      <c r="BM179" s="7">
        <v>-1182</v>
      </c>
      <c r="BN179" s="7">
        <v>-801</v>
      </c>
      <c r="BO179" s="7">
        <v>0</v>
      </c>
      <c r="BP179" s="7">
        <f t="shared" si="29"/>
        <v>3909</v>
      </c>
      <c r="BQ179" s="1">
        <v>0</v>
      </c>
      <c r="BR179" s="7">
        <v>212</v>
      </c>
      <c r="BS179" s="7">
        <v>117</v>
      </c>
      <c r="BT179" s="7">
        <v>445</v>
      </c>
      <c r="BU179" s="7">
        <v>21</v>
      </c>
      <c r="BV179" s="7">
        <v>11</v>
      </c>
      <c r="BW179" s="7">
        <v>1</v>
      </c>
      <c r="BX179" s="7">
        <v>4</v>
      </c>
      <c r="BY179" s="7">
        <v>52</v>
      </c>
      <c r="BZ179" s="7">
        <v>189</v>
      </c>
      <c r="CA179" s="7">
        <v>0</v>
      </c>
      <c r="CB179" s="7">
        <v>4</v>
      </c>
      <c r="CC179" s="7">
        <v>10</v>
      </c>
      <c r="CD179" s="7">
        <v>102</v>
      </c>
      <c r="CE179" s="7">
        <v>443</v>
      </c>
      <c r="CF179" s="7">
        <v>4</v>
      </c>
    </row>
    <row r="180" spans="1:84" x14ac:dyDescent="0.25">
      <c r="A180" s="15">
        <v>20</v>
      </c>
      <c r="B180" s="8" t="s">
        <v>684</v>
      </c>
      <c r="C180" s="57" t="s">
        <v>416</v>
      </c>
      <c r="D180" s="8" t="s">
        <v>35</v>
      </c>
      <c r="E180" s="8" t="s">
        <v>546</v>
      </c>
      <c r="F180" s="8"/>
      <c r="G180" s="8" t="s">
        <v>541</v>
      </c>
      <c r="H180" s="7">
        <v>9805270</v>
      </c>
      <c r="I180" s="7">
        <v>9843190</v>
      </c>
      <c r="J180" s="7">
        <v>761188</v>
      </c>
      <c r="K180" s="12">
        <v>0</v>
      </c>
      <c r="L180" s="12">
        <v>290737</v>
      </c>
      <c r="M180" s="12">
        <v>4287521</v>
      </c>
      <c r="N180" s="12">
        <v>0</v>
      </c>
      <c r="O180" s="25">
        <f t="shared" si="27"/>
        <v>4578258</v>
      </c>
      <c r="P180" s="12">
        <v>68597</v>
      </c>
      <c r="Q180" s="12">
        <v>1110014</v>
      </c>
      <c r="R180" s="12">
        <v>0</v>
      </c>
      <c r="S180" s="12">
        <f t="shared" si="28"/>
        <v>1178611</v>
      </c>
      <c r="T180" s="7">
        <v>2081025</v>
      </c>
      <c r="U180" s="7">
        <v>925009</v>
      </c>
      <c r="V180" s="7">
        <v>0</v>
      </c>
      <c r="W180" s="7">
        <v>0</v>
      </c>
      <c r="X180" s="7">
        <v>9764282</v>
      </c>
      <c r="Y180" s="7" t="s">
        <v>531</v>
      </c>
      <c r="Z180" s="26">
        <v>0.15</v>
      </c>
      <c r="AA180" s="7">
        <v>0</v>
      </c>
      <c r="AB180" s="26">
        <f>970048/9700470</f>
        <v>0.10000010308778853</v>
      </c>
      <c r="AC180" s="7">
        <v>969378</v>
      </c>
      <c r="AD180" s="7">
        <v>0</v>
      </c>
      <c r="AE180" s="7">
        <f>17212+790</f>
        <v>18002</v>
      </c>
      <c r="AF180" s="7">
        <v>434451</v>
      </c>
      <c r="AG180" s="7">
        <v>33721</v>
      </c>
      <c r="AH180" s="7">
        <v>76033</v>
      </c>
      <c r="AI180" s="7">
        <f>46327+8850</f>
        <v>55177</v>
      </c>
      <c r="AJ180" s="7">
        <v>7287</v>
      </c>
      <c r="AK180" s="7">
        <v>40672</v>
      </c>
      <c r="AL180" s="7">
        <v>9700</v>
      </c>
      <c r="AM180" s="7">
        <v>12159</v>
      </c>
      <c r="AN180" s="7">
        <v>0</v>
      </c>
      <c r="AO180" s="7">
        <f>17825+3219+14876</f>
        <v>35920</v>
      </c>
      <c r="AP180" s="7">
        <v>10837</v>
      </c>
      <c r="AQ180" s="7">
        <v>0</v>
      </c>
      <c r="AR180" s="7">
        <v>0</v>
      </c>
      <c r="AS180" s="7">
        <v>23618</v>
      </c>
      <c r="AT180" s="7">
        <v>462</v>
      </c>
      <c r="AU180" s="7">
        <v>0</v>
      </c>
      <c r="AV180" s="7">
        <v>853282</v>
      </c>
      <c r="AW180" s="7">
        <v>1123233</v>
      </c>
      <c r="AX180" s="26">
        <f t="shared" si="26"/>
        <v>0</v>
      </c>
      <c r="AY180" s="7">
        <v>1607</v>
      </c>
      <c r="AZ180" s="7">
        <v>5000</v>
      </c>
      <c r="BA180" s="7">
        <v>148368</v>
      </c>
      <c r="BB180" s="7">
        <v>0</v>
      </c>
      <c r="BC180" s="7">
        <v>135497</v>
      </c>
      <c r="BD180" s="7">
        <v>0</v>
      </c>
      <c r="BE180" s="7">
        <v>0</v>
      </c>
      <c r="BF180" s="7">
        <v>0</v>
      </c>
      <c r="BG180" s="7">
        <v>3314</v>
      </c>
      <c r="BH180" s="7">
        <v>858</v>
      </c>
      <c r="BI180" s="7">
        <v>0</v>
      </c>
      <c r="BJ180" s="7"/>
      <c r="BK180" s="7">
        <v>0</v>
      </c>
      <c r="BL180" s="7">
        <v>-387</v>
      </c>
      <c r="BM180" s="7">
        <v>-828</v>
      </c>
      <c r="BN180" s="7">
        <v>-606</v>
      </c>
      <c r="BO180" s="7">
        <v>0</v>
      </c>
      <c r="BP180" s="7">
        <f t="shared" si="29"/>
        <v>2351</v>
      </c>
      <c r="BQ180" s="1">
        <v>131</v>
      </c>
      <c r="BR180" s="7">
        <v>39</v>
      </c>
      <c r="BS180" s="7">
        <v>32</v>
      </c>
      <c r="BT180" s="7">
        <v>469</v>
      </c>
      <c r="BU180" s="7">
        <v>65</v>
      </c>
      <c r="BV180" s="7">
        <v>1</v>
      </c>
      <c r="BW180" s="7">
        <v>1</v>
      </c>
      <c r="BX180" s="7">
        <v>4</v>
      </c>
      <c r="BY180" s="7">
        <v>58</v>
      </c>
      <c r="BZ180" s="7">
        <v>179</v>
      </c>
      <c r="CA180" s="7">
        <v>4</v>
      </c>
      <c r="CB180" s="7">
        <v>5</v>
      </c>
      <c r="CC180" s="7">
        <v>8</v>
      </c>
      <c r="CD180" s="7">
        <v>92</v>
      </c>
      <c r="CE180" s="7">
        <v>341</v>
      </c>
      <c r="CF180" s="7">
        <v>15</v>
      </c>
    </row>
    <row r="181" spans="1:84" x14ac:dyDescent="0.25">
      <c r="A181" s="15">
        <v>20</v>
      </c>
      <c r="B181" s="8" t="s">
        <v>795</v>
      </c>
      <c r="C181" s="57" t="s">
        <v>442</v>
      </c>
      <c r="D181" s="8" t="s">
        <v>792</v>
      </c>
      <c r="E181" s="8" t="s">
        <v>428</v>
      </c>
      <c r="F181" s="8"/>
      <c r="G181" s="8" t="s">
        <v>409</v>
      </c>
      <c r="H181" s="7">
        <v>6739970</v>
      </c>
      <c r="I181" s="7">
        <v>6761356</v>
      </c>
      <c r="J181" s="7">
        <v>151321</v>
      </c>
      <c r="K181" s="12">
        <v>8565</v>
      </c>
      <c r="L181" s="12">
        <v>209488</v>
      </c>
      <c r="M181" s="12">
        <v>2121436</v>
      </c>
      <c r="N181" s="12">
        <v>854496</v>
      </c>
      <c r="O181" s="25">
        <f t="shared" si="27"/>
        <v>3193985</v>
      </c>
      <c r="P181" s="12">
        <v>0</v>
      </c>
      <c r="Q181" s="12">
        <v>579703</v>
      </c>
      <c r="R181" s="12">
        <v>216354</v>
      </c>
      <c r="S181" s="12">
        <f t="shared" si="28"/>
        <v>796057</v>
      </c>
      <c r="T181" s="7">
        <v>1556303</v>
      </c>
      <c r="U181" s="7">
        <v>423915</v>
      </c>
      <c r="V181" s="7">
        <v>0</v>
      </c>
      <c r="W181" s="7">
        <v>0</v>
      </c>
      <c r="X181" s="7">
        <v>6492071</v>
      </c>
      <c r="Y181" s="7" t="s">
        <v>747</v>
      </c>
      <c r="Z181" s="26">
        <v>0.107768</v>
      </c>
      <c r="AA181" s="7">
        <v>0</v>
      </c>
      <c r="AB181" s="26">
        <f>519260/6490754</f>
        <v>7.9999950699102138E-2</v>
      </c>
      <c r="AC181" s="7">
        <v>519431</v>
      </c>
      <c r="AD181" s="7">
        <v>0</v>
      </c>
      <c r="AE181" s="7">
        <v>21385</v>
      </c>
      <c r="AF181" s="7">
        <v>189319</v>
      </c>
      <c r="AG181" s="7">
        <v>15178</v>
      </c>
      <c r="AH181" s="7">
        <v>29667</v>
      </c>
      <c r="AI181" s="7">
        <v>19709</v>
      </c>
      <c r="AJ181" s="7">
        <v>13138</v>
      </c>
      <c r="AK181" s="7">
        <v>29200</v>
      </c>
      <c r="AL181" s="7">
        <v>6200</v>
      </c>
      <c r="AM181" s="7">
        <v>3329</v>
      </c>
      <c r="AN181" s="7">
        <v>0</v>
      </c>
      <c r="AO181" s="7">
        <f>6115+15914+8272</f>
        <v>30301</v>
      </c>
      <c r="AP181" s="7">
        <v>7485</v>
      </c>
      <c r="AQ181" s="7">
        <v>733</v>
      </c>
      <c r="AR181" s="7">
        <v>0</v>
      </c>
      <c r="AS181" s="7">
        <v>14956</v>
      </c>
      <c r="AT181" s="7">
        <v>14756</v>
      </c>
      <c r="AU181" s="7">
        <v>0</v>
      </c>
      <c r="AV181" s="7">
        <v>398474</v>
      </c>
      <c r="AW181" s="7">
        <v>421524</v>
      </c>
      <c r="AX181" s="26">
        <f t="shared" si="26"/>
        <v>0</v>
      </c>
      <c r="AY181" s="7">
        <v>0</v>
      </c>
      <c r="AZ181" s="7">
        <v>0</v>
      </c>
      <c r="BA181" s="7">
        <v>148368</v>
      </c>
      <c r="BB181" s="7">
        <v>0</v>
      </c>
      <c r="BC181" s="7">
        <v>55532</v>
      </c>
      <c r="BD181" s="7">
        <v>0</v>
      </c>
      <c r="BE181" s="7">
        <v>0</v>
      </c>
      <c r="BF181" s="7">
        <v>0</v>
      </c>
      <c r="BG181" s="7">
        <v>1352</v>
      </c>
      <c r="BH181" s="7">
        <v>535</v>
      </c>
      <c r="BI181" s="7">
        <v>192</v>
      </c>
      <c r="BJ181" s="7"/>
      <c r="BK181" s="7">
        <f>-192+1+43-1</f>
        <v>-149</v>
      </c>
      <c r="BL181" s="7">
        <v>-131</v>
      </c>
      <c r="BM181" s="7">
        <v>-159</v>
      </c>
      <c r="BN181" s="7">
        <v>-298</v>
      </c>
      <c r="BO181" s="7">
        <v>-1</v>
      </c>
      <c r="BP181" s="7">
        <f t="shared" si="29"/>
        <v>1341</v>
      </c>
      <c r="BQ181" s="1">
        <v>4</v>
      </c>
      <c r="BR181" s="7">
        <v>105</v>
      </c>
      <c r="BS181" s="7">
        <v>36</v>
      </c>
      <c r="BT181" s="7">
        <v>137</v>
      </c>
      <c r="BU181" s="7">
        <v>16</v>
      </c>
      <c r="BV181" s="7">
        <v>4</v>
      </c>
      <c r="BW181" s="7">
        <v>49</v>
      </c>
      <c r="BX181" s="7">
        <v>6</v>
      </c>
      <c r="BY181" s="7">
        <v>22</v>
      </c>
      <c r="BZ181" s="7">
        <v>52</v>
      </c>
      <c r="CA181" s="7">
        <v>1</v>
      </c>
      <c r="CB181" s="7">
        <v>17</v>
      </c>
      <c r="CC181" s="7">
        <v>1</v>
      </c>
      <c r="CD181" s="7">
        <v>25</v>
      </c>
      <c r="CE181" s="7">
        <v>46</v>
      </c>
      <c r="CF181" s="7">
        <v>3</v>
      </c>
    </row>
    <row r="182" spans="1:84" x14ac:dyDescent="0.25">
      <c r="A182" s="15">
        <v>21</v>
      </c>
      <c r="B182" s="8" t="s">
        <v>83</v>
      </c>
      <c r="C182" s="57" t="s">
        <v>80</v>
      </c>
      <c r="D182" s="8" t="s">
        <v>61</v>
      </c>
      <c r="E182" s="8" t="s">
        <v>290</v>
      </c>
      <c r="F182" s="8" t="s">
        <v>693</v>
      </c>
      <c r="G182" s="8" t="s">
        <v>297</v>
      </c>
      <c r="H182" s="7">
        <v>35541656</v>
      </c>
      <c r="I182" s="7">
        <v>35569208</v>
      </c>
      <c r="J182" s="7">
        <v>1016026</v>
      </c>
      <c r="K182" s="12">
        <v>0</v>
      </c>
      <c r="L182" s="12">
        <v>1428499</v>
      </c>
      <c r="M182" s="12">
        <v>19837022</v>
      </c>
      <c r="N182" s="12">
        <v>0</v>
      </c>
      <c r="O182" s="25">
        <f t="shared" si="27"/>
        <v>21265521</v>
      </c>
      <c r="P182" s="12">
        <v>44231</v>
      </c>
      <c r="Q182" s="12">
        <v>1274113</v>
      </c>
      <c r="R182" s="12">
        <v>0</v>
      </c>
      <c r="S182" s="12">
        <f t="shared" si="28"/>
        <v>1318344</v>
      </c>
      <c r="T182" s="7">
        <v>5679503</v>
      </c>
      <c r="U182" s="7">
        <v>3461178</v>
      </c>
      <c r="V182" s="7">
        <v>0</v>
      </c>
      <c r="W182" s="7">
        <v>0</v>
      </c>
      <c r="X182" s="7">
        <v>34391647</v>
      </c>
      <c r="Y182" s="7" t="s">
        <v>713</v>
      </c>
      <c r="Z182" s="26">
        <v>0.11409999999999999</v>
      </c>
      <c r="AA182" s="7">
        <v>0</v>
      </c>
      <c r="AB182" s="26">
        <f>2112861/34391646</f>
        <v>6.1435297397513335E-2</v>
      </c>
      <c r="AC182" s="7">
        <v>2104804</v>
      </c>
      <c r="AD182" s="7">
        <v>0</v>
      </c>
      <c r="AE182" s="7">
        <f>27552+5984</f>
        <v>33536</v>
      </c>
      <c r="AF182" s="7">
        <v>981156</v>
      </c>
      <c r="AG182" s="7">
        <v>81690</v>
      </c>
      <c r="AH182" s="7">
        <v>285336</v>
      </c>
      <c r="AI182" s="7">
        <f>76889+16793</f>
        <v>93682</v>
      </c>
      <c r="AJ182" s="7">
        <v>9799</v>
      </c>
      <c r="AK182" s="7">
        <v>62633</v>
      </c>
      <c r="AL182" s="7">
        <v>9520</v>
      </c>
      <c r="AM182" s="7">
        <v>9620</v>
      </c>
      <c r="AN182" s="7">
        <v>0</v>
      </c>
      <c r="AO182" s="7">
        <f>44768+49765+40058</f>
        <v>134591</v>
      </c>
      <c r="AP182" s="7">
        <v>20024</v>
      </c>
      <c r="AQ182" s="7">
        <v>1293</v>
      </c>
      <c r="AR182" s="7">
        <v>0</v>
      </c>
      <c r="AS182" s="7">
        <v>13721</v>
      </c>
      <c r="AT182" s="7">
        <v>72421</v>
      </c>
      <c r="AU182" s="7">
        <v>0</v>
      </c>
      <c r="AV182" s="7">
        <v>1853887</v>
      </c>
      <c r="AW182" s="7">
        <v>2024937</v>
      </c>
      <c r="AX182" s="26">
        <f t="shared" si="26"/>
        <v>0</v>
      </c>
      <c r="AY182" s="7">
        <v>4301</v>
      </c>
      <c r="AZ182" s="7">
        <v>0</v>
      </c>
      <c r="BA182" s="7">
        <v>148368</v>
      </c>
      <c r="BB182" s="7">
        <v>0</v>
      </c>
      <c r="BC182" s="7">
        <v>179649</v>
      </c>
      <c r="BD182" s="7">
        <v>0</v>
      </c>
      <c r="BE182" s="7">
        <v>0</v>
      </c>
      <c r="BF182" s="7">
        <v>0</v>
      </c>
      <c r="BG182" s="7">
        <v>11182</v>
      </c>
      <c r="BH182" s="7">
        <v>4454</v>
      </c>
      <c r="BI182" s="7">
        <v>40</v>
      </c>
      <c r="BJ182" s="7">
        <v>0</v>
      </c>
      <c r="BK182" s="7">
        <f>5+22-3</f>
        <v>24</v>
      </c>
      <c r="BL182" s="7">
        <v>-510</v>
      </c>
      <c r="BM182" s="7">
        <v>-1921</v>
      </c>
      <c r="BN182" s="7">
        <v>-1437</v>
      </c>
      <c r="BO182" s="7">
        <v>0</v>
      </c>
      <c r="BP182" s="7">
        <f t="shared" si="29"/>
        <v>11832</v>
      </c>
      <c r="BQ182" s="1">
        <v>1</v>
      </c>
      <c r="BR182" s="7">
        <v>392</v>
      </c>
      <c r="BS182" s="7">
        <v>143</v>
      </c>
      <c r="BT182" s="7">
        <v>875</v>
      </c>
      <c r="BU182" s="7">
        <v>0</v>
      </c>
      <c r="BV182" s="7">
        <v>27</v>
      </c>
      <c r="BW182" s="7">
        <v>2</v>
      </c>
      <c r="BX182" s="7">
        <v>7</v>
      </c>
      <c r="BY182" s="7">
        <v>47</v>
      </c>
      <c r="BZ182" s="7">
        <v>328</v>
      </c>
      <c r="CA182" s="7">
        <v>5</v>
      </c>
      <c r="CB182" s="7">
        <v>15</v>
      </c>
      <c r="CC182" s="7">
        <v>26</v>
      </c>
      <c r="CD182" s="7">
        <v>127</v>
      </c>
      <c r="CE182" s="7">
        <v>1094</v>
      </c>
      <c r="CF182" s="7">
        <v>51</v>
      </c>
    </row>
    <row r="183" spans="1:84" x14ac:dyDescent="0.25">
      <c r="A183" s="15">
        <v>21</v>
      </c>
      <c r="B183" s="8" t="s">
        <v>98</v>
      </c>
      <c r="C183" s="57" t="s">
        <v>390</v>
      </c>
      <c r="D183" s="8" t="s">
        <v>58</v>
      </c>
      <c r="E183" s="8" t="s">
        <v>290</v>
      </c>
      <c r="F183" s="8" t="s">
        <v>551</v>
      </c>
      <c r="G183" s="8" t="s">
        <v>297</v>
      </c>
      <c r="H183" s="7">
        <v>77719761</v>
      </c>
      <c r="I183" s="7">
        <v>77799402</v>
      </c>
      <c r="J183" s="7">
        <v>2735011</v>
      </c>
      <c r="K183" s="12">
        <v>43967</v>
      </c>
      <c r="L183" s="12">
        <v>7494926</v>
      </c>
      <c r="M183" s="12">
        <v>848110</v>
      </c>
      <c r="N183" s="12">
        <v>34833278</v>
      </c>
      <c r="O183" s="25">
        <f t="shared" si="27"/>
        <v>43220281</v>
      </c>
      <c r="P183" s="12">
        <v>0</v>
      </c>
      <c r="Q183" s="12">
        <v>5062880</v>
      </c>
      <c r="R183" s="12">
        <v>0</v>
      </c>
      <c r="S183" s="12">
        <f t="shared" si="28"/>
        <v>5062880</v>
      </c>
      <c r="T183" s="7">
        <v>13289429</v>
      </c>
      <c r="U183" s="7">
        <v>9038297</v>
      </c>
      <c r="V183" s="7">
        <v>25089</v>
      </c>
      <c r="W183" s="7">
        <v>0</v>
      </c>
      <c r="X183" s="7">
        <v>74394907</v>
      </c>
      <c r="Y183" s="7" t="s">
        <v>713</v>
      </c>
      <c r="Z183" s="26">
        <v>0.15</v>
      </c>
      <c r="AA183" s="7">
        <v>0</v>
      </c>
      <c r="AB183" s="26">
        <f>2997662/74394904</f>
        <v>4.0293915830578932E-2</v>
      </c>
      <c r="AC183" s="7">
        <v>2996766</v>
      </c>
      <c r="AD183" s="7">
        <v>0</v>
      </c>
      <c r="AE183" s="7">
        <f>79641+4596</f>
        <v>84237</v>
      </c>
      <c r="AF183" s="7">
        <v>1430002</v>
      </c>
      <c r="AG183" s="7">
        <v>117812</v>
      </c>
      <c r="AH183" s="7">
        <v>315362</v>
      </c>
      <c r="AI183" s="7">
        <v>205406</v>
      </c>
      <c r="AJ183" s="7">
        <v>3295</v>
      </c>
      <c r="AK183" s="7">
        <v>58647</v>
      </c>
      <c r="AL183" s="7">
        <v>20000</v>
      </c>
      <c r="AM183" s="7">
        <v>0</v>
      </c>
      <c r="AN183" s="7">
        <v>0</v>
      </c>
      <c r="AO183" s="7">
        <f>36682+74266+40052</f>
        <v>151000</v>
      </c>
      <c r="AP183" s="7">
        <v>19905</v>
      </c>
      <c r="AQ183" s="7">
        <v>1983</v>
      </c>
      <c r="AR183" s="7">
        <v>0</v>
      </c>
      <c r="AS183" s="7">
        <v>223</v>
      </c>
      <c r="AT183" s="7">
        <v>49525</v>
      </c>
      <c r="AU183" s="7">
        <v>0</v>
      </c>
      <c r="AV183" s="7">
        <v>2489180</v>
      </c>
      <c r="AW183" s="7">
        <v>2547154</v>
      </c>
      <c r="AX183" s="26">
        <f t="shared" si="26"/>
        <v>0</v>
      </c>
      <c r="AY183" s="7">
        <v>1561</v>
      </c>
      <c r="AZ183" s="7">
        <v>0</v>
      </c>
      <c r="BA183" s="7">
        <v>148368</v>
      </c>
      <c r="BB183" s="7">
        <v>0</v>
      </c>
      <c r="BC183" s="7">
        <v>805250</v>
      </c>
      <c r="BD183" s="7">
        <v>382089</v>
      </c>
      <c r="BE183" s="7">
        <v>0</v>
      </c>
      <c r="BF183" s="7">
        <v>0</v>
      </c>
      <c r="BG183" s="7">
        <v>15484</v>
      </c>
      <c r="BH183" s="7">
        <v>10821</v>
      </c>
      <c r="BI183" s="7">
        <v>172</v>
      </c>
      <c r="BJ183" s="7">
        <v>-79</v>
      </c>
      <c r="BK183" s="7">
        <f>3+62-9</f>
        <v>56</v>
      </c>
      <c r="BL183" s="7">
        <v>-952</v>
      </c>
      <c r="BM183" s="7">
        <v>-7294</v>
      </c>
      <c r="BN183" s="7">
        <v>-2461</v>
      </c>
      <c r="BO183" s="7">
        <v>0</v>
      </c>
      <c r="BP183" s="7">
        <f t="shared" si="29"/>
        <v>15747</v>
      </c>
      <c r="BQ183" s="1">
        <v>33</v>
      </c>
      <c r="BR183" s="7">
        <v>971</v>
      </c>
      <c r="BS183" s="7">
        <v>125</v>
      </c>
      <c r="BT183" s="7">
        <v>1217</v>
      </c>
      <c r="BU183" s="7">
        <v>1</v>
      </c>
      <c r="BV183" s="7">
        <v>144</v>
      </c>
      <c r="BW183" s="7">
        <v>5</v>
      </c>
      <c r="BX183" s="7">
        <v>11</v>
      </c>
      <c r="BY183" s="7">
        <v>76</v>
      </c>
      <c r="BZ183" s="7">
        <v>485</v>
      </c>
      <c r="CA183" s="7">
        <v>12</v>
      </c>
      <c r="CB183" s="7">
        <v>44</v>
      </c>
      <c r="CC183" s="7">
        <v>69</v>
      </c>
      <c r="CD183" s="7">
        <v>310</v>
      </c>
      <c r="CE183" s="7">
        <v>2992</v>
      </c>
      <c r="CF183" s="7">
        <v>243</v>
      </c>
    </row>
    <row r="184" spans="1:84" x14ac:dyDescent="0.25">
      <c r="A184" s="15">
        <v>21</v>
      </c>
      <c r="B184" s="8" t="s">
        <v>115</v>
      </c>
      <c r="C184" s="57" t="s">
        <v>716</v>
      </c>
      <c r="D184" s="8" t="s">
        <v>672</v>
      </c>
      <c r="E184" s="8" t="s">
        <v>290</v>
      </c>
      <c r="F184" s="8" t="s">
        <v>693</v>
      </c>
      <c r="G184" s="8" t="s">
        <v>297</v>
      </c>
      <c r="H184" s="7">
        <v>50979249</v>
      </c>
      <c r="I184" s="7">
        <v>51027438</v>
      </c>
      <c r="J184" s="7">
        <v>1363936</v>
      </c>
      <c r="K184" s="12">
        <v>0</v>
      </c>
      <c r="L184" s="12">
        <v>1161267</v>
      </c>
      <c r="M184" s="12">
        <v>27573382</v>
      </c>
      <c r="N184" s="12">
        <v>0</v>
      </c>
      <c r="O184" s="25">
        <f t="shared" si="27"/>
        <v>28734649</v>
      </c>
      <c r="P184" s="12">
        <v>0</v>
      </c>
      <c r="Q184" s="12">
        <v>2082841</v>
      </c>
      <c r="R184" s="12">
        <v>0</v>
      </c>
      <c r="S184" s="12">
        <f t="shared" si="28"/>
        <v>2082841</v>
      </c>
      <c r="T184" s="7">
        <v>10160118</v>
      </c>
      <c r="U184" s="7">
        <v>5108867</v>
      </c>
      <c r="V184" s="7">
        <v>0</v>
      </c>
      <c r="W184" s="7">
        <v>0</v>
      </c>
      <c r="X184" s="7">
        <v>49481271</v>
      </c>
      <c r="Y184" s="7" t="s">
        <v>713</v>
      </c>
      <c r="Z184" s="26">
        <v>4.3200000000000002E-2</v>
      </c>
      <c r="AA184" s="7">
        <v>0</v>
      </c>
      <c r="AB184" s="26">
        <f>2474064/49481271</f>
        <v>5.0000009094350061E-2</v>
      </c>
      <c r="AC184" s="7">
        <v>2472777</v>
      </c>
      <c r="AD184" s="7">
        <v>0</v>
      </c>
      <c r="AE184" s="7">
        <f>48189+2194</f>
        <v>50383</v>
      </c>
      <c r="AF184" s="7">
        <v>1195212</v>
      </c>
      <c r="AG184" s="7">
        <v>92053</v>
      </c>
      <c r="AH184" s="7">
        <v>352672</v>
      </c>
      <c r="AI184" s="7">
        <f>172995+4046</f>
        <v>177041</v>
      </c>
      <c r="AJ184" s="7">
        <v>2555</v>
      </c>
      <c r="AK184" s="7">
        <v>36005</v>
      </c>
      <c r="AL184" s="7">
        <v>14810</v>
      </c>
      <c r="AM184" s="7">
        <v>1065</v>
      </c>
      <c r="AN184" s="7">
        <v>0</v>
      </c>
      <c r="AO184" s="7">
        <f>44453+83107+74226</f>
        <v>201786</v>
      </c>
      <c r="AP184" s="7">
        <v>20975</v>
      </c>
      <c r="AQ184" s="7">
        <v>1419</v>
      </c>
      <c r="AR184" s="7">
        <v>0</v>
      </c>
      <c r="AS184" s="7">
        <v>987</v>
      </c>
      <c r="AT184" s="7">
        <v>102676</v>
      </c>
      <c r="AU184" s="7">
        <v>0</v>
      </c>
      <c r="AV184" s="7">
        <v>2350311</v>
      </c>
      <c r="AW184" s="7">
        <v>2417505</v>
      </c>
      <c r="AX184" s="26">
        <f t="shared" si="26"/>
        <v>0</v>
      </c>
      <c r="AY184" s="7">
        <v>55</v>
      </c>
      <c r="AZ184" s="7">
        <v>0</v>
      </c>
      <c r="BA184" s="7">
        <v>148368</v>
      </c>
      <c r="BB184" s="7">
        <v>0</v>
      </c>
      <c r="BC184" s="7">
        <v>238463</v>
      </c>
      <c r="BD184" s="7">
        <v>0</v>
      </c>
      <c r="BE184" s="7">
        <v>0</v>
      </c>
      <c r="BF184" s="7">
        <v>0</v>
      </c>
      <c r="BG184" s="7">
        <v>18621</v>
      </c>
      <c r="BH184" s="7">
        <v>6675</v>
      </c>
      <c r="BI184" s="7">
        <v>0</v>
      </c>
      <c r="BJ184" s="7">
        <v>0</v>
      </c>
      <c r="BK184" s="7">
        <f>3+23-1</f>
        <v>25</v>
      </c>
      <c r="BL184" s="7">
        <v>-742</v>
      </c>
      <c r="BM184" s="7">
        <v>-3402</v>
      </c>
      <c r="BN184" s="7">
        <v>-1970</v>
      </c>
      <c r="BO184" s="7">
        <v>-18</v>
      </c>
      <c r="BP184" s="7">
        <f t="shared" si="29"/>
        <v>19189</v>
      </c>
      <c r="BQ184" s="1">
        <v>41</v>
      </c>
      <c r="BR184" s="7">
        <v>594</v>
      </c>
      <c r="BS184" s="7">
        <v>268</v>
      </c>
      <c r="BT184" s="7">
        <v>1108</v>
      </c>
      <c r="BU184" s="7">
        <v>0</v>
      </c>
      <c r="BV184" s="7">
        <v>0</v>
      </c>
      <c r="BW184" s="7">
        <v>3</v>
      </c>
      <c r="BX184" s="7">
        <v>9</v>
      </c>
      <c r="BY184" s="7">
        <v>103</v>
      </c>
      <c r="BZ184" s="7">
        <v>497</v>
      </c>
      <c r="CA184" s="7">
        <v>4</v>
      </c>
      <c r="CB184" s="7">
        <v>22</v>
      </c>
      <c r="CC184" s="7">
        <v>43</v>
      </c>
      <c r="CD184" s="7">
        <v>238</v>
      </c>
      <c r="CE184" s="7">
        <v>2269</v>
      </c>
      <c r="CF184" s="7">
        <v>48</v>
      </c>
    </row>
    <row r="185" spans="1:84" x14ac:dyDescent="0.25">
      <c r="A185" s="15">
        <v>21</v>
      </c>
      <c r="B185" s="8" t="s">
        <v>136</v>
      </c>
      <c r="C185" s="57" t="s">
        <v>403</v>
      </c>
      <c r="D185" s="8" t="s">
        <v>667</v>
      </c>
      <c r="E185" s="8" t="s">
        <v>609</v>
      </c>
      <c r="F185" s="8"/>
      <c r="G185" s="8" t="s">
        <v>613</v>
      </c>
      <c r="H185" s="7">
        <v>34082464</v>
      </c>
      <c r="I185" s="7">
        <v>34088754</v>
      </c>
      <c r="J185" s="7">
        <v>1136372</v>
      </c>
      <c r="K185" s="12">
        <v>0</v>
      </c>
      <c r="L185" s="12">
        <v>846501</v>
      </c>
      <c r="M185" s="12">
        <v>0</v>
      </c>
      <c r="N185" s="12">
        <v>10548726</v>
      </c>
      <c r="O185" s="25">
        <f t="shared" si="27"/>
        <v>11395227</v>
      </c>
      <c r="P185" s="12">
        <v>148148</v>
      </c>
      <c r="Q185" s="12">
        <v>0</v>
      </c>
      <c r="R185" s="12">
        <v>2310499</v>
      </c>
      <c r="S185" s="12">
        <f t="shared" si="28"/>
        <v>2458647</v>
      </c>
      <c r="T185" s="7">
        <v>12885831</v>
      </c>
      <c r="U185" s="7">
        <v>5128816</v>
      </c>
      <c r="V185" s="7">
        <v>34640</v>
      </c>
      <c r="W185" s="7">
        <v>0</v>
      </c>
      <c r="X185" s="7">
        <v>34637421</v>
      </c>
      <c r="Y185" s="7" t="s">
        <v>159</v>
      </c>
      <c r="Z185" s="26">
        <v>0.1162</v>
      </c>
      <c r="AA185" s="7">
        <v>0</v>
      </c>
      <c r="AB185" s="26">
        <f>2491084/34359778</f>
        <v>7.250000276486071E-2</v>
      </c>
      <c r="AC185" s="7">
        <v>2515594</v>
      </c>
      <c r="AD185" s="7">
        <v>0</v>
      </c>
      <c r="AE185" s="7">
        <f>5622+2354+1217</f>
        <v>9193</v>
      </c>
      <c r="AF185" s="7">
        <v>1286116</v>
      </c>
      <c r="AG185" s="7">
        <v>117416</v>
      </c>
      <c r="AH185" s="7">
        <v>289791</v>
      </c>
      <c r="AI185" s="7">
        <f>173465+22640</f>
        <v>196105</v>
      </c>
      <c r="AJ185" s="7">
        <v>7069</v>
      </c>
      <c r="AK185" s="7">
        <v>56528</v>
      </c>
      <c r="AL185" s="7">
        <v>14810</v>
      </c>
      <c r="AM185" s="7">
        <v>3713</v>
      </c>
      <c r="AN185" s="7">
        <v>63962</v>
      </c>
      <c r="AO185" s="7">
        <f>32436+14693+57374</f>
        <v>104503</v>
      </c>
      <c r="AP185" s="7">
        <v>24732</v>
      </c>
      <c r="AQ185" s="7">
        <v>1334</v>
      </c>
      <c r="AR185" s="7">
        <v>0</v>
      </c>
      <c r="AS185" s="7">
        <v>26866</v>
      </c>
      <c r="AT185" s="7">
        <v>33978</v>
      </c>
      <c r="AU185" s="7">
        <v>0</v>
      </c>
      <c r="AV185" s="7">
        <v>2440893</v>
      </c>
      <c r="AW185" s="7">
        <v>2479867</v>
      </c>
      <c r="AX185" s="26">
        <f t="shared" si="26"/>
        <v>0</v>
      </c>
      <c r="AY185" s="7">
        <v>0</v>
      </c>
      <c r="AZ185" s="7">
        <v>0</v>
      </c>
      <c r="BA185" s="7">
        <v>148368</v>
      </c>
      <c r="BB185" s="7">
        <v>0</v>
      </c>
      <c r="BC185" s="7">
        <v>167687</v>
      </c>
      <c r="BD185" s="7">
        <v>0</v>
      </c>
      <c r="BE185" s="7">
        <v>0</v>
      </c>
      <c r="BF185" s="7">
        <v>0</v>
      </c>
      <c r="BG185" s="7">
        <v>14505</v>
      </c>
      <c r="BH185" s="7">
        <v>5226</v>
      </c>
      <c r="BI185" s="7">
        <v>16</v>
      </c>
      <c r="BJ185" s="7">
        <v>0</v>
      </c>
      <c r="BK185" s="7">
        <f>2-26</f>
        <v>-24</v>
      </c>
      <c r="BL185" s="7">
        <v>-483</v>
      </c>
      <c r="BM185" s="7">
        <v>-2641</v>
      </c>
      <c r="BN185" s="7">
        <v>-1708</v>
      </c>
      <c r="BO185" s="7">
        <v>-19</v>
      </c>
      <c r="BP185" s="7">
        <f t="shared" si="29"/>
        <v>14872</v>
      </c>
      <c r="BQ185" s="1">
        <v>383</v>
      </c>
      <c r="BR185" s="7">
        <v>259</v>
      </c>
      <c r="BS185" s="7">
        <v>488</v>
      </c>
      <c r="BT185" s="7">
        <v>818</v>
      </c>
      <c r="BU185" s="7">
        <v>132</v>
      </c>
      <c r="BV185" s="7">
        <v>5</v>
      </c>
      <c r="BW185" s="7">
        <v>0</v>
      </c>
      <c r="BX185" s="7">
        <v>6</v>
      </c>
      <c r="BY185" s="7">
        <v>76</v>
      </c>
      <c r="BZ185" s="7">
        <v>275</v>
      </c>
      <c r="CA185" s="7">
        <v>6</v>
      </c>
      <c r="CB185" s="7">
        <v>3</v>
      </c>
      <c r="CC185" s="7">
        <v>23</v>
      </c>
      <c r="CD185" s="7">
        <v>250</v>
      </c>
      <c r="CE185" s="7">
        <v>1565</v>
      </c>
      <c r="CF185" s="7">
        <v>63</v>
      </c>
    </row>
    <row r="186" spans="1:84" x14ac:dyDescent="0.25">
      <c r="A186" s="15">
        <v>21</v>
      </c>
      <c r="B186" s="8" t="s">
        <v>199</v>
      </c>
      <c r="C186" s="57" t="s">
        <v>468</v>
      </c>
      <c r="D186" s="8" t="s">
        <v>389</v>
      </c>
      <c r="E186" s="8" t="s">
        <v>273</v>
      </c>
      <c r="F186" s="8" t="s">
        <v>496</v>
      </c>
      <c r="G186" s="8" t="s">
        <v>275</v>
      </c>
      <c r="H186" s="7">
        <v>57952428</v>
      </c>
      <c r="I186" s="7">
        <v>57991676</v>
      </c>
      <c r="J186" s="7">
        <v>2924231</v>
      </c>
      <c r="K186" s="12">
        <v>9876307</v>
      </c>
      <c r="L186" s="12">
        <v>3839363</v>
      </c>
      <c r="M186" s="12">
        <v>23035000</v>
      </c>
      <c r="N186" s="12">
        <v>0</v>
      </c>
      <c r="O186" s="25">
        <f t="shared" si="27"/>
        <v>36750670</v>
      </c>
      <c r="P186" s="12">
        <v>0</v>
      </c>
      <c r="Q186" s="12">
        <v>1845865</v>
      </c>
      <c r="R186" s="12">
        <v>0</v>
      </c>
      <c r="S186" s="12">
        <f t="shared" si="28"/>
        <v>1845865</v>
      </c>
      <c r="T186" s="7">
        <v>5053923</v>
      </c>
      <c r="U186" s="7">
        <v>1789312</v>
      </c>
      <c r="V186" s="7">
        <v>162352</v>
      </c>
      <c r="W186" s="7">
        <v>0</v>
      </c>
      <c r="X186" s="7">
        <v>46915030</v>
      </c>
      <c r="Y186" s="7" t="s">
        <v>268</v>
      </c>
      <c r="Z186" s="26">
        <v>0.19</v>
      </c>
      <c r="AA186" s="7">
        <v>0</v>
      </c>
      <c r="AB186" s="26">
        <f>1266011/46750210</f>
        <v>2.7080327553608851E-2</v>
      </c>
      <c r="AC186" s="7">
        <v>1257276</v>
      </c>
      <c r="AD186" s="7">
        <v>0</v>
      </c>
      <c r="AE186" s="7">
        <f>39248+1452</f>
        <v>40700</v>
      </c>
      <c r="AF186" s="7">
        <v>655538</v>
      </c>
      <c r="AG186" s="7">
        <v>45540</v>
      </c>
      <c r="AH186" s="7">
        <v>76408</v>
      </c>
      <c r="AI186" s="7">
        <v>112296</v>
      </c>
      <c r="AJ186" s="7">
        <v>0</v>
      </c>
      <c r="AK186" s="7">
        <v>31240</v>
      </c>
      <c r="AL186" s="7">
        <v>6880</v>
      </c>
      <c r="AM186" s="7">
        <v>17210</v>
      </c>
      <c r="AN186" s="7">
        <v>19500</v>
      </c>
      <c r="AO186" s="7">
        <f>46247+46355+64772</f>
        <v>157374</v>
      </c>
      <c r="AP186" s="7">
        <v>19050</v>
      </c>
      <c r="AQ186" s="7">
        <v>1456</v>
      </c>
      <c r="AR186" s="7">
        <v>1797</v>
      </c>
      <c r="AS186" s="7">
        <v>1470</v>
      </c>
      <c r="AT186" s="7">
        <v>56240</v>
      </c>
      <c r="AU186" s="7">
        <v>799</v>
      </c>
      <c r="AV186" s="7">
        <v>1287479</v>
      </c>
      <c r="AW186" s="7">
        <v>1362670</v>
      </c>
      <c r="AX186" s="26">
        <f t="shared" si="26"/>
        <v>6.2059264655967201E-4</v>
      </c>
      <c r="AY186" s="7">
        <v>0</v>
      </c>
      <c r="AZ186" s="7">
        <v>0</v>
      </c>
      <c r="BA186" s="7">
        <v>148368</v>
      </c>
      <c r="BB186" s="7">
        <v>0</v>
      </c>
      <c r="BC186" s="7">
        <v>47644</v>
      </c>
      <c r="BD186" s="7">
        <v>0</v>
      </c>
      <c r="BE186" s="7">
        <v>0</v>
      </c>
      <c r="BF186" s="7">
        <v>0</v>
      </c>
      <c r="BG186" s="7">
        <v>5313</v>
      </c>
      <c r="BH186" s="7">
        <v>3625</v>
      </c>
      <c r="BI186" s="7">
        <v>0</v>
      </c>
      <c r="BJ186" s="7">
        <v>0</v>
      </c>
      <c r="BK186" s="7">
        <f>64-2</f>
        <v>62</v>
      </c>
      <c r="BL186" s="7">
        <v>-258</v>
      </c>
      <c r="BM186" s="7">
        <v>-2245</v>
      </c>
      <c r="BN186" s="7">
        <v>-669</v>
      </c>
      <c r="BO186" s="7">
        <v>0</v>
      </c>
      <c r="BP186" s="7">
        <f t="shared" si="29"/>
        <v>5828</v>
      </c>
      <c r="BQ186" s="1">
        <v>15</v>
      </c>
      <c r="BR186" s="7">
        <v>104</v>
      </c>
      <c r="BS186" s="7">
        <v>52</v>
      </c>
      <c r="BT186" s="7">
        <v>484</v>
      </c>
      <c r="BU186" s="7">
        <v>1</v>
      </c>
      <c r="BV186" s="7">
        <v>28</v>
      </c>
      <c r="BW186" s="7">
        <v>1</v>
      </c>
      <c r="BX186" s="7">
        <v>1</v>
      </c>
      <c r="BY186" s="7">
        <v>54</v>
      </c>
      <c r="BZ186" s="7">
        <v>51</v>
      </c>
      <c r="CA186" s="7">
        <v>0</v>
      </c>
      <c r="CB186" s="7">
        <v>13</v>
      </c>
      <c r="CC186" s="7">
        <v>14</v>
      </c>
      <c r="CD186" s="7">
        <v>269</v>
      </c>
      <c r="CE186" s="7">
        <v>349</v>
      </c>
      <c r="CF186" s="7">
        <v>40</v>
      </c>
    </row>
    <row r="187" spans="1:84" x14ac:dyDescent="0.25">
      <c r="A187" s="15">
        <v>21</v>
      </c>
      <c r="B187" s="8" t="s">
        <v>325</v>
      </c>
      <c r="C187" s="57" t="s">
        <v>444</v>
      </c>
      <c r="D187" s="8" t="s">
        <v>719</v>
      </c>
      <c r="E187" s="8" t="s">
        <v>273</v>
      </c>
      <c r="F187" s="8" t="s">
        <v>551</v>
      </c>
      <c r="G187" s="8" t="s">
        <v>275</v>
      </c>
      <c r="H187" s="7">
        <v>15104933</v>
      </c>
      <c r="I187" s="7">
        <v>15111582</v>
      </c>
      <c r="J187" s="7">
        <v>593063</v>
      </c>
      <c r="K187" s="12">
        <v>64752</v>
      </c>
      <c r="L187" s="12">
        <v>281194</v>
      </c>
      <c r="M187" s="12">
        <v>0</v>
      </c>
      <c r="N187" s="12">
        <v>6879210</v>
      </c>
      <c r="O187" s="25">
        <f t="shared" si="27"/>
        <v>7225156</v>
      </c>
      <c r="P187" s="12">
        <v>0</v>
      </c>
      <c r="Q187" s="12">
        <v>622673</v>
      </c>
      <c r="R187" s="12">
        <v>0</v>
      </c>
      <c r="S187" s="12">
        <f t="shared" si="28"/>
        <v>622673</v>
      </c>
      <c r="T187" s="7">
        <v>5002558</v>
      </c>
      <c r="U187" s="7">
        <v>1069494</v>
      </c>
      <c r="V187" s="7">
        <v>26117</v>
      </c>
      <c r="W187" s="7">
        <v>0</v>
      </c>
      <c r="X187" s="7">
        <v>14732427</v>
      </c>
      <c r="Y187" s="7" t="s">
        <v>531</v>
      </c>
      <c r="Z187" s="26">
        <v>0.1186</v>
      </c>
      <c r="AA187" s="7">
        <v>0</v>
      </c>
      <c r="AB187" s="26">
        <f>785855/14256638</f>
        <v>5.5122042097162038E-2</v>
      </c>
      <c r="AC187" s="7">
        <v>785879</v>
      </c>
      <c r="AD187" s="7">
        <v>0</v>
      </c>
      <c r="AE187" s="7">
        <f>6649+488</f>
        <v>7137</v>
      </c>
      <c r="AF187" s="7">
        <v>352404</v>
      </c>
      <c r="AG187" s="7">
        <v>30202</v>
      </c>
      <c r="AH187" s="7">
        <v>46042</v>
      </c>
      <c r="AI187" s="7">
        <f>27633+4212</f>
        <v>31845</v>
      </c>
      <c r="AJ187" s="7">
        <v>500</v>
      </c>
      <c r="AK187" s="7">
        <v>39863</v>
      </c>
      <c r="AL187" s="7">
        <v>4230</v>
      </c>
      <c r="AM187" s="7">
        <v>4207</v>
      </c>
      <c r="AN187" s="7">
        <v>0</v>
      </c>
      <c r="AO187" s="7">
        <f>22324+25917+56420</f>
        <v>104661</v>
      </c>
      <c r="AP187" s="7">
        <v>6463</v>
      </c>
      <c r="AQ187" s="7">
        <v>2137</v>
      </c>
      <c r="AR187" s="7">
        <v>0</v>
      </c>
      <c r="AS187" s="7">
        <v>0</v>
      </c>
      <c r="AT187" s="7">
        <v>17262</v>
      </c>
      <c r="AU187" s="7">
        <v>20886</v>
      </c>
      <c r="AV187" s="7">
        <v>696818</v>
      </c>
      <c r="AW187" s="7">
        <v>781242</v>
      </c>
      <c r="AX187" s="26">
        <f t="shared" si="26"/>
        <v>2.9973393339437271E-2</v>
      </c>
      <c r="AY187" s="7">
        <v>0</v>
      </c>
      <c r="AZ187" s="7">
        <v>0</v>
      </c>
      <c r="BA187" s="7">
        <v>148368</v>
      </c>
      <c r="BB187" s="7">
        <v>0</v>
      </c>
      <c r="BC187" s="7">
        <v>53830</v>
      </c>
      <c r="BD187" s="7">
        <v>0</v>
      </c>
      <c r="BE187" s="7">
        <v>0</v>
      </c>
      <c r="BF187" s="7">
        <v>0</v>
      </c>
      <c r="BG187" s="7">
        <v>2463</v>
      </c>
      <c r="BH187" s="7">
        <v>1314</v>
      </c>
      <c r="BI187" s="7">
        <v>0</v>
      </c>
      <c r="BJ187" s="7">
        <v>0</v>
      </c>
      <c r="BK187" s="7">
        <v>0</v>
      </c>
      <c r="BL187" s="7">
        <v>-184</v>
      </c>
      <c r="BM187" s="7">
        <v>-644</v>
      </c>
      <c r="BN187" s="7">
        <v>-241</v>
      </c>
      <c r="BO187" s="7">
        <v>-8</v>
      </c>
      <c r="BP187" s="7">
        <f t="shared" si="29"/>
        <v>2700</v>
      </c>
      <c r="BQ187" s="1">
        <v>0</v>
      </c>
      <c r="BR187" s="7">
        <v>115</v>
      </c>
      <c r="BS187" s="7">
        <v>26</v>
      </c>
      <c r="BT187" s="7">
        <v>92</v>
      </c>
      <c r="BU187" s="7">
        <v>1</v>
      </c>
      <c r="BV187" s="7">
        <v>7</v>
      </c>
      <c r="BW187" s="7">
        <v>0</v>
      </c>
      <c r="BX187" s="7">
        <v>3</v>
      </c>
      <c r="BY187" s="7">
        <v>30</v>
      </c>
      <c r="BZ187" s="7">
        <v>71</v>
      </c>
      <c r="CA187" s="7">
        <v>3</v>
      </c>
      <c r="CB187" s="7">
        <v>6</v>
      </c>
      <c r="CC187" s="7">
        <v>13</v>
      </c>
      <c r="CD187" s="7">
        <v>51</v>
      </c>
      <c r="CE187" s="7">
        <v>257</v>
      </c>
      <c r="CF187" s="7">
        <v>19</v>
      </c>
    </row>
    <row r="188" spans="1:84" x14ac:dyDescent="0.25">
      <c r="A188" s="15">
        <v>21</v>
      </c>
      <c r="B188" s="1" t="s">
        <v>337</v>
      </c>
      <c r="C188" s="59" t="s">
        <v>524</v>
      </c>
      <c r="D188" s="1" t="s">
        <v>339</v>
      </c>
      <c r="E188" s="8" t="s">
        <v>273</v>
      </c>
      <c r="F188" s="8" t="s">
        <v>693</v>
      </c>
      <c r="G188" s="8" t="s">
        <v>275</v>
      </c>
      <c r="H188" s="7">
        <v>62484280</v>
      </c>
      <c r="I188" s="7">
        <v>62614477</v>
      </c>
      <c r="J188" s="7">
        <v>3442390</v>
      </c>
      <c r="K188" s="12">
        <v>12050771</v>
      </c>
      <c r="L188" s="12">
        <v>2126303</v>
      </c>
      <c r="M188" s="12">
        <v>2436396</v>
      </c>
      <c r="N188" s="12">
        <v>21993566</v>
      </c>
      <c r="O188" s="25">
        <f t="shared" si="27"/>
        <v>38607036</v>
      </c>
      <c r="P188" s="12">
        <v>13857</v>
      </c>
      <c r="Q188" s="12">
        <v>419547</v>
      </c>
      <c r="R188" s="12">
        <v>925910</v>
      </c>
      <c r="S188" s="12">
        <f t="shared" si="28"/>
        <v>1359314</v>
      </c>
      <c r="T188" s="7">
        <v>9617831</v>
      </c>
      <c r="U188" s="7">
        <v>6888761</v>
      </c>
      <c r="V188" s="7">
        <v>0</v>
      </c>
      <c r="W188" s="7">
        <v>0</v>
      </c>
      <c r="X188" s="7">
        <v>58775938</v>
      </c>
      <c r="Y188" s="7" t="s">
        <v>531</v>
      </c>
      <c r="Z188" s="26">
        <v>0.25290000000000001</v>
      </c>
      <c r="AA188" s="7">
        <v>0</v>
      </c>
      <c r="AB188" s="26">
        <f>2300867/58775938</f>
        <v>3.914641056004925E-2</v>
      </c>
      <c r="AC188" s="7">
        <v>2302998</v>
      </c>
      <c r="AD188" s="7">
        <v>0</v>
      </c>
      <c r="AE188" s="7">
        <f>120941+20568+1392</f>
        <v>142901</v>
      </c>
      <c r="AF188" s="7">
        <v>1189076</v>
      </c>
      <c r="AG188" s="7">
        <v>96134</v>
      </c>
      <c r="AH188" s="7">
        <v>175671</v>
      </c>
      <c r="AI188" s="7">
        <v>251914</v>
      </c>
      <c r="AJ188" s="7">
        <v>13736</v>
      </c>
      <c r="AK188" s="7">
        <v>52136</v>
      </c>
      <c r="AL188" s="7">
        <v>8990</v>
      </c>
      <c r="AM188" s="7">
        <v>0</v>
      </c>
      <c r="AN188" s="7">
        <v>0</v>
      </c>
      <c r="AO188" s="7">
        <f>29410+62171+78960</f>
        <v>170541</v>
      </c>
      <c r="AP188" s="7">
        <v>20796</v>
      </c>
      <c r="AQ188" s="7">
        <v>1183</v>
      </c>
      <c r="AR188" s="7">
        <v>0</v>
      </c>
      <c r="AS188" s="7">
        <v>1165</v>
      </c>
      <c r="AT188" s="7">
        <v>191764</v>
      </c>
      <c r="AU188" s="7">
        <v>0</v>
      </c>
      <c r="AV188" s="7">
        <v>2301860</v>
      </c>
      <c r="AW188" s="7">
        <v>2312655</v>
      </c>
      <c r="AX188" s="26">
        <f t="shared" si="26"/>
        <v>0</v>
      </c>
      <c r="AY188" s="7">
        <v>0</v>
      </c>
      <c r="AZ188" s="7">
        <v>0</v>
      </c>
      <c r="BA188" s="7">
        <v>148368</v>
      </c>
      <c r="BB188" s="7">
        <v>0</v>
      </c>
      <c r="BC188" s="7">
        <v>176874</v>
      </c>
      <c r="BD188" s="7">
        <v>0</v>
      </c>
      <c r="BE188" s="7">
        <v>0</v>
      </c>
      <c r="BF188" s="7">
        <v>0</v>
      </c>
      <c r="BG188" s="7">
        <v>10960</v>
      </c>
      <c r="BH188" s="7">
        <v>5249</v>
      </c>
      <c r="BI188" s="7">
        <v>97</v>
      </c>
      <c r="BJ188" s="7">
        <v>0</v>
      </c>
      <c r="BK188" s="7">
        <f>1+100</f>
        <v>101</v>
      </c>
      <c r="BL188" s="7">
        <v>-484</v>
      </c>
      <c r="BM188" s="7">
        <v>-2624</v>
      </c>
      <c r="BN188" s="7">
        <v>-1022</v>
      </c>
      <c r="BO188" s="7">
        <v>-5</v>
      </c>
      <c r="BP188" s="7">
        <f t="shared" si="29"/>
        <v>12272</v>
      </c>
      <c r="BQ188" s="1">
        <v>91</v>
      </c>
      <c r="BR188" s="7">
        <v>121</v>
      </c>
      <c r="BS188" s="7">
        <v>50</v>
      </c>
      <c r="BT188" s="7">
        <v>798</v>
      </c>
      <c r="BU188" s="7">
        <v>37</v>
      </c>
      <c r="BV188" s="7">
        <v>65</v>
      </c>
      <c r="BW188" s="7">
        <v>1</v>
      </c>
      <c r="BX188" s="7">
        <v>1</v>
      </c>
      <c r="BY188" s="7">
        <v>81</v>
      </c>
      <c r="BZ188" s="7">
        <v>223</v>
      </c>
      <c r="CA188" s="7">
        <v>19</v>
      </c>
      <c r="CB188" s="7">
        <v>10</v>
      </c>
      <c r="CC188" s="7">
        <v>6</v>
      </c>
      <c r="CD188" s="7">
        <v>148</v>
      </c>
      <c r="CE188" s="7">
        <v>606</v>
      </c>
      <c r="CF188" s="7">
        <v>154</v>
      </c>
    </row>
    <row r="189" spans="1:84" x14ac:dyDescent="0.25">
      <c r="A189" s="15">
        <v>21</v>
      </c>
      <c r="B189" s="8" t="s">
        <v>343</v>
      </c>
      <c r="C189" s="57" t="s">
        <v>128</v>
      </c>
      <c r="D189" s="8" t="s">
        <v>464</v>
      </c>
      <c r="E189" s="8" t="s">
        <v>290</v>
      </c>
      <c r="F189" s="8" t="s">
        <v>496</v>
      </c>
      <c r="G189" s="8" t="s">
        <v>297</v>
      </c>
      <c r="H189" s="7">
        <v>51010303</v>
      </c>
      <c r="I189" s="7">
        <v>51084325</v>
      </c>
      <c r="J189" s="7">
        <v>1021224</v>
      </c>
      <c r="K189" s="12">
        <v>10720937</v>
      </c>
      <c r="L189" s="12">
        <v>1903178</v>
      </c>
      <c r="M189" s="12">
        <v>21242230</v>
      </c>
      <c r="N189" s="12">
        <v>0</v>
      </c>
      <c r="O189" s="25">
        <f t="shared" si="27"/>
        <v>33866345</v>
      </c>
      <c r="P189" s="12">
        <v>0</v>
      </c>
      <c r="Q189" s="12">
        <v>1878523</v>
      </c>
      <c r="R189" s="12">
        <v>0</v>
      </c>
      <c r="S189" s="12">
        <f t="shared" si="28"/>
        <v>1878523</v>
      </c>
      <c r="T189" s="7">
        <v>8066311</v>
      </c>
      <c r="U189" s="7">
        <v>3619919</v>
      </c>
      <c r="V189" s="7">
        <v>17561</v>
      </c>
      <c r="W189" s="7">
        <v>0</v>
      </c>
      <c r="X189" s="7">
        <v>49545887</v>
      </c>
      <c r="Y189" s="7" t="s">
        <v>71</v>
      </c>
      <c r="Z189" s="26">
        <v>0.1076</v>
      </c>
      <c r="AA189" s="7">
        <v>0</v>
      </c>
      <c r="AB189" s="26">
        <f>2024677/49382377</f>
        <v>4.0999990745686464E-2</v>
      </c>
      <c r="AC189" s="7">
        <v>2024669</v>
      </c>
      <c r="AD189" s="7">
        <v>0</v>
      </c>
      <c r="AE189" s="7">
        <f>67900+10053+5800</f>
        <v>83753</v>
      </c>
      <c r="AF189" s="7">
        <v>1049441</v>
      </c>
      <c r="AG189" s="7">
        <v>78582</v>
      </c>
      <c r="AH189" s="7">
        <v>270651</v>
      </c>
      <c r="AI189" s="7">
        <v>133312</v>
      </c>
      <c r="AJ189" s="7">
        <v>6392</v>
      </c>
      <c r="AK189" s="7">
        <v>44900</v>
      </c>
      <c r="AL189" s="7">
        <v>14280</v>
      </c>
      <c r="AM189" s="7">
        <v>6049</v>
      </c>
      <c r="AN189" s="7">
        <v>0</v>
      </c>
      <c r="AO189" s="7">
        <f>27848+53735+61679</f>
        <v>143262</v>
      </c>
      <c r="AP189" s="7">
        <v>15688</v>
      </c>
      <c r="AQ189" s="7">
        <v>735</v>
      </c>
      <c r="AR189" s="7">
        <v>0</v>
      </c>
      <c r="AS189" s="7">
        <v>15833</v>
      </c>
      <c r="AT189" s="7">
        <v>53759</v>
      </c>
      <c r="AU189" s="7">
        <v>0</v>
      </c>
      <c r="AV189" s="7">
        <v>1938127</v>
      </c>
      <c r="AW189" s="7">
        <v>1950871</v>
      </c>
      <c r="AX189" s="26">
        <f t="shared" si="26"/>
        <v>0</v>
      </c>
      <c r="AY189" s="7">
        <v>871</v>
      </c>
      <c r="AZ189" s="7">
        <v>0</v>
      </c>
      <c r="BA189" s="7">
        <v>148368</v>
      </c>
      <c r="BB189" s="7">
        <v>0</v>
      </c>
      <c r="BC189" s="7">
        <v>271468</v>
      </c>
      <c r="BD189" s="7">
        <v>0</v>
      </c>
      <c r="BE189" s="7">
        <v>0</v>
      </c>
      <c r="BF189" s="7">
        <v>0</v>
      </c>
      <c r="BG189" s="7">
        <v>10847</v>
      </c>
      <c r="BH189" s="7">
        <v>4540</v>
      </c>
      <c r="BI189" s="7">
        <v>33</v>
      </c>
      <c r="BJ189" s="7">
        <v>0</v>
      </c>
      <c r="BK189" s="7">
        <v>-15</v>
      </c>
      <c r="BL189" s="7">
        <v>-499</v>
      </c>
      <c r="BM189" s="7">
        <v>-2176</v>
      </c>
      <c r="BN189" s="7">
        <v>-2132</v>
      </c>
      <c r="BO189" s="7">
        <v>-2</v>
      </c>
      <c r="BP189" s="7">
        <f t="shared" si="29"/>
        <v>10596</v>
      </c>
      <c r="BQ189" s="1">
        <v>22</v>
      </c>
      <c r="BR189" s="7">
        <v>801</v>
      </c>
      <c r="BS189" s="7">
        <v>135</v>
      </c>
      <c r="BT189" s="7">
        <v>576</v>
      </c>
      <c r="BU189" s="7">
        <v>579</v>
      </c>
      <c r="BV189" s="7">
        <v>41</v>
      </c>
      <c r="BW189" s="7">
        <v>4</v>
      </c>
      <c r="BX189" s="7">
        <v>18</v>
      </c>
      <c r="BY189" s="7">
        <v>104</v>
      </c>
      <c r="BZ189" s="7">
        <v>246</v>
      </c>
      <c r="CA189" s="7">
        <v>2</v>
      </c>
      <c r="CB189" s="7">
        <v>43</v>
      </c>
      <c r="CC189" s="7">
        <v>65</v>
      </c>
      <c r="CD189" s="7">
        <v>224</v>
      </c>
      <c r="CE189" s="7">
        <v>982</v>
      </c>
      <c r="CF189" s="7">
        <v>31</v>
      </c>
    </row>
    <row r="190" spans="1:84" x14ac:dyDescent="0.25">
      <c r="A190" s="15">
        <v>21</v>
      </c>
      <c r="B190" s="8" t="s">
        <v>452</v>
      </c>
      <c r="C190" s="57" t="s">
        <v>619</v>
      </c>
      <c r="D190" s="8" t="s">
        <v>667</v>
      </c>
      <c r="E190" s="8" t="s">
        <v>609</v>
      </c>
      <c r="F190" s="8"/>
      <c r="G190" s="8" t="s">
        <v>614</v>
      </c>
      <c r="H190" s="7">
        <v>33793423</v>
      </c>
      <c r="I190" s="7">
        <v>33850598</v>
      </c>
      <c r="J190" s="7">
        <v>1201984</v>
      </c>
      <c r="K190" s="12">
        <v>0</v>
      </c>
      <c r="L190" s="12">
        <v>304734</v>
      </c>
      <c r="M190" s="12">
        <v>2592107</v>
      </c>
      <c r="N190" s="12">
        <v>7778225</v>
      </c>
      <c r="O190" s="25">
        <f t="shared" si="27"/>
        <v>10675066</v>
      </c>
      <c r="P190" s="12">
        <v>0</v>
      </c>
      <c r="Q190" s="12">
        <v>0</v>
      </c>
      <c r="R190" s="12">
        <v>2106689</v>
      </c>
      <c r="S190" s="12">
        <f t="shared" si="28"/>
        <v>2106689</v>
      </c>
      <c r="T190" s="7">
        <v>12016764</v>
      </c>
      <c r="U190" s="7">
        <v>4909196</v>
      </c>
      <c r="V190" s="7">
        <v>57173</v>
      </c>
      <c r="W190" s="7">
        <v>0</v>
      </c>
      <c r="X190" s="7">
        <v>32522270</v>
      </c>
      <c r="Y190" s="7" t="s">
        <v>70</v>
      </c>
      <c r="Z190" s="26">
        <v>0.1368</v>
      </c>
      <c r="AA190" s="7">
        <v>0</v>
      </c>
      <c r="AB190" s="26">
        <f>2482546/32191005</f>
        <v>7.7119244956782185E-2</v>
      </c>
      <c r="AC190" s="7">
        <v>2483290</v>
      </c>
      <c r="AD190" s="7">
        <v>0</v>
      </c>
      <c r="AE190" s="7">
        <f>53532+5767+3956</f>
        <v>63255</v>
      </c>
      <c r="AF190" s="7">
        <v>1218510</v>
      </c>
      <c r="AG190" s="7">
        <v>104616</v>
      </c>
      <c r="AH190" s="7">
        <v>261325</v>
      </c>
      <c r="AI190" s="7">
        <f>173090+24561</f>
        <v>197651</v>
      </c>
      <c r="AJ190" s="7">
        <v>9601</v>
      </c>
      <c r="AK190" s="7">
        <v>33900</v>
      </c>
      <c r="AL190" s="7">
        <v>15000</v>
      </c>
      <c r="AM190" s="7">
        <v>45045</v>
      </c>
      <c r="AN190" s="7">
        <v>40738</v>
      </c>
      <c r="AO190" s="7">
        <f>55084+10184+56982</f>
        <v>122250</v>
      </c>
      <c r="AP190" s="7">
        <v>15994</v>
      </c>
      <c r="AQ190" s="7">
        <v>942</v>
      </c>
      <c r="AR190" s="7">
        <v>0</v>
      </c>
      <c r="AS190" s="7">
        <v>0</v>
      </c>
      <c r="AT190" s="7">
        <v>95150</v>
      </c>
      <c r="AU190" s="7">
        <v>0</v>
      </c>
      <c r="AV190" s="7">
        <v>2304056</v>
      </c>
      <c r="AW190" s="7">
        <v>2730266</v>
      </c>
      <c r="AX190" s="26">
        <f t="shared" si="26"/>
        <v>0</v>
      </c>
      <c r="AY190" s="7">
        <v>0</v>
      </c>
      <c r="AZ190" s="7">
        <v>0</v>
      </c>
      <c r="BA190" s="7">
        <v>148368</v>
      </c>
      <c r="BB190" s="7">
        <v>0</v>
      </c>
      <c r="BC190" s="7">
        <v>381937</v>
      </c>
      <c r="BD190" s="7">
        <v>0</v>
      </c>
      <c r="BE190" s="7">
        <v>0</v>
      </c>
      <c r="BF190" s="7">
        <v>0</v>
      </c>
      <c r="BG190" s="7">
        <v>15870</v>
      </c>
      <c r="BH190" s="7">
        <v>4773</v>
      </c>
      <c r="BI190" s="7">
        <v>0</v>
      </c>
      <c r="BJ190" s="7">
        <v>0</v>
      </c>
      <c r="BK190" s="7">
        <v>0</v>
      </c>
      <c r="BL190" s="7">
        <v>-527</v>
      </c>
      <c r="BM190" s="7">
        <v>-3343</v>
      </c>
      <c r="BN190" s="7">
        <f>-1570-0</f>
        <v>-1570</v>
      </c>
      <c r="BO190" s="7">
        <v>0</v>
      </c>
      <c r="BP190" s="7">
        <f t="shared" si="29"/>
        <v>15203</v>
      </c>
      <c r="BQ190" s="1">
        <v>114</v>
      </c>
      <c r="BR190" s="7">
        <v>120</v>
      </c>
      <c r="BS190" s="7">
        <v>133</v>
      </c>
      <c r="BT190" s="7">
        <v>1140</v>
      </c>
      <c r="BU190" s="7">
        <v>639</v>
      </c>
      <c r="BV190" s="7">
        <v>0</v>
      </c>
      <c r="BW190" s="7">
        <v>1</v>
      </c>
      <c r="BX190" s="7">
        <v>3</v>
      </c>
      <c r="BY190" s="7">
        <v>87</v>
      </c>
      <c r="BZ190" s="7">
        <v>348</v>
      </c>
      <c r="CA190" s="7">
        <v>0</v>
      </c>
      <c r="CB190" s="7">
        <v>21</v>
      </c>
      <c r="CC190" s="7">
        <v>23</v>
      </c>
      <c r="CD190" s="7">
        <v>258</v>
      </c>
      <c r="CE190" s="7">
        <v>1950</v>
      </c>
      <c r="CF190" s="7">
        <v>0</v>
      </c>
    </row>
    <row r="191" spans="1:84" x14ac:dyDescent="0.25">
      <c r="A191" s="15">
        <v>21</v>
      </c>
      <c r="B191" s="8" t="s">
        <v>686</v>
      </c>
      <c r="C191" s="57" t="s">
        <v>426</v>
      </c>
      <c r="D191" s="8" t="s">
        <v>172</v>
      </c>
      <c r="E191" s="8" t="s">
        <v>290</v>
      </c>
      <c r="F191" s="8" t="s">
        <v>496</v>
      </c>
      <c r="G191" s="8" t="s">
        <v>297</v>
      </c>
      <c r="H191" s="7">
        <v>50548803</v>
      </c>
      <c r="I191" s="7">
        <v>50570750</v>
      </c>
      <c r="J191" s="7">
        <v>1410679</v>
      </c>
      <c r="K191" s="12">
        <v>8711084</v>
      </c>
      <c r="L191" s="12">
        <v>2028712</v>
      </c>
      <c r="M191" s="12">
        <v>23708116</v>
      </c>
      <c r="N191" s="12">
        <v>0</v>
      </c>
      <c r="O191" s="25">
        <f t="shared" si="27"/>
        <v>34447912</v>
      </c>
      <c r="P191" s="12">
        <v>13848</v>
      </c>
      <c r="Q191" s="12">
        <v>1601141</v>
      </c>
      <c r="R191" s="12">
        <v>0</v>
      </c>
      <c r="S191" s="12">
        <f t="shared" si="28"/>
        <v>1614989</v>
      </c>
      <c r="T191" s="7">
        <v>5784686</v>
      </c>
      <c r="U191" s="7">
        <v>4342890</v>
      </c>
      <c r="V191" s="7">
        <v>40881</v>
      </c>
      <c r="W191" s="7">
        <v>0</v>
      </c>
      <c r="X191" s="7">
        <v>48300144</v>
      </c>
      <c r="Y191" s="7" t="s">
        <v>713</v>
      </c>
      <c r="Z191" s="26">
        <v>0.1157</v>
      </c>
      <c r="AA191" s="7">
        <v>0</v>
      </c>
      <c r="AB191" s="26">
        <f>1878940/48121019</f>
        <v>3.9046139068667683E-2</v>
      </c>
      <c r="AC191" s="7">
        <v>1878390</v>
      </c>
      <c r="AD191" s="7">
        <v>0</v>
      </c>
      <c r="AE191" s="7">
        <f>21947+2531+4052</f>
        <v>28530</v>
      </c>
      <c r="AF191" s="7">
        <v>964334</v>
      </c>
      <c r="AG191" s="7">
        <v>72830</v>
      </c>
      <c r="AH191" s="7">
        <v>254894</v>
      </c>
      <c r="AI191" s="7">
        <v>132583</v>
      </c>
      <c r="AJ191" s="7">
        <v>5466</v>
      </c>
      <c r="AK191" s="7">
        <v>37220</v>
      </c>
      <c r="AL191" s="7">
        <v>9520</v>
      </c>
      <c r="AM191" s="7">
        <v>0</v>
      </c>
      <c r="AN191" s="7">
        <v>0</v>
      </c>
      <c r="AO191" s="7">
        <f>45509+66849+59666</f>
        <v>172024</v>
      </c>
      <c r="AP191" s="7">
        <v>18056</v>
      </c>
      <c r="AQ191" s="7">
        <v>1041</v>
      </c>
      <c r="AR191" s="7">
        <v>0</v>
      </c>
      <c r="AS191" s="7">
        <v>1462</v>
      </c>
      <c r="AT191" s="7">
        <v>28063</v>
      </c>
      <c r="AU191" s="7">
        <v>0</v>
      </c>
      <c r="AV191" s="7">
        <v>1783002</v>
      </c>
      <c r="AW191" s="7">
        <v>1803821</v>
      </c>
      <c r="AX191" s="26">
        <f t="shared" si="26"/>
        <v>0</v>
      </c>
      <c r="AY191" s="7">
        <v>0</v>
      </c>
      <c r="AZ191" s="7">
        <v>0</v>
      </c>
      <c r="BA191" s="7">
        <v>148368</v>
      </c>
      <c r="BB191" s="7">
        <v>0</v>
      </c>
      <c r="BC191" s="7">
        <v>210844</v>
      </c>
      <c r="BD191" s="7">
        <v>0</v>
      </c>
      <c r="BE191" s="7">
        <v>0</v>
      </c>
      <c r="BF191" s="7">
        <v>0</v>
      </c>
      <c r="BG191" s="7">
        <v>11916</v>
      </c>
      <c r="BH191" s="7">
        <v>5575</v>
      </c>
      <c r="BI191" s="7">
        <v>73</v>
      </c>
      <c r="BJ191" s="7">
        <v>0</v>
      </c>
      <c r="BK191" s="7">
        <f>-1-36</f>
        <v>-37</v>
      </c>
      <c r="BL191" s="7">
        <v>-438</v>
      </c>
      <c r="BM191" s="7">
        <v>-2589</v>
      </c>
      <c r="BN191" s="7">
        <v>-1475</v>
      </c>
      <c r="BO191" s="7">
        <v>-1</v>
      </c>
      <c r="BP191" s="7">
        <f t="shared" si="29"/>
        <v>13024</v>
      </c>
      <c r="BQ191" s="1">
        <v>11</v>
      </c>
      <c r="BR191" s="7">
        <v>220</v>
      </c>
      <c r="BS191" s="7">
        <v>124</v>
      </c>
      <c r="BT191" s="7">
        <v>515</v>
      </c>
      <c r="BU191" s="7">
        <v>597</v>
      </c>
      <c r="BV191" s="7">
        <v>19</v>
      </c>
      <c r="BW191" s="7">
        <v>1</v>
      </c>
      <c r="BX191" s="7">
        <v>7</v>
      </c>
      <c r="BY191" s="7">
        <v>22</v>
      </c>
      <c r="BZ191" s="7">
        <v>63</v>
      </c>
      <c r="CA191" s="7">
        <v>0</v>
      </c>
      <c r="CB191" s="7">
        <v>14</v>
      </c>
      <c r="CC191" s="7">
        <v>18</v>
      </c>
      <c r="CD191" s="7">
        <v>256</v>
      </c>
      <c r="CE191" s="7">
        <v>1172</v>
      </c>
      <c r="CF191" s="7">
        <v>38</v>
      </c>
    </row>
    <row r="192" spans="1:84" x14ac:dyDescent="0.25">
      <c r="A192" s="15">
        <v>21</v>
      </c>
      <c r="B192" s="8" t="s">
        <v>687</v>
      </c>
      <c r="C192" s="57" t="s">
        <v>725</v>
      </c>
      <c r="D192" s="8" t="s">
        <v>108</v>
      </c>
      <c r="E192" s="8" t="s">
        <v>273</v>
      </c>
      <c r="F192" s="8" t="s">
        <v>496</v>
      </c>
      <c r="G192" s="8" t="s">
        <v>275</v>
      </c>
      <c r="H192" s="7">
        <v>47765838</v>
      </c>
      <c r="I192" s="7">
        <v>47790466</v>
      </c>
      <c r="J192" s="7">
        <v>3173547</v>
      </c>
      <c r="K192" s="12">
        <v>0</v>
      </c>
      <c r="L192" s="12">
        <v>7436857</v>
      </c>
      <c r="M192" s="12">
        <v>0</v>
      </c>
      <c r="N192" s="12">
        <v>5878827</v>
      </c>
      <c r="O192" s="25">
        <f t="shared" si="27"/>
        <v>13315684</v>
      </c>
      <c r="P192" s="12">
        <v>0</v>
      </c>
      <c r="Q192" s="12">
        <v>3239321</v>
      </c>
      <c r="R192" s="12">
        <v>0</v>
      </c>
      <c r="S192" s="12">
        <f t="shared" si="28"/>
        <v>3239321</v>
      </c>
      <c r="T192" s="7">
        <v>22544138</v>
      </c>
      <c r="U192" s="7">
        <v>1504751</v>
      </c>
      <c r="V192" s="7">
        <v>146745</v>
      </c>
      <c r="W192" s="7">
        <v>0</v>
      </c>
      <c r="X192" s="7">
        <v>43000680</v>
      </c>
      <c r="Y192" s="7" t="s">
        <v>713</v>
      </c>
      <c r="Z192" s="26">
        <v>0.17080000000000001</v>
      </c>
      <c r="AA192" s="7">
        <v>0</v>
      </c>
      <c r="AB192" s="26">
        <f>2249832/42853935</f>
        <v>5.2500009625720483E-2</v>
      </c>
      <c r="AC192" s="7">
        <v>2250041</v>
      </c>
      <c r="AD192" s="7">
        <v>0</v>
      </c>
      <c r="AE192" s="7">
        <f>24628+1589</f>
        <v>26217</v>
      </c>
      <c r="AF192" s="7">
        <v>1120841</v>
      </c>
      <c r="AG192" s="7">
        <v>85086</v>
      </c>
      <c r="AH192" s="7">
        <v>279227</v>
      </c>
      <c r="AI192" s="7">
        <f>173050+12204</f>
        <v>185254</v>
      </c>
      <c r="AJ192" s="7">
        <v>0</v>
      </c>
      <c r="AK192" s="7">
        <v>98603</v>
      </c>
      <c r="AL192" s="7">
        <v>10100</v>
      </c>
      <c r="AM192" s="7">
        <v>0</v>
      </c>
      <c r="AN192" s="7">
        <v>227307</v>
      </c>
      <c r="AO192" s="7">
        <f>28878+34578+48542</f>
        <v>111998</v>
      </c>
      <c r="AP192" s="7">
        <v>14221</v>
      </c>
      <c r="AQ192" s="7">
        <v>2511</v>
      </c>
      <c r="AR192" s="7">
        <v>0</v>
      </c>
      <c r="AS192" s="7">
        <v>0</v>
      </c>
      <c r="AT192" s="7">
        <v>75916</v>
      </c>
      <c r="AU192" s="7">
        <v>5835</v>
      </c>
      <c r="AV192" s="7">
        <v>2265836</v>
      </c>
      <c r="AW192" s="7">
        <v>2378999</v>
      </c>
      <c r="AX192" s="26">
        <f t="shared" si="26"/>
        <v>2.575208444035667E-3</v>
      </c>
      <c r="AY192" s="7">
        <v>0</v>
      </c>
      <c r="AZ192" s="7">
        <v>0</v>
      </c>
      <c r="BA192" s="7">
        <v>148368</v>
      </c>
      <c r="BB192" s="7">
        <v>0</v>
      </c>
      <c r="BC192" s="7">
        <v>309525</v>
      </c>
      <c r="BD192" s="7">
        <v>0</v>
      </c>
      <c r="BE192" s="7">
        <v>0</v>
      </c>
      <c r="BF192" s="7">
        <v>0</v>
      </c>
      <c r="BG192" s="7">
        <v>12354</v>
      </c>
      <c r="BH192" s="7">
        <v>7615</v>
      </c>
      <c r="BI192" s="7">
        <v>0</v>
      </c>
      <c r="BJ192" s="7">
        <v>0</v>
      </c>
      <c r="BK192" s="7">
        <f>139-13</f>
        <v>126</v>
      </c>
      <c r="BL192" s="7">
        <v>-541</v>
      </c>
      <c r="BM192" s="7">
        <v>-3550</v>
      </c>
      <c r="BN192" s="7">
        <v>-1999</v>
      </c>
      <c r="BO192" s="7">
        <v>-8</v>
      </c>
      <c r="BP192" s="7">
        <f t="shared" si="29"/>
        <v>13997</v>
      </c>
      <c r="BQ192" s="1">
        <v>0</v>
      </c>
      <c r="BR192" s="7">
        <v>288</v>
      </c>
      <c r="BS192" s="7">
        <v>300</v>
      </c>
      <c r="BT192" s="7">
        <v>1345</v>
      </c>
      <c r="BU192" s="7">
        <v>1</v>
      </c>
      <c r="BV192" s="7">
        <v>66</v>
      </c>
      <c r="BW192" s="7">
        <v>1</v>
      </c>
      <c r="BX192" s="7">
        <v>2</v>
      </c>
      <c r="BY192" s="7">
        <v>46</v>
      </c>
      <c r="BZ192" s="7">
        <v>109</v>
      </c>
      <c r="CA192" s="7">
        <v>385</v>
      </c>
      <c r="CB192" s="7">
        <v>4</v>
      </c>
      <c r="CC192" s="7">
        <v>25</v>
      </c>
      <c r="CD192" s="7">
        <v>215</v>
      </c>
      <c r="CE192" s="7">
        <v>759</v>
      </c>
      <c r="CF192" s="7">
        <v>2601</v>
      </c>
    </row>
    <row r="193" spans="1:84" x14ac:dyDescent="0.25">
      <c r="A193" s="15">
        <v>21</v>
      </c>
      <c r="B193" s="8" t="s">
        <v>729</v>
      </c>
      <c r="C193" s="57" t="s">
        <v>628</v>
      </c>
      <c r="D193" s="8" t="s">
        <v>58</v>
      </c>
      <c r="E193" s="8" t="s">
        <v>290</v>
      </c>
      <c r="F193" s="8" t="s">
        <v>551</v>
      </c>
      <c r="G193" s="8" t="s">
        <v>297</v>
      </c>
      <c r="H193" s="7">
        <v>89000231</v>
      </c>
      <c r="I193" s="7">
        <v>89150628</v>
      </c>
      <c r="J193" s="7">
        <v>3129881</v>
      </c>
      <c r="K193" s="12">
        <v>133530</v>
      </c>
      <c r="L193" s="12">
        <v>4826474</v>
      </c>
      <c r="M193" s="12">
        <v>46311645</v>
      </c>
      <c r="N193" s="12">
        <v>0</v>
      </c>
      <c r="O193" s="25">
        <f t="shared" si="27"/>
        <v>51271649</v>
      </c>
      <c r="P193" s="12">
        <v>0</v>
      </c>
      <c r="Q193" s="12">
        <v>4400323</v>
      </c>
      <c r="R193" s="12">
        <v>0</v>
      </c>
      <c r="S193" s="12">
        <f t="shared" si="28"/>
        <v>4400323</v>
      </c>
      <c r="T193" s="7">
        <v>15029140</v>
      </c>
      <c r="U193" s="7">
        <v>10071584</v>
      </c>
      <c r="V193" s="7">
        <v>20680</v>
      </c>
      <c r="W193" s="7">
        <v>0</v>
      </c>
      <c r="X193" s="7">
        <v>85004982</v>
      </c>
      <c r="Y193" s="7" t="s">
        <v>696</v>
      </c>
      <c r="Z193" s="26">
        <v>0.13100000000000001</v>
      </c>
      <c r="AA193" s="7">
        <v>0</v>
      </c>
      <c r="AB193" s="26">
        <f>3402934/84984302</f>
        <v>4.0041912681709146E-2</v>
      </c>
      <c r="AC193" s="7">
        <v>3402323</v>
      </c>
      <c r="AD193" s="7">
        <v>0</v>
      </c>
      <c r="AE193" s="7">
        <f>150397+8201</f>
        <v>158598</v>
      </c>
      <c r="AF193" s="7">
        <v>1601250</v>
      </c>
      <c r="AG193" s="7">
        <v>134365</v>
      </c>
      <c r="AH193" s="7">
        <v>388388</v>
      </c>
      <c r="AI193" s="7">
        <f>243972+536</f>
        <v>244508</v>
      </c>
      <c r="AJ193" s="7">
        <v>3966</v>
      </c>
      <c r="AK193" s="7">
        <v>39850</v>
      </c>
      <c r="AL193" s="7">
        <v>20000</v>
      </c>
      <c r="AM193" s="7">
        <v>41330</v>
      </c>
      <c r="AN193" s="7">
        <v>0</v>
      </c>
      <c r="AO193" s="7">
        <f>19988+77996+80944</f>
        <v>178928</v>
      </c>
      <c r="AP193" s="7">
        <v>18399</v>
      </c>
      <c r="AQ193" s="7">
        <v>1655</v>
      </c>
      <c r="AR193" s="7">
        <v>23103</v>
      </c>
      <c r="AS193" s="7">
        <v>0</v>
      </c>
      <c r="AT193" s="7">
        <v>152585</v>
      </c>
      <c r="AU193" s="7">
        <v>0</v>
      </c>
      <c r="AV193" s="7">
        <v>3025100</v>
      </c>
      <c r="AW193" s="7">
        <v>3194988</v>
      </c>
      <c r="AX193" s="26">
        <f t="shared" si="26"/>
        <v>0</v>
      </c>
      <c r="AY193" s="7">
        <v>0</v>
      </c>
      <c r="AZ193" s="7">
        <v>0</v>
      </c>
      <c r="BA193" s="7">
        <v>148366</v>
      </c>
      <c r="BB193" s="7">
        <v>0</v>
      </c>
      <c r="BC193" s="7">
        <v>683260</v>
      </c>
      <c r="BD193" s="7">
        <v>168993</v>
      </c>
      <c r="BE193" s="7">
        <v>0</v>
      </c>
      <c r="BF193" s="7">
        <v>0</v>
      </c>
      <c r="BG193" s="7">
        <v>18876</v>
      </c>
      <c r="BH193" s="7">
        <v>11340</v>
      </c>
      <c r="BI193" s="7">
        <v>36</v>
      </c>
      <c r="BJ193" s="7">
        <v>0</v>
      </c>
      <c r="BK193" s="7">
        <f>5+58-7</f>
        <v>56</v>
      </c>
      <c r="BL193" s="7">
        <v>-1194</v>
      </c>
      <c r="BM193" s="7">
        <v>-7302</v>
      </c>
      <c r="BN193" s="7">
        <v>-2963</v>
      </c>
      <c r="BO193" s="7">
        <v>-3</v>
      </c>
      <c r="BP193" s="7">
        <f t="shared" si="29"/>
        <v>18846</v>
      </c>
      <c r="BQ193" s="1">
        <v>20</v>
      </c>
      <c r="BR193" s="7">
        <v>1351</v>
      </c>
      <c r="BS193" s="7">
        <v>209</v>
      </c>
      <c r="BT193" s="7">
        <v>1247</v>
      </c>
      <c r="BU193" s="7">
        <v>1</v>
      </c>
      <c r="BV193" s="7">
        <v>155</v>
      </c>
      <c r="BW193" s="7">
        <v>7</v>
      </c>
      <c r="BX193" s="7">
        <v>21</v>
      </c>
      <c r="BY193" s="7">
        <v>176</v>
      </c>
      <c r="BZ193" s="7">
        <v>624</v>
      </c>
      <c r="CA193" s="7">
        <v>13</v>
      </c>
      <c r="CB193" s="7">
        <v>74</v>
      </c>
      <c r="CC193" s="7">
        <v>105</v>
      </c>
      <c r="CD193" s="7">
        <v>525</v>
      </c>
      <c r="CE193" s="7">
        <v>3008</v>
      </c>
      <c r="CF193" s="7">
        <v>261</v>
      </c>
    </row>
    <row r="194" spans="1:84" x14ac:dyDescent="0.25">
      <c r="A194" s="15">
        <v>21</v>
      </c>
      <c r="B194" s="1" t="s">
        <v>781</v>
      </c>
      <c r="C194" s="59" t="s">
        <v>442</v>
      </c>
      <c r="D194" s="1" t="s">
        <v>577</v>
      </c>
      <c r="E194" s="1" t="s">
        <v>273</v>
      </c>
      <c r="F194" s="8" t="s">
        <v>496</v>
      </c>
      <c r="G194" s="8" t="s">
        <v>275</v>
      </c>
      <c r="H194" s="7">
        <v>47334255</v>
      </c>
      <c r="I194" s="7">
        <v>47392497</v>
      </c>
      <c r="J194" s="7">
        <v>1750970</v>
      </c>
      <c r="K194" s="12">
        <v>24807949</v>
      </c>
      <c r="L194" s="12">
        <v>3580196</v>
      </c>
      <c r="M194" s="12">
        <v>8119791</v>
      </c>
      <c r="N194" s="12">
        <v>0</v>
      </c>
      <c r="O194" s="25">
        <f t="shared" si="27"/>
        <v>36507936</v>
      </c>
      <c r="P194" s="12">
        <v>0</v>
      </c>
      <c r="Q194" s="12">
        <v>1813270</v>
      </c>
      <c r="R194" s="12">
        <v>0</v>
      </c>
      <c r="S194" s="12">
        <f t="shared" si="28"/>
        <v>1813270</v>
      </c>
      <c r="T194" s="7">
        <v>3312249</v>
      </c>
      <c r="U194" s="7">
        <v>1300204</v>
      </c>
      <c r="V194" s="7">
        <v>0</v>
      </c>
      <c r="W194" s="7">
        <v>0</v>
      </c>
      <c r="X194" s="7">
        <v>44393352</v>
      </c>
      <c r="Y194" s="7" t="s">
        <v>531</v>
      </c>
      <c r="Z194" s="26">
        <v>0.14000000000000001</v>
      </c>
      <c r="AA194" s="7">
        <v>0</v>
      </c>
      <c r="AB194" s="26">
        <f>1165127/35634545</f>
        <v>3.2696558914951768E-2</v>
      </c>
      <c r="AC194" s="7">
        <v>1164452</v>
      </c>
      <c r="AD194" s="7">
        <v>0</v>
      </c>
      <c r="AE194" s="7">
        <f>55121+8180+766</f>
        <v>64067</v>
      </c>
      <c r="AF194" s="7">
        <v>664450</v>
      </c>
      <c r="AG194" s="7">
        <v>52004</v>
      </c>
      <c r="AH194" s="7">
        <v>62437</v>
      </c>
      <c r="AI194" s="7">
        <v>188361</v>
      </c>
      <c r="AJ194" s="7">
        <v>5914</v>
      </c>
      <c r="AK194" s="7">
        <v>3675</v>
      </c>
      <c r="AL194" s="7">
        <v>5800</v>
      </c>
      <c r="AM194" s="7">
        <v>9483</v>
      </c>
      <c r="AN194" s="7">
        <v>0</v>
      </c>
      <c r="AO194" s="7">
        <f>16267+83038+98957</f>
        <v>198262</v>
      </c>
      <c r="AP194" s="7">
        <v>20186</v>
      </c>
      <c r="AQ194" s="7">
        <v>1323</v>
      </c>
      <c r="AR194" s="7">
        <v>0</v>
      </c>
      <c r="AS194" s="7">
        <v>5690</v>
      </c>
      <c r="AT194" s="7">
        <v>28203</v>
      </c>
      <c r="AU194" s="7">
        <v>0</v>
      </c>
      <c r="AV194" s="7">
        <v>1322785</v>
      </c>
      <c r="AW194" s="7">
        <v>1414926</v>
      </c>
      <c r="AX194" s="26">
        <f t="shared" si="26"/>
        <v>0</v>
      </c>
      <c r="AY194" s="7">
        <v>0</v>
      </c>
      <c r="AZ194" s="7">
        <v>0</v>
      </c>
      <c r="BA194" s="7">
        <v>148368</v>
      </c>
      <c r="BB194" s="7">
        <v>0</v>
      </c>
      <c r="BC194" s="7">
        <v>167273</v>
      </c>
      <c r="BD194" s="7">
        <v>0</v>
      </c>
      <c r="BE194" s="7">
        <v>0</v>
      </c>
      <c r="BF194" s="7">
        <v>0</v>
      </c>
      <c r="BG194" s="7">
        <v>5539</v>
      </c>
      <c r="BH194" s="7">
        <v>2509</v>
      </c>
      <c r="BI194" s="7">
        <v>0</v>
      </c>
      <c r="BJ194" s="7">
        <v>0</v>
      </c>
      <c r="BK194" s="7">
        <f>5+51-1</f>
        <v>55</v>
      </c>
      <c r="BL194" s="7">
        <v>-450</v>
      </c>
      <c r="BM194" s="7">
        <v>-1191</v>
      </c>
      <c r="BN194" s="7">
        <v>-543</v>
      </c>
      <c r="BO194" s="7">
        <v>0</v>
      </c>
      <c r="BP194" s="7">
        <f t="shared" si="29"/>
        <v>5919</v>
      </c>
      <c r="BQ194" s="1">
        <v>0</v>
      </c>
      <c r="BR194" s="7">
        <v>173</v>
      </c>
      <c r="BS194" s="7">
        <v>76</v>
      </c>
      <c r="BT194" s="7">
        <v>376</v>
      </c>
      <c r="BU194" s="7">
        <v>1</v>
      </c>
      <c r="BV194" s="7">
        <v>54</v>
      </c>
      <c r="BW194" s="7">
        <v>7</v>
      </c>
      <c r="BX194" s="7">
        <v>1</v>
      </c>
      <c r="BY194" s="7">
        <v>68</v>
      </c>
      <c r="BZ194" s="7">
        <v>145</v>
      </c>
      <c r="CA194" s="7">
        <v>19</v>
      </c>
      <c r="CB194" s="7">
        <v>30</v>
      </c>
      <c r="CC194" s="7">
        <v>17</v>
      </c>
      <c r="CD194" s="7">
        <v>69</v>
      </c>
      <c r="CE194" s="7">
        <v>298</v>
      </c>
      <c r="CF194" s="7">
        <v>77</v>
      </c>
    </row>
    <row r="195" spans="1:84" x14ac:dyDescent="0.25">
      <c r="A195" s="15">
        <v>21</v>
      </c>
      <c r="B195" s="8" t="s">
        <v>783</v>
      </c>
      <c r="C195" s="57" t="s">
        <v>647</v>
      </c>
      <c r="D195" s="8" t="s">
        <v>286</v>
      </c>
      <c r="E195" s="8" t="s">
        <v>273</v>
      </c>
      <c r="F195" s="8" t="s">
        <v>693</v>
      </c>
      <c r="G195" s="8" t="s">
        <v>275</v>
      </c>
      <c r="H195" s="7">
        <v>52560249</v>
      </c>
      <c r="I195" s="7">
        <v>52615276</v>
      </c>
      <c r="J195" s="7">
        <v>1966592</v>
      </c>
      <c r="K195" s="12">
        <v>25127835</v>
      </c>
      <c r="L195" s="12">
        <v>5896901</v>
      </c>
      <c r="M195" s="12">
        <v>4617684</v>
      </c>
      <c r="N195" s="12">
        <v>0</v>
      </c>
      <c r="O195" s="25">
        <f t="shared" si="27"/>
        <v>35642420</v>
      </c>
      <c r="P195" s="12">
        <v>106497</v>
      </c>
      <c r="Q195" s="12">
        <v>1411202</v>
      </c>
      <c r="R195" s="12">
        <v>0</v>
      </c>
      <c r="S195" s="12">
        <f t="shared" si="28"/>
        <v>1517699</v>
      </c>
      <c r="T195" s="7">
        <v>7884927</v>
      </c>
      <c r="U195" s="7">
        <v>2824204</v>
      </c>
      <c r="V195" s="7">
        <v>0</v>
      </c>
      <c r="W195" s="7">
        <v>0</v>
      </c>
      <c r="X195" s="7">
        <v>49978029</v>
      </c>
      <c r="Y195" s="7" t="s">
        <v>531</v>
      </c>
      <c r="Z195" s="26">
        <v>0.14610000000000001</v>
      </c>
      <c r="AA195" s="7">
        <v>0</v>
      </c>
      <c r="AB195" s="26">
        <f>2088746/49978028</f>
        <v>4.1793285641442274E-2</v>
      </c>
      <c r="AC195" s="7">
        <v>2108819</v>
      </c>
      <c r="AD195" s="7">
        <v>0</v>
      </c>
      <c r="AE195" s="7">
        <f>52189+10483+1905</f>
        <v>64577</v>
      </c>
      <c r="AF195" s="7">
        <v>1008176</v>
      </c>
      <c r="AG195" s="7">
        <v>88614</v>
      </c>
      <c r="AH195" s="7">
        <v>235712</v>
      </c>
      <c r="AI195" s="7">
        <f>186242+12192</f>
        <v>198434</v>
      </c>
      <c r="AJ195" s="7">
        <v>4424</v>
      </c>
      <c r="AK195" s="7">
        <v>31921</v>
      </c>
      <c r="AL195" s="7">
        <v>10280</v>
      </c>
      <c r="AM195" s="7">
        <v>1330</v>
      </c>
      <c r="AN195" s="7">
        <v>17792</v>
      </c>
      <c r="AO195" s="7">
        <f>35586+51508+56788</f>
        <v>143882</v>
      </c>
      <c r="AP195" s="7">
        <v>18658</v>
      </c>
      <c r="AQ195" s="7">
        <v>2323</v>
      </c>
      <c r="AR195" s="7">
        <v>0</v>
      </c>
      <c r="AS195" s="7">
        <v>49257</v>
      </c>
      <c r="AT195" s="7">
        <v>93511</v>
      </c>
      <c r="AU195" s="7">
        <v>0</v>
      </c>
      <c r="AV195" s="7">
        <v>2055541</v>
      </c>
      <c r="AW195" s="7">
        <v>2140054</v>
      </c>
      <c r="AX195" s="26">
        <f t="shared" si="26"/>
        <v>0</v>
      </c>
      <c r="AY195" s="7">
        <v>254</v>
      </c>
      <c r="AZ195" s="7">
        <v>0</v>
      </c>
      <c r="BA195" s="7">
        <v>148368</v>
      </c>
      <c r="BB195" s="7">
        <v>0</v>
      </c>
      <c r="BC195" s="7">
        <v>248108</v>
      </c>
      <c r="BD195" s="7">
        <v>0</v>
      </c>
      <c r="BE195" s="7">
        <v>0</v>
      </c>
      <c r="BF195" s="7">
        <v>0</v>
      </c>
      <c r="BG195" s="7">
        <v>5723</v>
      </c>
      <c r="BH195" s="7">
        <v>3698</v>
      </c>
      <c r="BI195" s="7">
        <v>0</v>
      </c>
      <c r="BJ195" s="7">
        <v>0</v>
      </c>
      <c r="BK195" s="7">
        <v>65</v>
      </c>
      <c r="BL195" s="7">
        <v>-205</v>
      </c>
      <c r="BM195" s="7">
        <v>-2300</v>
      </c>
      <c r="BN195" s="7">
        <v>-1048</v>
      </c>
      <c r="BO195" s="7">
        <v>-3</v>
      </c>
      <c r="BP195" s="7">
        <f t="shared" si="29"/>
        <v>5930</v>
      </c>
      <c r="BQ195" s="1">
        <v>36</v>
      </c>
      <c r="BR195" s="7">
        <v>171</v>
      </c>
      <c r="BS195" s="7">
        <v>116</v>
      </c>
      <c r="BT195" s="7">
        <v>713</v>
      </c>
      <c r="BU195" s="7">
        <v>7</v>
      </c>
      <c r="BV195" s="7">
        <v>41</v>
      </c>
      <c r="BW195" s="7">
        <v>1</v>
      </c>
      <c r="BX195" s="7">
        <v>27</v>
      </c>
      <c r="BY195" s="7">
        <v>24</v>
      </c>
      <c r="BZ195" s="7">
        <v>46</v>
      </c>
      <c r="CA195" s="7">
        <v>3</v>
      </c>
      <c r="CB195" s="7">
        <v>46</v>
      </c>
      <c r="CC195" s="7">
        <v>27</v>
      </c>
      <c r="CD195" s="7">
        <v>164</v>
      </c>
      <c r="CE195" s="7">
        <v>528</v>
      </c>
      <c r="CF195" s="7">
        <v>161</v>
      </c>
    </row>
    <row r="196" spans="1:84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2"/>
      <c r="L196" s="2"/>
      <c r="M196" s="2"/>
      <c r="N196" s="2"/>
      <c r="O196" s="2"/>
      <c r="AX196" s="31"/>
    </row>
    <row r="197" spans="1:84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2"/>
      <c r="L197" s="2"/>
      <c r="M197" s="2"/>
      <c r="N197" s="2"/>
      <c r="O197" s="2"/>
    </row>
    <row r="198" spans="1:84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2"/>
      <c r="L198" s="2"/>
      <c r="M198" s="2"/>
      <c r="N198" s="2"/>
      <c r="O198" s="2"/>
    </row>
    <row r="199" spans="1:84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2"/>
      <c r="L199" s="2"/>
      <c r="M199" s="2"/>
      <c r="N199" s="2"/>
      <c r="O199" s="2"/>
    </row>
    <row r="200" spans="1:84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2"/>
      <c r="L200" s="2"/>
      <c r="M200" s="2"/>
      <c r="N200" s="2"/>
      <c r="O200" s="2"/>
      <c r="AX200" s="31"/>
    </row>
    <row r="201" spans="1:84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2"/>
      <c r="L201" s="2"/>
      <c r="M201" s="2"/>
      <c r="N201" s="2"/>
      <c r="O201" s="2"/>
    </row>
    <row r="202" spans="1:84" x14ac:dyDescent="0.25">
      <c r="A202" s="3"/>
      <c r="B202" s="3"/>
      <c r="C202" s="3"/>
      <c r="D202" s="11"/>
      <c r="E202" s="3"/>
      <c r="F202" s="3"/>
      <c r="G202" s="3"/>
      <c r="H202" s="3"/>
      <c r="I202" s="3"/>
      <c r="J202" s="3"/>
      <c r="K202" s="2"/>
      <c r="L202" s="2"/>
      <c r="M202" s="2"/>
      <c r="N202" s="2"/>
      <c r="O202" s="2"/>
      <c r="AX202" s="14"/>
    </row>
    <row r="203" spans="1:84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2"/>
      <c r="M203" s="2"/>
      <c r="N203" s="2"/>
      <c r="O203" s="2"/>
      <c r="AX203" s="14"/>
    </row>
    <row r="204" spans="1:84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2"/>
      <c r="O204" s="2"/>
      <c r="AX204" s="14"/>
    </row>
    <row r="205" spans="1:84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</row>
    <row r="206" spans="1:84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</row>
    <row r="207" spans="1:84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</row>
    <row r="208" spans="1:84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</row>
    <row r="224" spans="1:15" x14ac:dyDescent="0.25">
      <c r="D224" s="3"/>
      <c r="N224" s="2"/>
    </row>
    <row r="225" spans="4:14" x14ac:dyDescent="0.25">
      <c r="D225" s="3"/>
      <c r="N225" s="2"/>
    </row>
    <row r="226" spans="4:14" x14ac:dyDescent="0.25">
      <c r="D226" s="3"/>
      <c r="N226" s="2"/>
    </row>
    <row r="227" spans="4:14" x14ac:dyDescent="0.25">
      <c r="D227" s="3"/>
      <c r="N227" s="2"/>
    </row>
    <row r="228" spans="4:14" x14ac:dyDescent="0.25">
      <c r="D228" s="3"/>
      <c r="N228" s="2"/>
    </row>
    <row r="229" spans="4:14" x14ac:dyDescent="0.25">
      <c r="D229" s="3"/>
      <c r="N229" s="2"/>
    </row>
    <row r="230" spans="4:14" x14ac:dyDescent="0.25">
      <c r="D230" s="3"/>
      <c r="N230" s="2"/>
    </row>
    <row r="231" spans="4:14" x14ac:dyDescent="0.25">
      <c r="N231" s="2"/>
    </row>
    <row r="232" spans="4:14" x14ac:dyDescent="0.25">
      <c r="N232" s="2"/>
    </row>
    <row r="233" spans="4:14" x14ac:dyDescent="0.25">
      <c r="N233" s="2"/>
    </row>
    <row r="234" spans="4:14" x14ac:dyDescent="0.25">
      <c r="N234" s="2"/>
    </row>
    <row r="235" spans="4:14" x14ac:dyDescent="0.25">
      <c r="N235" s="2"/>
    </row>
    <row r="236" spans="4:14" x14ac:dyDescent="0.25">
      <c r="N236" s="2"/>
    </row>
    <row r="237" spans="4:14" x14ac:dyDescent="0.25">
      <c r="N237" s="2"/>
    </row>
    <row r="238" spans="4:14" x14ac:dyDescent="0.25">
      <c r="N238" s="2"/>
    </row>
    <row r="239" spans="4:14" x14ac:dyDescent="0.25">
      <c r="N239" s="2"/>
    </row>
    <row r="240" spans="4:14" x14ac:dyDescent="0.25">
      <c r="N240" s="2"/>
    </row>
    <row r="241" spans="14:14" x14ac:dyDescent="0.25">
      <c r="N241" s="2"/>
    </row>
    <row r="242" spans="14:14" x14ac:dyDescent="0.25">
      <c r="N242" s="2"/>
    </row>
    <row r="243" spans="14:14" x14ac:dyDescent="0.25">
      <c r="N243" s="2"/>
    </row>
    <row r="244" spans="14:14" x14ac:dyDescent="0.25">
      <c r="N244" s="2"/>
    </row>
    <row r="245" spans="14:14" x14ac:dyDescent="0.25">
      <c r="N245" s="2"/>
    </row>
    <row r="246" spans="14:14" x14ac:dyDescent="0.25">
      <c r="N246" s="2"/>
    </row>
    <row r="247" spans="14:14" x14ac:dyDescent="0.25">
      <c r="N247" s="2"/>
    </row>
    <row r="248" spans="14:14" x14ac:dyDescent="0.25">
      <c r="N248" s="2"/>
    </row>
    <row r="249" spans="14:14" x14ac:dyDescent="0.25">
      <c r="N249" s="2"/>
    </row>
    <row r="250" spans="14:14" x14ac:dyDescent="0.25">
      <c r="N250" s="2"/>
    </row>
    <row r="251" spans="14:14" x14ac:dyDescent="0.25">
      <c r="N251" s="2"/>
    </row>
    <row r="252" spans="14:14" x14ac:dyDescent="0.25">
      <c r="N252" s="2"/>
    </row>
    <row r="253" spans="14:14" x14ac:dyDescent="0.25">
      <c r="N253" s="2"/>
    </row>
    <row r="254" spans="14:14" x14ac:dyDescent="0.25">
      <c r="N254" s="2"/>
    </row>
    <row r="255" spans="14:14" x14ac:dyDescent="0.25">
      <c r="N255" s="2"/>
    </row>
    <row r="256" spans="14:14" x14ac:dyDescent="0.25">
      <c r="N256" s="2"/>
    </row>
    <row r="257" spans="14:14" x14ac:dyDescent="0.25">
      <c r="N257" s="2"/>
    </row>
    <row r="258" spans="14:14" x14ac:dyDescent="0.25">
      <c r="N258" s="2"/>
    </row>
    <row r="259" spans="14:14" x14ac:dyDescent="0.25">
      <c r="N259" s="2"/>
    </row>
    <row r="260" spans="14:14" x14ac:dyDescent="0.25">
      <c r="N260" s="2"/>
    </row>
    <row r="261" spans="14:14" x14ac:dyDescent="0.25">
      <c r="N261" s="2"/>
    </row>
    <row r="262" spans="14:14" x14ac:dyDescent="0.25">
      <c r="N262" s="2"/>
    </row>
    <row r="263" spans="14:14" x14ac:dyDescent="0.25">
      <c r="N263" s="2"/>
    </row>
    <row r="264" spans="14:14" x14ac:dyDescent="0.25">
      <c r="N264" s="2"/>
    </row>
    <row r="265" spans="14:14" x14ac:dyDescent="0.25">
      <c r="N265" s="2"/>
    </row>
    <row r="266" spans="14:14" x14ac:dyDescent="0.25">
      <c r="N266" s="2"/>
    </row>
    <row r="267" spans="14:14" x14ac:dyDescent="0.25">
      <c r="N267" s="2"/>
    </row>
    <row r="268" spans="14:14" x14ac:dyDescent="0.25">
      <c r="N268" s="2"/>
    </row>
    <row r="269" spans="14:14" x14ac:dyDescent="0.25">
      <c r="N269" s="2"/>
    </row>
    <row r="270" spans="14:14" x14ac:dyDescent="0.25">
      <c r="N270" s="2"/>
    </row>
    <row r="271" spans="14:14" x14ac:dyDescent="0.25">
      <c r="N271" s="2"/>
    </row>
    <row r="272" spans="14:14" x14ac:dyDescent="0.25">
      <c r="N272" s="2"/>
    </row>
    <row r="273" spans="14:14" x14ac:dyDescent="0.25">
      <c r="N273" s="2"/>
    </row>
    <row r="274" spans="14:14" x14ac:dyDescent="0.25">
      <c r="N274" s="2"/>
    </row>
    <row r="275" spans="14:14" x14ac:dyDescent="0.25">
      <c r="N275" s="2"/>
    </row>
    <row r="276" spans="14:14" x14ac:dyDescent="0.25">
      <c r="N276" s="2"/>
    </row>
    <row r="277" spans="14:14" x14ac:dyDescent="0.25">
      <c r="N277" s="2"/>
    </row>
    <row r="278" spans="14:14" x14ac:dyDescent="0.25">
      <c r="N278" s="2"/>
    </row>
    <row r="279" spans="14:14" x14ac:dyDescent="0.25">
      <c r="N279" s="2"/>
    </row>
    <row r="280" spans="14:14" x14ac:dyDescent="0.25">
      <c r="N280" s="2"/>
    </row>
    <row r="281" spans="14:14" x14ac:dyDescent="0.25">
      <c r="N281" s="2"/>
    </row>
    <row r="282" spans="14:14" x14ac:dyDescent="0.25">
      <c r="N282" s="2"/>
    </row>
    <row r="283" spans="14:14" x14ac:dyDescent="0.25">
      <c r="N283" s="2"/>
    </row>
    <row r="284" spans="14:14" x14ac:dyDescent="0.25">
      <c r="N284" s="2"/>
    </row>
    <row r="285" spans="14:14" x14ac:dyDescent="0.25">
      <c r="N285" s="2"/>
    </row>
    <row r="286" spans="14:14" x14ac:dyDescent="0.25">
      <c r="N286" s="2"/>
    </row>
    <row r="287" spans="14:14" x14ac:dyDescent="0.25">
      <c r="N287" s="2"/>
    </row>
    <row r="288" spans="14:14" x14ac:dyDescent="0.25">
      <c r="N288" s="2"/>
    </row>
    <row r="289" spans="14:14" x14ac:dyDescent="0.25">
      <c r="N289" s="2"/>
    </row>
    <row r="290" spans="14:14" x14ac:dyDescent="0.25">
      <c r="N290" s="2"/>
    </row>
    <row r="291" spans="14:14" x14ac:dyDescent="0.25">
      <c r="N291" s="2"/>
    </row>
    <row r="292" spans="14:14" x14ac:dyDescent="0.25">
      <c r="N292" s="2"/>
    </row>
    <row r="293" spans="14:14" x14ac:dyDescent="0.25">
      <c r="N293" s="2"/>
    </row>
    <row r="294" spans="14:14" x14ac:dyDescent="0.25">
      <c r="N294" s="2"/>
    </row>
    <row r="295" spans="14:14" x14ac:dyDescent="0.25">
      <c r="N295" s="2"/>
    </row>
    <row r="296" spans="14:14" x14ac:dyDescent="0.25">
      <c r="N296" s="2"/>
    </row>
    <row r="297" spans="14:14" x14ac:dyDescent="0.25">
      <c r="N297" s="2"/>
    </row>
    <row r="298" spans="14:14" x14ac:dyDescent="0.25">
      <c r="N298" s="2"/>
    </row>
    <row r="299" spans="14:14" x14ac:dyDescent="0.25">
      <c r="N299" s="2"/>
    </row>
    <row r="300" spans="14:14" x14ac:dyDescent="0.25">
      <c r="N300" s="2"/>
    </row>
    <row r="301" spans="14:14" x14ac:dyDescent="0.25">
      <c r="N301" s="2"/>
    </row>
    <row r="302" spans="14:14" x14ac:dyDescent="0.25">
      <c r="N302" s="2"/>
    </row>
    <row r="303" spans="14:14" x14ac:dyDescent="0.25">
      <c r="N303" s="2"/>
    </row>
    <row r="304" spans="14:14" x14ac:dyDescent="0.25">
      <c r="N304" s="2"/>
    </row>
    <row r="305" spans="14:14" x14ac:dyDescent="0.25">
      <c r="N305" s="2"/>
    </row>
    <row r="306" spans="14:14" x14ac:dyDescent="0.25">
      <c r="N306" s="2"/>
    </row>
    <row r="307" spans="14:14" x14ac:dyDescent="0.25">
      <c r="N307" s="2"/>
    </row>
    <row r="308" spans="14:14" x14ac:dyDescent="0.25">
      <c r="N308" s="2"/>
    </row>
    <row r="309" spans="14:14" x14ac:dyDescent="0.25">
      <c r="N309" s="2"/>
    </row>
    <row r="310" spans="14:14" x14ac:dyDescent="0.25">
      <c r="N310" s="2"/>
    </row>
    <row r="311" spans="14:14" x14ac:dyDescent="0.25">
      <c r="N311" s="2"/>
    </row>
    <row r="312" spans="14:14" x14ac:dyDescent="0.25">
      <c r="N312" s="2"/>
    </row>
    <row r="313" spans="14:14" x14ac:dyDescent="0.25">
      <c r="N313" s="2"/>
    </row>
    <row r="314" spans="14:14" x14ac:dyDescent="0.25">
      <c r="N314" s="2"/>
    </row>
    <row r="315" spans="14:14" x14ac:dyDescent="0.25">
      <c r="N315" s="2"/>
    </row>
    <row r="316" spans="14:14" x14ac:dyDescent="0.25">
      <c r="N316" s="2"/>
    </row>
    <row r="317" spans="14:14" x14ac:dyDescent="0.25">
      <c r="N317" s="2"/>
    </row>
    <row r="318" spans="14:14" x14ac:dyDescent="0.25">
      <c r="N318" s="2"/>
    </row>
    <row r="319" spans="14:14" x14ac:dyDescent="0.25">
      <c r="N319" s="2"/>
    </row>
    <row r="320" spans="14:14" x14ac:dyDescent="0.25">
      <c r="N320" s="2"/>
    </row>
    <row r="321" spans="14:14" x14ac:dyDescent="0.25">
      <c r="N321" s="2"/>
    </row>
    <row r="322" spans="14:14" x14ac:dyDescent="0.25">
      <c r="N322" s="2"/>
    </row>
    <row r="323" spans="14:14" x14ac:dyDescent="0.25">
      <c r="N323" s="2"/>
    </row>
    <row r="324" spans="14:14" x14ac:dyDescent="0.25">
      <c r="N324" s="2"/>
    </row>
    <row r="325" spans="14:14" x14ac:dyDescent="0.25">
      <c r="N325" s="2"/>
    </row>
    <row r="326" spans="14:14" x14ac:dyDescent="0.25">
      <c r="N326" s="2"/>
    </row>
    <row r="327" spans="14:14" x14ac:dyDescent="0.25">
      <c r="N327" s="2"/>
    </row>
    <row r="328" spans="14:14" x14ac:dyDescent="0.25">
      <c r="N328" s="2"/>
    </row>
    <row r="329" spans="14:14" x14ac:dyDescent="0.25">
      <c r="N329" s="2"/>
    </row>
    <row r="330" spans="14:14" x14ac:dyDescent="0.25">
      <c r="N330" s="2"/>
    </row>
    <row r="331" spans="14:14" x14ac:dyDescent="0.25">
      <c r="N331" s="2"/>
    </row>
    <row r="332" spans="14:14" x14ac:dyDescent="0.25">
      <c r="N332" s="2"/>
    </row>
    <row r="333" spans="14:14" x14ac:dyDescent="0.25">
      <c r="N333" s="2"/>
    </row>
    <row r="334" spans="14:14" x14ac:dyDescent="0.25">
      <c r="N334" s="2"/>
    </row>
    <row r="335" spans="14:14" x14ac:dyDescent="0.25">
      <c r="N335" s="2"/>
    </row>
    <row r="336" spans="14:14" x14ac:dyDescent="0.25">
      <c r="N336" s="2"/>
    </row>
    <row r="337" spans="14:14" x14ac:dyDescent="0.25">
      <c r="N337" s="2"/>
    </row>
    <row r="338" spans="14:14" x14ac:dyDescent="0.25">
      <c r="N338" s="2"/>
    </row>
    <row r="339" spans="14:14" x14ac:dyDescent="0.25">
      <c r="N339" s="2"/>
    </row>
    <row r="340" spans="14:14" x14ac:dyDescent="0.25">
      <c r="N340" s="2"/>
    </row>
    <row r="341" spans="14:14" x14ac:dyDescent="0.25">
      <c r="N341" s="2"/>
    </row>
    <row r="342" spans="14:14" x14ac:dyDescent="0.25">
      <c r="N342" s="2"/>
    </row>
    <row r="343" spans="14:14" x14ac:dyDescent="0.25">
      <c r="N343" s="2"/>
    </row>
    <row r="344" spans="14:14" x14ac:dyDescent="0.25">
      <c r="N344" s="2"/>
    </row>
    <row r="345" spans="14:14" x14ac:dyDescent="0.25">
      <c r="N345" s="2"/>
    </row>
    <row r="346" spans="14:14" x14ac:dyDescent="0.25">
      <c r="N346" s="2"/>
    </row>
    <row r="347" spans="14:14" x14ac:dyDescent="0.25">
      <c r="N347" s="2"/>
    </row>
    <row r="348" spans="14:14" x14ac:dyDescent="0.25">
      <c r="N348" s="2"/>
    </row>
    <row r="349" spans="14:14" x14ac:dyDescent="0.25">
      <c r="N349" s="2"/>
    </row>
    <row r="350" spans="14:14" x14ac:dyDescent="0.25">
      <c r="N350" s="2"/>
    </row>
    <row r="351" spans="14:14" x14ac:dyDescent="0.25">
      <c r="N351" s="2"/>
    </row>
    <row r="352" spans="14:14" x14ac:dyDescent="0.25">
      <c r="N352" s="2"/>
    </row>
    <row r="353" spans="14:14" x14ac:dyDescent="0.25">
      <c r="N353" s="2"/>
    </row>
    <row r="354" spans="14:14" x14ac:dyDescent="0.25">
      <c r="N354" s="2"/>
    </row>
    <row r="355" spans="14:14" x14ac:dyDescent="0.25">
      <c r="N355" s="2"/>
    </row>
    <row r="356" spans="14:14" x14ac:dyDescent="0.25">
      <c r="N356" s="2"/>
    </row>
    <row r="357" spans="14:14" x14ac:dyDescent="0.25">
      <c r="N357" s="2"/>
    </row>
    <row r="358" spans="14:14" x14ac:dyDescent="0.25">
      <c r="N358" s="2"/>
    </row>
    <row r="359" spans="14:14" x14ac:dyDescent="0.25">
      <c r="N359" s="2"/>
    </row>
    <row r="360" spans="14:14" x14ac:dyDescent="0.25">
      <c r="N360" s="2"/>
    </row>
    <row r="361" spans="14:14" x14ac:dyDescent="0.25">
      <c r="N361" s="2"/>
    </row>
    <row r="362" spans="14:14" x14ac:dyDescent="0.25">
      <c r="N362" s="2"/>
    </row>
    <row r="363" spans="14:14" x14ac:dyDescent="0.25">
      <c r="N363" s="2"/>
    </row>
    <row r="364" spans="14:14" x14ac:dyDescent="0.25">
      <c r="N364" s="2"/>
    </row>
    <row r="365" spans="14:14" x14ac:dyDescent="0.25">
      <c r="N365" s="2"/>
    </row>
    <row r="366" spans="14:14" x14ac:dyDescent="0.25">
      <c r="N366" s="2"/>
    </row>
    <row r="367" spans="14:14" x14ac:dyDescent="0.25">
      <c r="N367" s="2"/>
    </row>
    <row r="368" spans="14:14" x14ac:dyDescent="0.25">
      <c r="N368" s="2"/>
    </row>
    <row r="369" spans="14:14" x14ac:dyDescent="0.25">
      <c r="N369" s="2"/>
    </row>
    <row r="370" spans="14:14" x14ac:dyDescent="0.25">
      <c r="N370" s="2"/>
    </row>
    <row r="371" spans="14:14" x14ac:dyDescent="0.25">
      <c r="N371" s="2"/>
    </row>
    <row r="372" spans="14:14" x14ac:dyDescent="0.25">
      <c r="N372" s="2"/>
    </row>
    <row r="373" spans="14:14" x14ac:dyDescent="0.25">
      <c r="N373" s="2"/>
    </row>
    <row r="374" spans="14:14" x14ac:dyDescent="0.25">
      <c r="N374" s="2"/>
    </row>
    <row r="375" spans="14:14" x14ac:dyDescent="0.25">
      <c r="N375" s="2"/>
    </row>
    <row r="376" spans="14:14" x14ac:dyDescent="0.25">
      <c r="N376" s="2"/>
    </row>
    <row r="377" spans="14:14" x14ac:dyDescent="0.25">
      <c r="N377" s="2"/>
    </row>
    <row r="378" spans="14:14" x14ac:dyDescent="0.25">
      <c r="N378" s="2"/>
    </row>
    <row r="379" spans="14:14" x14ac:dyDescent="0.25">
      <c r="N379" s="2"/>
    </row>
    <row r="380" spans="14:14" x14ac:dyDescent="0.25">
      <c r="N380" s="2"/>
    </row>
    <row r="381" spans="14:14" x14ac:dyDescent="0.25">
      <c r="N381" s="2"/>
    </row>
    <row r="382" spans="14:14" x14ac:dyDescent="0.25">
      <c r="N382" s="2"/>
    </row>
    <row r="383" spans="14:14" x14ac:dyDescent="0.25">
      <c r="N383" s="2"/>
    </row>
    <row r="384" spans="14:14" x14ac:dyDescent="0.25">
      <c r="N384" s="2"/>
    </row>
    <row r="385" spans="14:14" x14ac:dyDescent="0.25">
      <c r="N385" s="2"/>
    </row>
    <row r="386" spans="14:14" x14ac:dyDescent="0.25">
      <c r="N386" s="2"/>
    </row>
    <row r="387" spans="14:14" x14ac:dyDescent="0.25">
      <c r="N387" s="2"/>
    </row>
    <row r="388" spans="14:14" x14ac:dyDescent="0.25">
      <c r="N388" s="2"/>
    </row>
    <row r="389" spans="14:14" x14ac:dyDescent="0.25">
      <c r="N389" s="2"/>
    </row>
    <row r="390" spans="14:14" x14ac:dyDescent="0.25">
      <c r="N390" s="2"/>
    </row>
    <row r="391" spans="14:14" x14ac:dyDescent="0.25">
      <c r="N391" s="2"/>
    </row>
    <row r="392" spans="14:14" x14ac:dyDescent="0.25">
      <c r="N392" s="2"/>
    </row>
    <row r="393" spans="14:14" x14ac:dyDescent="0.25">
      <c r="N393" s="2"/>
    </row>
    <row r="394" spans="14:14" x14ac:dyDescent="0.25">
      <c r="N394" s="2"/>
    </row>
    <row r="395" spans="14:14" x14ac:dyDescent="0.25">
      <c r="N395" s="2"/>
    </row>
    <row r="396" spans="14:14" x14ac:dyDescent="0.25">
      <c r="N396" s="2"/>
    </row>
    <row r="397" spans="14:14" x14ac:dyDescent="0.25">
      <c r="N397" s="2"/>
    </row>
    <row r="398" spans="14:14" x14ac:dyDescent="0.25">
      <c r="N398" s="2"/>
    </row>
    <row r="399" spans="14:14" x14ac:dyDescent="0.25">
      <c r="N399" s="2"/>
    </row>
    <row r="400" spans="14:14" x14ac:dyDescent="0.25">
      <c r="N400" s="2"/>
    </row>
    <row r="401" spans="14:14" x14ac:dyDescent="0.25">
      <c r="N401" s="2"/>
    </row>
    <row r="402" spans="14:14" x14ac:dyDescent="0.25">
      <c r="N402" s="2"/>
    </row>
    <row r="403" spans="14:14" x14ac:dyDescent="0.25">
      <c r="N403" s="2"/>
    </row>
    <row r="404" spans="14:14" x14ac:dyDescent="0.25">
      <c r="N404" s="2"/>
    </row>
    <row r="405" spans="14:14" x14ac:dyDescent="0.25">
      <c r="N405" s="2"/>
    </row>
    <row r="406" spans="14:14" x14ac:dyDescent="0.25">
      <c r="N406" s="2"/>
    </row>
    <row r="407" spans="14:14" x14ac:dyDescent="0.25">
      <c r="N407" s="2"/>
    </row>
    <row r="408" spans="14:14" x14ac:dyDescent="0.25">
      <c r="N408" s="2"/>
    </row>
    <row r="409" spans="14:14" x14ac:dyDescent="0.25">
      <c r="N409" s="2"/>
    </row>
    <row r="410" spans="14:14" x14ac:dyDescent="0.25">
      <c r="N410" s="2"/>
    </row>
    <row r="411" spans="14:14" x14ac:dyDescent="0.25">
      <c r="N411" s="2"/>
    </row>
    <row r="412" spans="14:14" x14ac:dyDescent="0.25">
      <c r="N412" s="2"/>
    </row>
    <row r="413" spans="14:14" x14ac:dyDescent="0.25">
      <c r="N413" s="2"/>
    </row>
    <row r="414" spans="14:14" x14ac:dyDescent="0.25">
      <c r="N414" s="2"/>
    </row>
    <row r="415" spans="14:14" x14ac:dyDescent="0.25">
      <c r="N415" s="2"/>
    </row>
    <row r="416" spans="14:14" x14ac:dyDescent="0.25">
      <c r="N416" s="2"/>
    </row>
    <row r="417" spans="14:14" x14ac:dyDescent="0.25">
      <c r="N417" s="2"/>
    </row>
    <row r="418" spans="14:14" x14ac:dyDescent="0.25">
      <c r="N418" s="2"/>
    </row>
    <row r="419" spans="14:14" x14ac:dyDescent="0.25">
      <c r="N419" s="2"/>
    </row>
    <row r="420" spans="14:14" x14ac:dyDescent="0.25">
      <c r="N420" s="2"/>
    </row>
    <row r="421" spans="14:14" x14ac:dyDescent="0.25">
      <c r="N421" s="2"/>
    </row>
    <row r="422" spans="14:14" x14ac:dyDescent="0.25">
      <c r="N422" s="2"/>
    </row>
    <row r="423" spans="14:14" x14ac:dyDescent="0.25">
      <c r="N423" s="2"/>
    </row>
    <row r="424" spans="14:14" x14ac:dyDescent="0.25">
      <c r="N424" s="2"/>
    </row>
    <row r="425" spans="14:14" x14ac:dyDescent="0.25">
      <c r="N425" s="2"/>
    </row>
    <row r="426" spans="14:14" x14ac:dyDescent="0.25">
      <c r="N426" s="2"/>
    </row>
    <row r="427" spans="14:14" x14ac:dyDescent="0.25">
      <c r="N427" s="2"/>
    </row>
    <row r="428" spans="14:14" x14ac:dyDescent="0.25">
      <c r="N428" s="2"/>
    </row>
    <row r="429" spans="14:14" x14ac:dyDescent="0.25">
      <c r="N429" s="2"/>
    </row>
    <row r="430" spans="14:14" x14ac:dyDescent="0.25">
      <c r="N430" s="2"/>
    </row>
    <row r="431" spans="14:14" x14ac:dyDescent="0.25">
      <c r="N431" s="2"/>
    </row>
    <row r="432" spans="14:14" x14ac:dyDescent="0.25">
      <c r="N432" s="2"/>
    </row>
    <row r="433" spans="14:14" x14ac:dyDescent="0.25">
      <c r="N433" s="2"/>
    </row>
    <row r="434" spans="14:14" x14ac:dyDescent="0.25">
      <c r="N434" s="2"/>
    </row>
    <row r="435" spans="14:14" x14ac:dyDescent="0.25">
      <c r="N435" s="2"/>
    </row>
    <row r="436" spans="14:14" x14ac:dyDescent="0.25">
      <c r="N436" s="2"/>
    </row>
    <row r="437" spans="14:14" x14ac:dyDescent="0.25">
      <c r="N437" s="2"/>
    </row>
    <row r="438" spans="14:14" x14ac:dyDescent="0.25">
      <c r="N438" s="2"/>
    </row>
    <row r="439" spans="14:14" x14ac:dyDescent="0.25">
      <c r="N439" s="2"/>
    </row>
    <row r="440" spans="14:14" x14ac:dyDescent="0.25">
      <c r="N440" s="2"/>
    </row>
    <row r="441" spans="14:14" x14ac:dyDescent="0.25">
      <c r="N441" s="2"/>
    </row>
    <row r="442" spans="14:14" x14ac:dyDescent="0.25">
      <c r="N442" s="2"/>
    </row>
    <row r="443" spans="14:14" x14ac:dyDescent="0.25">
      <c r="N443" s="2"/>
    </row>
    <row r="444" spans="14:14" x14ac:dyDescent="0.25">
      <c r="N444" s="2"/>
    </row>
    <row r="445" spans="14:14" x14ac:dyDescent="0.25">
      <c r="N445" s="2"/>
    </row>
    <row r="446" spans="14:14" x14ac:dyDescent="0.25">
      <c r="N446" s="2"/>
    </row>
    <row r="447" spans="14:14" x14ac:dyDescent="0.25">
      <c r="N447" s="2"/>
    </row>
    <row r="448" spans="14:14" x14ac:dyDescent="0.25">
      <c r="N448" s="2"/>
    </row>
    <row r="449" spans="14:14" x14ac:dyDescent="0.25">
      <c r="N449" s="2"/>
    </row>
    <row r="450" spans="14:14" x14ac:dyDescent="0.25">
      <c r="N450" s="2"/>
    </row>
    <row r="451" spans="14:14" x14ac:dyDescent="0.25">
      <c r="N451" s="2"/>
    </row>
    <row r="452" spans="14:14" x14ac:dyDescent="0.25">
      <c r="N452" s="2"/>
    </row>
    <row r="453" spans="14:14" x14ac:dyDescent="0.25">
      <c r="N453" s="2"/>
    </row>
    <row r="454" spans="14:14" x14ac:dyDescent="0.25">
      <c r="N454" s="2"/>
    </row>
    <row r="455" spans="14:14" x14ac:dyDescent="0.25">
      <c r="N455" s="2"/>
    </row>
    <row r="456" spans="14:14" x14ac:dyDescent="0.25">
      <c r="N456" s="2"/>
    </row>
    <row r="457" spans="14:14" x14ac:dyDescent="0.25">
      <c r="N457" s="2"/>
    </row>
    <row r="458" spans="14:14" x14ac:dyDescent="0.25">
      <c r="N458" s="2"/>
    </row>
    <row r="459" spans="14:14" x14ac:dyDescent="0.25">
      <c r="N459" s="2"/>
    </row>
    <row r="460" spans="14:14" x14ac:dyDescent="0.25">
      <c r="N460" s="2"/>
    </row>
    <row r="461" spans="14:14" x14ac:dyDescent="0.25">
      <c r="N461" s="2"/>
    </row>
    <row r="462" spans="14:14" x14ac:dyDescent="0.25">
      <c r="N462" s="2"/>
    </row>
    <row r="463" spans="14:14" x14ac:dyDescent="0.25">
      <c r="N463" s="2"/>
    </row>
    <row r="464" spans="14:14" x14ac:dyDescent="0.25">
      <c r="N464" s="2"/>
    </row>
    <row r="465" spans="14:14" x14ac:dyDescent="0.25">
      <c r="N465" s="2"/>
    </row>
    <row r="466" spans="14:14" x14ac:dyDescent="0.25">
      <c r="N466" s="2"/>
    </row>
    <row r="467" spans="14:14" x14ac:dyDescent="0.25">
      <c r="N467" s="2"/>
    </row>
    <row r="468" spans="14:14" x14ac:dyDescent="0.25">
      <c r="N468" s="2"/>
    </row>
    <row r="469" spans="14:14" x14ac:dyDescent="0.25">
      <c r="N469" s="2"/>
    </row>
  </sheetData>
  <pageMargins left="0.75" right="0.75" top="1" bottom="1" header="0.5" footer="0.5"/>
  <headerFooter>
    <oddHeader>&amp;L&amp;"Arial"&amp;10CHAPTER 13 STANDING TRUSTEE FY02 AUDITED ANNUAL REPORTS</oddHeader>
    <oddFooter>&amp;L&amp;"Arial"&amp;10&amp;D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ColWidth="8" defaultRowHeight="15" x14ac:dyDescent="0.25"/>
  <sheetData>
    <row r="1" spans="1:2" x14ac:dyDescent="0.25">
      <c r="A1" t="s">
        <v>13</v>
      </c>
      <c r="B1" t="s">
        <v>14</v>
      </c>
    </row>
  </sheetData>
  <pageMargins left="0.75" right="0.75" top="1" bottom="1" header="0.5" footer="0.5"/>
  <headerFooter>
    <oddHeader>&amp;L&amp;"Arial"&amp;10CHAPTER 13 STANDING TRUSTEE FY02 AUDITED ANNUAL REPORTS</oddHeader>
    <oddFooter>&amp;L&amp;"Arial"&amp;10&amp;D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A</vt:lpstr>
      <vt:lpstr>B</vt:lpstr>
      <vt:lpstr>_EXP13</vt:lpstr>
      <vt:lpstr>_EXP2</vt:lpstr>
      <vt:lpstr>_EXP8</vt:lpstr>
      <vt:lpstr>_LO2</vt:lpstr>
      <vt:lpstr>_NBSTARTMACRO</vt:lpstr>
      <vt:lpstr>_REG12</vt:lpstr>
      <vt:lpstr>_REG13</vt:lpstr>
      <vt:lpstr>_REG17</vt:lpstr>
      <vt:lpstr>ALLOC2</vt:lpstr>
      <vt:lpstr>ALLOC8</vt:lpstr>
      <vt:lpstr>BU</vt:lpstr>
      <vt:lpstr>CASH</vt:lpstr>
      <vt:lpstr>CASH13</vt:lpstr>
      <vt:lpstr>CASH2</vt:lpstr>
      <vt:lpstr>CASH8</vt:lpstr>
      <vt:lpstr>DATA</vt:lpstr>
      <vt:lpstr>DISB</vt:lpstr>
      <vt:lpstr>DISB13</vt:lpstr>
      <vt:lpstr>DISB8</vt:lpstr>
      <vt:lpstr>DISBTOT8</vt:lpstr>
      <vt:lpstr>ELEVEN</vt:lpstr>
      <vt:lpstr>EN</vt:lpstr>
      <vt:lpstr>EXP</vt:lpstr>
      <vt:lpstr>LO</vt:lpstr>
      <vt:lpstr>NAMES</vt:lpstr>
      <vt:lpstr>NINE</vt:lpstr>
      <vt:lpstr>A!Print_Titles</vt:lpstr>
      <vt:lpstr>B!Print_Titles</vt:lpstr>
      <vt:lpstr>RATIO</vt:lpstr>
      <vt:lpstr>SUMDISB</vt:lpstr>
      <vt:lpstr>SUMEXP</vt:lpstr>
      <vt:lpstr>SUMRATIO</vt:lpstr>
      <vt:lpstr>THIRTEEN</vt:lpstr>
      <vt:lpstr>TOTDISB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US Trustee Program</cp:lastModifiedBy>
  <dcterms:created xsi:type="dcterms:W3CDTF">2012-08-29T15:55:27Z</dcterms:created>
  <dcterms:modified xsi:type="dcterms:W3CDTF">2012-08-29T17:07:16Z</dcterms:modified>
</cp:coreProperties>
</file>