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36" windowHeight="9444"/>
  </bookViews>
  <sheets>
    <sheet name="A" sheetId="1" r:id="rId1"/>
    <sheet name="B" sheetId="2" r:id="rId2"/>
  </sheets>
  <definedNames>
    <definedName name="_NBSTARTMACRO">B!$B$1</definedName>
    <definedName name="ALLOC2">A!$AI$19:$AI$30</definedName>
    <definedName name="ALLOC8">A!$AI$76:$AI$83</definedName>
    <definedName name="_AUD13">A!$BA$125:$BK$128</definedName>
    <definedName name="AUDIT">A!$BA$19:$BK$30</definedName>
    <definedName name="AUDIT8">A!$AZ$76:$BK$83</definedName>
    <definedName name="BU">A!$K$141:$Q$141</definedName>
    <definedName name="CASH">A!$R$32:$R$38</definedName>
    <definedName name="CASH13">A!$R$125:$R$128</definedName>
    <definedName name="CASH2">A!$R$19:$R$30</definedName>
    <definedName name="CASH8">A!$R$76:$R$83</definedName>
    <definedName name="DATA">A!$K$148:$Q$161</definedName>
    <definedName name="DISB">A!$K$19:$M$30</definedName>
    <definedName name="DISB13">A!$K$125:$Q$128</definedName>
    <definedName name="DISB8">A!$K$76:$M$83</definedName>
    <definedName name="DISBTOT8">A!$Q$76:$Q$83</definedName>
    <definedName name="ELEVEN">A!$D$113:$BB$118</definedName>
    <definedName name="EN">A!$K$143:$Q$143</definedName>
    <definedName name="EXP">A!$AI$32:$AJ$38</definedName>
    <definedName name="_EXP13">A!$AI$125:$AJ$128</definedName>
    <definedName name="_EXP2">A!$AJ$19:$AJ$30</definedName>
    <definedName name="_EXP8">A!$AJ$76:$AJ$83</definedName>
    <definedName name="LO">A!$K$144:$Q$147</definedName>
    <definedName name="_LO2">A!$AI$144:$AJ$147</definedName>
    <definedName name="NAMES">A!$B$12:$E$184</definedName>
    <definedName name="NINE">A!$D$84:$BB$98</definedName>
    <definedName name="_xlnm.Print_Titles" localSheetId="0">A!$A:$B,A!$3:$11</definedName>
    <definedName name="_xlnm.Print_Titles" localSheetId="1">B!$A:$B,B!$3:$11</definedName>
    <definedName name="RATIO">A!$R$12:$R$14</definedName>
    <definedName name="_REG12">A!$K$122:$Q$123</definedName>
    <definedName name="_REG13">A!$K$125:$Q$128</definedName>
    <definedName name="_REG17">A!$K$141:$Q$147</definedName>
    <definedName name="SUMDISB">A!$K$17:$Q$17</definedName>
    <definedName name="SUMEXP">A!$AI$17:$AJ$17</definedName>
    <definedName name="SUMRATIO">A!$R$17:$R$17</definedName>
    <definedName name="THIRTEEN">A!$D$125:$BB$128</definedName>
    <definedName name="TOTDISB">A!$Q$19:$Q$30</definedName>
  </definedNames>
  <calcPr calcId="0" fullCalcOnLoad="1" iterateCount="2"/>
</workbook>
</file>

<file path=xl/calcChain.xml><?xml version="1.0" encoding="utf-8"?>
<calcChain xmlns="http://schemas.openxmlformats.org/spreadsheetml/2006/main">
  <c r="H9" i="1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AZ9"/>
  <c r="BA9"/>
  <c r="BB9"/>
  <c r="BC9"/>
  <c r="BD9"/>
  <c r="BE9"/>
  <c r="BF9"/>
  <c r="BG9"/>
  <c r="H10"/>
  <c r="I10"/>
  <c r="J10"/>
  <c r="K10"/>
  <c r="L10"/>
  <c r="M10"/>
  <c r="N10"/>
  <c r="O10"/>
  <c r="P10"/>
  <c r="Q10"/>
  <c r="S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BC10"/>
  <c r="BD10"/>
  <c r="BE10"/>
  <c r="BF10"/>
  <c r="BG10"/>
  <c r="T12"/>
  <c r="W12"/>
  <c r="AA12"/>
  <c r="AE12"/>
  <c r="BB12"/>
  <c r="T13"/>
  <c r="W13"/>
  <c r="AE13"/>
  <c r="AW13"/>
  <c r="BB13"/>
  <c r="T14"/>
  <c r="W14"/>
  <c r="AA14"/>
  <c r="AE14"/>
  <c r="BB14"/>
  <c r="H15"/>
  <c r="I15"/>
  <c r="J15"/>
  <c r="K15"/>
  <c r="L15"/>
  <c r="M15"/>
  <c r="N15"/>
  <c r="O15"/>
  <c r="Q15"/>
  <c r="T15"/>
  <c r="U15"/>
  <c r="W15"/>
  <c r="X15"/>
  <c r="Y15"/>
  <c r="Z15"/>
  <c r="AA15"/>
  <c r="AB15"/>
  <c r="AC15"/>
  <c r="AD15"/>
  <c r="AE15"/>
  <c r="AF15"/>
  <c r="AG15"/>
  <c r="AH15"/>
  <c r="AJ15"/>
  <c r="AW15"/>
  <c r="BB15"/>
  <c r="T16"/>
  <c r="W16"/>
  <c r="AE16"/>
  <c r="BB16"/>
  <c r="T17"/>
  <c r="W17"/>
  <c r="AA17"/>
  <c r="AE17"/>
  <c r="BB17"/>
  <c r="T18"/>
  <c r="W18"/>
  <c r="AE18"/>
  <c r="BB18"/>
  <c r="T19"/>
  <c r="W19"/>
  <c r="AA19"/>
  <c r="AE19"/>
  <c r="AW19"/>
  <c r="BB19"/>
  <c r="T20"/>
  <c r="W20"/>
  <c r="AA20"/>
  <c r="AE20"/>
  <c r="BB20"/>
  <c r="T21"/>
  <c r="W21"/>
  <c r="AE21"/>
  <c r="AW21"/>
  <c r="BB21"/>
  <c r="T22"/>
  <c r="W22"/>
  <c r="AE22"/>
  <c r="BB22"/>
  <c r="T23"/>
  <c r="W23"/>
  <c r="AA23"/>
  <c r="AE23"/>
  <c r="BB23"/>
  <c r="T24"/>
  <c r="W24"/>
  <c r="AA24"/>
  <c r="AE24"/>
  <c r="BB24"/>
  <c r="T25"/>
  <c r="W25"/>
  <c r="AA25"/>
  <c r="AE25"/>
  <c r="BB25"/>
  <c r="T26"/>
  <c r="W26"/>
  <c r="AE26"/>
  <c r="BB26"/>
  <c r="T27"/>
  <c r="W27"/>
  <c r="AE27"/>
  <c r="BB27"/>
  <c r="T28"/>
  <c r="W28"/>
  <c r="AA28"/>
  <c r="AE28"/>
  <c r="BB28"/>
  <c r="T29"/>
  <c r="W29"/>
  <c r="AE29"/>
  <c r="BB29"/>
  <c r="T30"/>
  <c r="W30"/>
  <c r="AE30"/>
  <c r="BB30"/>
  <c r="T31"/>
  <c r="W31"/>
  <c r="AA31"/>
  <c r="AE31"/>
  <c r="AW31"/>
  <c r="BB31"/>
  <c r="T32"/>
  <c r="W32"/>
  <c r="AA32"/>
  <c r="AE32"/>
  <c r="BB32"/>
  <c r="T33"/>
  <c r="W33"/>
  <c r="AA33"/>
  <c r="AE33"/>
  <c r="AV33"/>
  <c r="AW33"/>
  <c r="BB33"/>
  <c r="T34"/>
  <c r="W34"/>
  <c r="AE34"/>
  <c r="BB34"/>
  <c r="T35"/>
  <c r="W35"/>
  <c r="AA35"/>
  <c r="AE35"/>
  <c r="BB35"/>
  <c r="T36"/>
  <c r="W36"/>
  <c r="AA36"/>
  <c r="AE36"/>
  <c r="BB36"/>
  <c r="T37"/>
  <c r="W37"/>
  <c r="AE37"/>
  <c r="AW37"/>
  <c r="BB37"/>
  <c r="T38"/>
  <c r="W38"/>
  <c r="AA38"/>
  <c r="AE38"/>
  <c r="AW38"/>
  <c r="BB38"/>
  <c r="T39"/>
  <c r="W39"/>
  <c r="AE39"/>
  <c r="AH39"/>
  <c r="AK39"/>
  <c r="AW39"/>
  <c r="BB39"/>
  <c r="T40"/>
  <c r="W40"/>
  <c r="X40"/>
  <c r="Y40"/>
  <c r="AE40"/>
  <c r="AK40"/>
  <c r="BB40"/>
  <c r="T41"/>
  <c r="W41"/>
  <c r="AE41"/>
  <c r="AW41"/>
  <c r="BB41"/>
  <c r="T42"/>
  <c r="W42"/>
  <c r="AA42"/>
  <c r="AE42"/>
  <c r="AW42"/>
  <c r="BB42"/>
  <c r="T43"/>
  <c r="W43"/>
  <c r="Z43"/>
  <c r="AA43"/>
  <c r="AE43"/>
  <c r="AH43"/>
  <c r="AK43"/>
  <c r="AW43"/>
  <c r="BB43"/>
  <c r="T44"/>
  <c r="W44"/>
  <c r="AE44"/>
  <c r="BB44"/>
  <c r="T45"/>
  <c r="W45"/>
  <c r="AB45"/>
  <c r="AE45"/>
  <c r="AW45"/>
  <c r="BB45"/>
  <c r="T46"/>
  <c r="W46"/>
  <c r="AE46"/>
  <c r="AK46"/>
  <c r="BB46"/>
  <c r="T47"/>
  <c r="W47"/>
  <c r="AA47"/>
  <c r="AE47"/>
  <c r="AW47"/>
  <c r="BB47"/>
  <c r="T48"/>
  <c r="W48"/>
  <c r="AE48"/>
  <c r="AH48"/>
  <c r="AK48"/>
  <c r="BB48"/>
  <c r="T49"/>
  <c r="W49"/>
  <c r="AA49"/>
  <c r="AE49"/>
  <c r="AW49"/>
  <c r="BB49"/>
  <c r="T50"/>
  <c r="W50"/>
  <c r="AE50"/>
  <c r="BB50"/>
  <c r="T51"/>
  <c r="W51"/>
  <c r="AA51"/>
  <c r="AE51"/>
  <c r="AH51"/>
  <c r="AK51"/>
  <c r="BB51"/>
  <c r="T52"/>
  <c r="W52"/>
  <c r="AE52"/>
  <c r="AH52"/>
  <c r="AK52"/>
  <c r="BB52"/>
  <c r="T53"/>
  <c r="W53"/>
  <c r="AA53"/>
  <c r="AE53"/>
  <c r="BB53"/>
  <c r="T54"/>
  <c r="W54"/>
  <c r="AE54"/>
  <c r="BB54"/>
  <c r="K55"/>
  <c r="T55"/>
  <c r="W55"/>
  <c r="AA55"/>
  <c r="AE55"/>
  <c r="BB55"/>
  <c r="K56"/>
  <c r="T56"/>
  <c r="W56"/>
  <c r="AA56"/>
  <c r="AE56"/>
  <c r="AW56"/>
  <c r="BB56"/>
  <c r="T57"/>
  <c r="W57"/>
  <c r="AE57"/>
  <c r="BB57"/>
  <c r="T58"/>
  <c r="W58"/>
  <c r="AE58"/>
  <c r="BB58"/>
  <c r="T59"/>
  <c r="W59"/>
  <c r="AA59"/>
  <c r="AE59"/>
  <c r="BB59"/>
  <c r="T60"/>
  <c r="W60"/>
  <c r="AA60"/>
  <c r="AE60"/>
  <c r="AW60"/>
  <c r="BB60"/>
  <c r="T61"/>
  <c r="W61"/>
  <c r="AE61"/>
  <c r="BB61"/>
  <c r="T62"/>
  <c r="W62"/>
  <c r="AA62"/>
  <c r="AE62"/>
  <c r="BB62"/>
  <c r="T63"/>
  <c r="W63"/>
  <c r="AE63"/>
  <c r="AY63"/>
  <c r="BB63"/>
  <c r="T64"/>
  <c r="W64"/>
  <c r="AE64"/>
  <c r="AW64"/>
  <c r="BB64"/>
  <c r="T65"/>
  <c r="W65"/>
  <c r="AA65"/>
  <c r="AE65"/>
  <c r="AW65"/>
  <c r="BB65"/>
  <c r="T66"/>
  <c r="W66"/>
  <c r="AE66"/>
  <c r="AW66"/>
  <c r="BB66"/>
  <c r="T67"/>
  <c r="W67"/>
  <c r="AE67"/>
  <c r="AW67"/>
  <c r="BB67"/>
  <c r="T68"/>
  <c r="W68"/>
  <c r="AE68"/>
  <c r="AM68"/>
  <c r="AW68"/>
  <c r="BB68"/>
  <c r="T69"/>
  <c r="W69"/>
  <c r="AA69"/>
  <c r="AE69"/>
  <c r="BB69"/>
  <c r="T70"/>
  <c r="W70"/>
  <c r="AE70"/>
  <c r="BB70"/>
  <c r="T71"/>
  <c r="W71"/>
  <c r="AA71"/>
  <c r="AE71"/>
  <c r="AW71"/>
  <c r="BB71"/>
  <c r="T72"/>
  <c r="W72"/>
  <c r="AE72"/>
  <c r="BB72"/>
  <c r="T73"/>
  <c r="W73"/>
  <c r="AE73"/>
  <c r="BB73"/>
  <c r="T74"/>
  <c r="W74"/>
  <c r="AA74"/>
  <c r="AE74"/>
  <c r="AW74"/>
  <c r="BB74"/>
  <c r="T75"/>
  <c r="W75"/>
  <c r="AE75"/>
  <c r="BB75"/>
  <c r="K76"/>
  <c r="L76"/>
  <c r="S76"/>
  <c r="T76"/>
  <c r="W76"/>
  <c r="AE76"/>
  <c r="BB76"/>
  <c r="S77"/>
  <c r="T77"/>
  <c r="W77"/>
  <c r="AA77"/>
  <c r="AE77"/>
  <c r="AW77"/>
  <c r="BB77"/>
  <c r="T78"/>
  <c r="W78"/>
  <c r="AE78"/>
  <c r="BB78"/>
  <c r="T79"/>
  <c r="W79"/>
  <c r="AE79"/>
  <c r="BB79"/>
  <c r="T80"/>
  <c r="W80"/>
  <c r="AE80"/>
  <c r="BB80"/>
  <c r="K81"/>
  <c r="L81"/>
  <c r="S81"/>
  <c r="T81"/>
  <c r="W81"/>
  <c r="AE81"/>
  <c r="BB81"/>
  <c r="T82"/>
  <c r="W82"/>
  <c r="AE82"/>
  <c r="AF82"/>
  <c r="AW82"/>
  <c r="BB82"/>
  <c r="T83"/>
  <c r="W83"/>
  <c r="AE83"/>
  <c r="BB83"/>
  <c r="T84"/>
  <c r="W84"/>
  <c r="AA84"/>
  <c r="AE84"/>
  <c r="AW84"/>
  <c r="BB84"/>
  <c r="T85"/>
  <c r="W85"/>
  <c r="AE85"/>
  <c r="BB85"/>
  <c r="T86"/>
  <c r="W86"/>
  <c r="AA86"/>
  <c r="AE86"/>
  <c r="BB86"/>
  <c r="T87"/>
  <c r="W87"/>
  <c r="AA87"/>
  <c r="AE87"/>
  <c r="AW87"/>
  <c r="BB87"/>
  <c r="T88"/>
  <c r="W88"/>
  <c r="AA88"/>
  <c r="AE88"/>
  <c r="BB88"/>
  <c r="T89"/>
  <c r="W89"/>
  <c r="AA89"/>
  <c r="AE89"/>
  <c r="AW89"/>
  <c r="BB89"/>
  <c r="T90"/>
  <c r="W90"/>
  <c r="AA90"/>
  <c r="AE90"/>
  <c r="BB90"/>
  <c r="T91"/>
  <c r="W91"/>
  <c r="AA91"/>
  <c r="AE91"/>
  <c r="BB91"/>
  <c r="T92"/>
  <c r="W92"/>
  <c r="AA92"/>
  <c r="AE92"/>
  <c r="BB92"/>
  <c r="T93"/>
  <c r="W93"/>
  <c r="AE93"/>
  <c r="AW93"/>
  <c r="BB93"/>
  <c r="T94"/>
  <c r="W94"/>
  <c r="AE94"/>
  <c r="BB94"/>
  <c r="T95"/>
  <c r="W95"/>
  <c r="AA95"/>
  <c r="AE95"/>
  <c r="BB95"/>
  <c r="T96"/>
  <c r="W96"/>
  <c r="AE96"/>
  <c r="BB96"/>
  <c r="T97"/>
  <c r="W97"/>
  <c r="AA97"/>
  <c r="AE97"/>
  <c r="BB97"/>
  <c r="T98"/>
  <c r="W98"/>
  <c r="AA98"/>
  <c r="AE98"/>
  <c r="BB98"/>
  <c r="T99"/>
  <c r="W99"/>
  <c r="AE99"/>
  <c r="BB99"/>
  <c r="T100"/>
  <c r="W100"/>
  <c r="AE100"/>
  <c r="AW100"/>
  <c r="BB100"/>
  <c r="T101"/>
  <c r="W101"/>
  <c r="AA101"/>
  <c r="AE101"/>
  <c r="AW101"/>
  <c r="BB101"/>
  <c r="T102"/>
  <c r="W102"/>
  <c r="AE102"/>
  <c r="BB102"/>
  <c r="T103"/>
  <c r="W103"/>
  <c r="AA103"/>
  <c r="AE103"/>
  <c r="BB103"/>
  <c r="T104"/>
  <c r="W104"/>
  <c r="AA104"/>
  <c r="AE104"/>
  <c r="BB104"/>
  <c r="T105"/>
  <c r="W105"/>
  <c r="AA105"/>
  <c r="AE105"/>
  <c r="AW105"/>
  <c r="BB105"/>
  <c r="T106"/>
  <c r="W106"/>
  <c r="AA106"/>
  <c r="AE106"/>
  <c r="BB106"/>
  <c r="T107"/>
  <c r="W107"/>
  <c r="AA107"/>
  <c r="AE107"/>
  <c r="BB107"/>
  <c r="T108"/>
  <c r="W108"/>
  <c r="AE108"/>
  <c r="AW108"/>
  <c r="BB108"/>
  <c r="T109"/>
  <c r="W109"/>
  <c r="AA109"/>
  <c r="AE109"/>
  <c r="AW109"/>
  <c r="BB109"/>
  <c r="T110"/>
  <c r="W110"/>
  <c r="AA110"/>
  <c r="AE110"/>
  <c r="AW110"/>
  <c r="BB110"/>
  <c r="T111"/>
  <c r="W111"/>
  <c r="AA111"/>
  <c r="AE111"/>
  <c r="BB111"/>
  <c r="T112"/>
  <c r="W112"/>
  <c r="AA112"/>
  <c r="AE112"/>
  <c r="BB112"/>
  <c r="T113"/>
  <c r="AA113"/>
  <c r="AE113"/>
  <c r="AW113"/>
  <c r="BB113"/>
  <c r="T114"/>
  <c r="W114"/>
  <c r="AA114"/>
  <c r="AE114"/>
  <c r="BB114"/>
  <c r="T115"/>
  <c r="W115"/>
  <c r="AA115"/>
  <c r="AE115"/>
  <c r="AW115"/>
  <c r="BB115"/>
  <c r="T116"/>
  <c r="W116"/>
  <c r="AA116"/>
  <c r="AE116"/>
  <c r="AW116"/>
  <c r="BB116"/>
  <c r="S117"/>
  <c r="T117"/>
  <c r="AA117"/>
  <c r="AE117"/>
  <c r="BB117"/>
  <c r="T118"/>
  <c r="AA118"/>
  <c r="AE118"/>
  <c r="AW118"/>
  <c r="BB118"/>
  <c r="T119"/>
  <c r="W119"/>
  <c r="AE119"/>
  <c r="BB119"/>
  <c r="T120"/>
  <c r="W120"/>
  <c r="AE120"/>
  <c r="BB120"/>
  <c r="W121"/>
  <c r="BB121"/>
  <c r="T122"/>
  <c r="W122"/>
  <c r="AE122"/>
  <c r="BB122"/>
  <c r="T123"/>
  <c r="W123"/>
  <c r="AA123"/>
  <c r="AE123"/>
  <c r="BB123"/>
  <c r="T124"/>
  <c r="W124"/>
  <c r="AA124"/>
  <c r="AE124"/>
  <c r="BB124"/>
  <c r="T125"/>
  <c r="W125"/>
  <c r="AE125"/>
  <c r="AW125"/>
  <c r="BB125"/>
  <c r="T126"/>
  <c r="W126"/>
  <c r="AE126"/>
  <c r="BB126"/>
  <c r="T127"/>
  <c r="W127"/>
  <c r="AE127"/>
  <c r="AW127"/>
  <c r="BB127"/>
  <c r="T128"/>
  <c r="W128"/>
  <c r="AA128"/>
  <c r="AE128"/>
  <c r="BB128"/>
  <c r="T129"/>
  <c r="W129"/>
  <c r="AE129"/>
  <c r="AW129"/>
  <c r="BB129"/>
  <c r="T130"/>
  <c r="W130"/>
  <c r="AE130"/>
  <c r="BB130"/>
  <c r="T131"/>
  <c r="W131"/>
  <c r="AE131"/>
  <c r="BB131"/>
  <c r="T132"/>
  <c r="W132"/>
  <c r="AE132"/>
  <c r="AW132"/>
  <c r="BB132"/>
  <c r="T133"/>
  <c r="W133"/>
  <c r="BB133"/>
  <c r="T134"/>
  <c r="W134"/>
  <c r="AE134"/>
  <c r="BB134"/>
  <c r="T135"/>
  <c r="W135"/>
  <c r="AE135"/>
  <c r="BB135"/>
  <c r="T136"/>
  <c r="W136"/>
  <c r="AA136"/>
  <c r="AE136"/>
  <c r="BB136"/>
  <c r="T137"/>
  <c r="W137"/>
  <c r="AE137"/>
  <c r="BB137"/>
  <c r="T138"/>
  <c r="W138"/>
  <c r="AE138"/>
  <c r="AW138"/>
  <c r="BB138"/>
  <c r="T139"/>
  <c r="W139"/>
  <c r="AA139"/>
  <c r="AE139"/>
  <c r="AW139"/>
  <c r="BB139"/>
  <c r="T140"/>
  <c r="W140"/>
  <c r="AA140"/>
  <c r="AE140"/>
  <c r="AW140"/>
  <c r="BB140"/>
  <c r="T141"/>
  <c r="W141"/>
  <c r="AA141"/>
  <c r="AE141"/>
  <c r="AW141"/>
  <c r="BB141"/>
  <c r="T142"/>
  <c r="AA142"/>
  <c r="AE142"/>
  <c r="AW142"/>
  <c r="BA142"/>
  <c r="BB142"/>
  <c r="T143"/>
  <c r="W143"/>
  <c r="AA143"/>
  <c r="AE143"/>
  <c r="BB143"/>
  <c r="T144"/>
  <c r="W144"/>
  <c r="AE144"/>
  <c r="AW144"/>
  <c r="BB144"/>
  <c r="T145"/>
  <c r="W145"/>
  <c r="AA145"/>
  <c r="AE145"/>
  <c r="AW145"/>
  <c r="BB145"/>
  <c r="T146"/>
  <c r="W146"/>
  <c r="AA146"/>
  <c r="AE146"/>
  <c r="BB146"/>
  <c r="T147"/>
  <c r="W147"/>
  <c r="AA147"/>
  <c r="AE147"/>
  <c r="AW147"/>
  <c r="BB147"/>
  <c r="S148"/>
  <c r="T148"/>
  <c r="W148"/>
  <c r="AE148"/>
  <c r="AW148"/>
  <c r="BB148"/>
  <c r="T149"/>
  <c r="W149"/>
  <c r="AE149"/>
  <c r="AW149"/>
  <c r="BB149"/>
  <c r="T150"/>
  <c r="W150"/>
  <c r="AE150"/>
  <c r="AW150"/>
  <c r="BB150"/>
  <c r="T151"/>
  <c r="W151"/>
  <c r="AE151"/>
  <c r="AW151"/>
  <c r="BB151"/>
  <c r="T152"/>
  <c r="W152"/>
  <c r="AA152"/>
  <c r="AE152"/>
  <c r="AW152"/>
  <c r="BB152"/>
  <c r="T153"/>
  <c r="W153"/>
  <c r="AE153"/>
  <c r="AW153"/>
  <c r="AY153"/>
  <c r="BB153"/>
  <c r="T154"/>
  <c r="W154"/>
  <c r="AA154"/>
  <c r="AE154"/>
  <c r="BB154"/>
  <c r="T155"/>
  <c r="W155"/>
  <c r="AE155"/>
  <c r="AW155"/>
  <c r="BB155"/>
  <c r="T156"/>
  <c r="W156"/>
  <c r="AE156"/>
  <c r="AW156"/>
  <c r="BB156"/>
  <c r="T157"/>
  <c r="W157"/>
  <c r="AE157"/>
  <c r="BB157"/>
  <c r="T158"/>
  <c r="W158"/>
  <c r="AA158"/>
  <c r="AE158"/>
  <c r="AW158"/>
  <c r="BB158"/>
  <c r="T159"/>
  <c r="W159"/>
  <c r="AA159"/>
  <c r="AE159"/>
  <c r="BB159"/>
  <c r="T160"/>
  <c r="W160"/>
  <c r="AE160"/>
  <c r="AW160"/>
  <c r="BB160"/>
  <c r="T161"/>
  <c r="W161"/>
  <c r="AE161"/>
  <c r="AW161"/>
  <c r="BB161"/>
  <c r="T162"/>
  <c r="W162"/>
  <c r="AE162"/>
  <c r="AW162"/>
  <c r="BB162"/>
  <c r="T163"/>
  <c r="W163"/>
  <c r="AE163"/>
  <c r="AW163"/>
  <c r="BB163"/>
  <c r="H164"/>
  <c r="T164"/>
  <c r="W164"/>
  <c r="AE164"/>
  <c r="AW164"/>
  <c r="BB164"/>
  <c r="T165"/>
  <c r="AE165"/>
  <c r="BB165"/>
  <c r="T166"/>
  <c r="W166"/>
  <c r="AE166"/>
  <c r="BB166"/>
  <c r="T167"/>
  <c r="W167"/>
  <c r="AE167"/>
  <c r="AW167"/>
  <c r="BB167"/>
  <c r="T168"/>
  <c r="W168"/>
  <c r="AA168"/>
  <c r="AE168"/>
  <c r="BB168"/>
  <c r="T169"/>
  <c r="W169"/>
  <c r="AE169"/>
  <c r="BB169"/>
  <c r="T170"/>
  <c r="W170"/>
  <c r="AA170"/>
  <c r="AE170"/>
  <c r="AW170"/>
  <c r="BB170"/>
  <c r="T171"/>
  <c r="W171"/>
  <c r="AA171"/>
  <c r="AE171"/>
  <c r="AY171"/>
  <c r="BB171"/>
  <c r="T172"/>
  <c r="W172"/>
  <c r="AE172"/>
  <c r="AW172"/>
  <c r="BB172"/>
  <c r="T173"/>
  <c r="W173"/>
  <c r="AA173"/>
  <c r="AE173"/>
  <c r="BB173"/>
  <c r="T174"/>
  <c r="AA174"/>
  <c r="AC174"/>
  <c r="AE174"/>
  <c r="BB174"/>
  <c r="T175"/>
  <c r="W175"/>
  <c r="AA175"/>
  <c r="AE175"/>
  <c r="AW175"/>
  <c r="BB175"/>
  <c r="T176"/>
  <c r="W176"/>
  <c r="AE176"/>
  <c r="AW176"/>
  <c r="BB176"/>
  <c r="T177"/>
  <c r="W177"/>
  <c r="AA177"/>
  <c r="AE177"/>
  <c r="AW177"/>
  <c r="BB177"/>
  <c r="T178"/>
  <c r="W178"/>
  <c r="AE178"/>
  <c r="AW178"/>
  <c r="BB178"/>
  <c r="T179"/>
  <c r="W179"/>
  <c r="AA179"/>
  <c r="AE179"/>
  <c r="BB179"/>
  <c r="T180"/>
  <c r="W180"/>
  <c r="AE180"/>
  <c r="BB180"/>
  <c r="T181"/>
  <c r="W181"/>
  <c r="AE181"/>
  <c r="BB181"/>
  <c r="T182"/>
  <c r="W182"/>
  <c r="AA182"/>
  <c r="AE182"/>
  <c r="BB182"/>
  <c r="R183"/>
  <c r="W183"/>
  <c r="AE183"/>
  <c r="T184"/>
  <c r="W184"/>
  <c r="AE184"/>
  <c r="AW184"/>
  <c r="BB184"/>
  <c r="T185"/>
  <c r="W185"/>
  <c r="AA185"/>
  <c r="AE185"/>
  <c r="AW185"/>
  <c r="BB185"/>
  <c r="T186"/>
  <c r="W186"/>
  <c r="AE186"/>
  <c r="BB186"/>
  <c r="T187"/>
  <c r="W187"/>
  <c r="AE187"/>
  <c r="AW187"/>
  <c r="BB187"/>
  <c r="T188"/>
  <c r="W188"/>
  <c r="AA188"/>
  <c r="AE188"/>
  <c r="BB188"/>
</calcChain>
</file>

<file path=xl/sharedStrings.xml><?xml version="1.0" encoding="utf-8"?>
<sst xmlns="http://schemas.openxmlformats.org/spreadsheetml/2006/main" count="1165" uniqueCount="665">
  <si>
    <t/>
  </si>
  <si>
    <t xml:space="preserve">            EMPLOYEE EXPENSES</t>
  </si>
  <si>
    <t xml:space="preserve"> CHAPTER  13  STANDING TRUSTEE</t>
  </si>
  <si>
    <t xml:space="preserve"> Marion</t>
  </si>
  <si>
    <t>#CASES</t>
  </si>
  <si>
    <t>$ FEES</t>
  </si>
  <si>
    <t>% FEE</t>
  </si>
  <si>
    <t>_NBSTARTMACRO</t>
  </si>
  <si>
    <t>{FILESAVE}</t>
  </si>
  <si>
    <t>&gt; 60 MOS.</t>
  </si>
  <si>
    <t>0%</t>
  </si>
  <si>
    <t>1-39%</t>
  </si>
  <si>
    <t>40%-69%</t>
  </si>
  <si>
    <t>503(b) AWD</t>
  </si>
  <si>
    <t>70% or more</t>
  </si>
  <si>
    <t>Aberdeen</t>
  </si>
  <si>
    <t>ACCTG</t>
  </si>
  <si>
    <t>ACCUM.</t>
  </si>
  <si>
    <t>ACTIVE</t>
  </si>
  <si>
    <t>ACTUAL</t>
  </si>
  <si>
    <t>ADJUST.</t>
  </si>
  <si>
    <t>Aikman</t>
  </si>
  <si>
    <t>AK</t>
  </si>
  <si>
    <t>Akron</t>
  </si>
  <si>
    <t>Alameda</t>
  </si>
  <si>
    <t>Alaska</t>
  </si>
  <si>
    <t>Albany</t>
  </si>
  <si>
    <t>Albert</t>
  </si>
  <si>
    <t>Albuquerque</t>
  </si>
  <si>
    <t>Alexandria</t>
  </si>
  <si>
    <t>ALLOC.\</t>
  </si>
  <si>
    <t>Amherst</t>
  </si>
  <si>
    <t>Amrane</t>
  </si>
  <si>
    <t>Anabelle</t>
  </si>
  <si>
    <t>Anchorage</t>
  </si>
  <si>
    <t>Andazola AUST(5 mos.)</t>
  </si>
  <si>
    <t>Anderson (5.6 mos.)</t>
  </si>
  <si>
    <t>Andrea</t>
  </si>
  <si>
    <t>Andres'</t>
  </si>
  <si>
    <t>Ann</t>
  </si>
  <si>
    <t>Annette</t>
  </si>
  <si>
    <t>Anthony</t>
  </si>
  <si>
    <t>APPLIED</t>
  </si>
  <si>
    <t>APPROVED</t>
  </si>
  <si>
    <t>APPT.</t>
  </si>
  <si>
    <t>AR</t>
  </si>
  <si>
    <t>Arizona</t>
  </si>
  <si>
    <t>Arkansas</t>
  </si>
  <si>
    <t>Askenase (10 mos.)</t>
  </si>
  <si>
    <t>Atlanta</t>
  </si>
  <si>
    <t>ATTY'S</t>
  </si>
  <si>
    <t>Augusta</t>
  </si>
  <si>
    <t>Austin</t>
  </si>
  <si>
    <t>AVG</t>
  </si>
  <si>
    <t>AZ</t>
  </si>
  <si>
    <t>BALANCE</t>
  </si>
  <si>
    <t>Balboa</t>
  </si>
  <si>
    <t>Baltimore</t>
  </si>
  <si>
    <t>Banks (6 mos)</t>
  </si>
  <si>
    <t>Barbara</t>
  </si>
  <si>
    <t>Barkley</t>
  </si>
  <si>
    <t>Barkley, Jr.</t>
  </si>
  <si>
    <t>Barnee</t>
  </si>
  <si>
    <t>Barnesville</t>
  </si>
  <si>
    <t>Baton Rouge</t>
  </si>
  <si>
    <t>Baxter</t>
  </si>
  <si>
    <t>Beaulieu</t>
  </si>
  <si>
    <t>BEGINN</t>
  </si>
  <si>
    <t>Bekofske</t>
  </si>
  <si>
    <t>Bell</t>
  </si>
  <si>
    <t>Bellville</t>
  </si>
  <si>
    <t>BENEFITS</t>
  </si>
  <si>
    <t>Benton</t>
  </si>
  <si>
    <t>Bernie</t>
  </si>
  <si>
    <t xml:space="preserve">Billingslea </t>
  </si>
  <si>
    <t>Black, Jr.</t>
  </si>
  <si>
    <t>Boise</t>
  </si>
  <si>
    <t>Bolenbaugh</t>
  </si>
  <si>
    <t>Bone</t>
  </si>
  <si>
    <t>Bonney</t>
  </si>
  <si>
    <t>BOOKKEEP/</t>
  </si>
  <si>
    <t>Boston</t>
  </si>
  <si>
    <t>Boudloche</t>
  </si>
  <si>
    <t>Bowers</t>
  </si>
  <si>
    <t>Bowie</t>
  </si>
  <si>
    <t>Boyajian</t>
  </si>
  <si>
    <t>Bracher</t>
  </si>
  <si>
    <t>Bradenton</t>
  </si>
  <si>
    <t>Brett</t>
  </si>
  <si>
    <t>Bristol</t>
  </si>
  <si>
    <t>Bronitsky</t>
  </si>
  <si>
    <t>Brothers</t>
  </si>
  <si>
    <t>Brown</t>
  </si>
  <si>
    <t>Brunner</t>
  </si>
  <si>
    <t>Brunswick</t>
  </si>
  <si>
    <t>Bryant (11 mos)</t>
  </si>
  <si>
    <t>Buffalo</t>
  </si>
  <si>
    <t>Burchard, Jr.</t>
  </si>
  <si>
    <t>Burks</t>
  </si>
  <si>
    <t>Butler, III</t>
  </si>
  <si>
    <t>C. Barry</t>
  </si>
  <si>
    <t>C. Kenneth</t>
  </si>
  <si>
    <t>CA</t>
  </si>
  <si>
    <t>California</t>
  </si>
  <si>
    <t>Camille</t>
  </si>
  <si>
    <t>Campbell</t>
  </si>
  <si>
    <t>Canton</t>
  </si>
  <si>
    <t>Carl</t>
  </si>
  <si>
    <t>Carol</t>
  </si>
  <si>
    <t>CASES</t>
  </si>
  <si>
    <t>CASH TO</t>
  </si>
  <si>
    <t>Celli</t>
  </si>
  <si>
    <t>Central</t>
  </si>
  <si>
    <t>Chael</t>
  </si>
  <si>
    <t>Charles</t>
  </si>
  <si>
    <t>Charleston</t>
  </si>
  <si>
    <t>Charlottesville</t>
  </si>
  <si>
    <t>Chattanooga</t>
  </si>
  <si>
    <t>Chatterton</t>
  </si>
  <si>
    <t>Cherry Hill</t>
  </si>
  <si>
    <t>Cheyenne</t>
  </si>
  <si>
    <t>Chicago</t>
  </si>
  <si>
    <t>CHILD PMTS</t>
  </si>
  <si>
    <t>Chrystler</t>
  </si>
  <si>
    <t>Cincinnati</t>
  </si>
  <si>
    <t>Cindy</t>
  </si>
  <si>
    <t>CITY</t>
  </si>
  <si>
    <t>Clark</t>
  </si>
  <si>
    <t>Cleveland</t>
  </si>
  <si>
    <t>CLOSED</t>
  </si>
  <si>
    <t>CO</t>
  </si>
  <si>
    <t>Coeur D'Alene</t>
  </si>
  <si>
    <t>Cohen</t>
  </si>
  <si>
    <t>Colorado</t>
  </si>
  <si>
    <t>Columbia</t>
  </si>
  <si>
    <t>Columbus</t>
  </si>
  <si>
    <t>COMPLETE</t>
  </si>
  <si>
    <t>COMP'N</t>
  </si>
  <si>
    <t>Compton</t>
  </si>
  <si>
    <t>COMPUTER</t>
  </si>
  <si>
    <t>CON-</t>
  </si>
  <si>
    <t>Connecticut</t>
  </si>
  <si>
    <t>CONSTR.</t>
  </si>
  <si>
    <t>CONTRIBUTION</t>
  </si>
  <si>
    <t>CONVERT.</t>
  </si>
  <si>
    <t>Coop</t>
  </si>
  <si>
    <t>Corpus Christi</t>
  </si>
  <si>
    <t>Cosby</t>
  </si>
  <si>
    <t>Craig</t>
  </si>
  <si>
    <t>Crawford</t>
  </si>
  <si>
    <t>CRED'R</t>
  </si>
  <si>
    <t>CT</t>
  </si>
  <si>
    <t>Curry</t>
  </si>
  <si>
    <t>Cynthia</t>
  </si>
  <si>
    <t>Dallas</t>
  </si>
  <si>
    <t>Dan</t>
  </si>
  <si>
    <t>Daniel</t>
  </si>
  <si>
    <t>David</t>
  </si>
  <si>
    <t>Davidson</t>
  </si>
  <si>
    <t>Davis</t>
  </si>
  <si>
    <t>DC</t>
  </si>
  <si>
    <t>DE</t>
  </si>
  <si>
    <t>DEBTOR</t>
  </si>
  <si>
    <t>DEBTORS</t>
  </si>
  <si>
    <t>Decker</t>
  </si>
  <si>
    <t>DEDUCT.</t>
  </si>
  <si>
    <t>DEFICIT</t>
  </si>
  <si>
    <t>DeHart, III</t>
  </si>
  <si>
    <t>Delaware</t>
  </si>
  <si>
    <t>Denise</t>
  </si>
  <si>
    <t>Denver</t>
  </si>
  <si>
    <t>Derham-Burk</t>
  </si>
  <si>
    <t>DeRosa</t>
  </si>
  <si>
    <t>Des Moines</t>
  </si>
  <si>
    <t>Devin</t>
  </si>
  <si>
    <t>Dianne</t>
  </si>
  <si>
    <t xml:space="preserve">Diaz </t>
  </si>
  <si>
    <t>DiSalle</t>
  </si>
  <si>
    <t>DISBURS</t>
  </si>
  <si>
    <t>DISBURS.</t>
  </si>
  <si>
    <t>DISBURSE-</t>
  </si>
  <si>
    <t>DISBURSE.</t>
  </si>
  <si>
    <t>DISCHARGE</t>
  </si>
  <si>
    <t>DISMISS.</t>
  </si>
  <si>
    <t>DISTRICT</t>
  </si>
  <si>
    <t>District of Columbia</t>
  </si>
  <si>
    <t>Donald</t>
  </si>
  <si>
    <t>Dowell</t>
  </si>
  <si>
    <t xml:space="preserve">Drewes </t>
  </si>
  <si>
    <t>Drummond</t>
  </si>
  <si>
    <t>Dunbar</t>
  </si>
  <si>
    <t>Dunivent</t>
  </si>
  <si>
    <t>Eastern</t>
  </si>
  <si>
    <t>Eastern and Western</t>
  </si>
  <si>
    <t>Eck</t>
  </si>
  <si>
    <t>Edward</t>
  </si>
  <si>
    <t>Edwina</t>
  </si>
  <si>
    <t>El Paso</t>
  </si>
  <si>
    <t>Ellen</t>
  </si>
  <si>
    <t>Emerson, Jr.</t>
  </si>
  <si>
    <t>EMPLOYER</t>
  </si>
  <si>
    <t>END FY98</t>
  </si>
  <si>
    <t>ENDING</t>
  </si>
  <si>
    <t>Englewood</t>
  </si>
  <si>
    <t>Enmark</t>
  </si>
  <si>
    <t>EQUIP/</t>
  </si>
  <si>
    <t>Eugene</t>
  </si>
  <si>
    <t>Evansville</t>
  </si>
  <si>
    <t>EXCESS</t>
  </si>
  <si>
    <t>EXP FUND</t>
  </si>
  <si>
    <t xml:space="preserve">EXP. FUND </t>
  </si>
  <si>
    <t>EXPENSES</t>
  </si>
  <si>
    <t>Fairfield</t>
  </si>
  <si>
    <t>Fairway</t>
  </si>
  <si>
    <t>Fargo</t>
  </si>
  <si>
    <t>Farrell</t>
  </si>
  <si>
    <t>Fessenden</t>
  </si>
  <si>
    <t>FILED</t>
  </si>
  <si>
    <t>Fink</t>
  </si>
  <si>
    <t>FIRST NAME</t>
  </si>
  <si>
    <t>Fitzgerald</t>
  </si>
  <si>
    <t>Fitzgerald AUST(2 mos.)</t>
  </si>
  <si>
    <t>FL</t>
  </si>
  <si>
    <t>Flint</t>
  </si>
  <si>
    <t>Florida</t>
  </si>
  <si>
    <t>Forsythe (9 mos)</t>
  </si>
  <si>
    <t>Fort Hialeah</t>
  </si>
  <si>
    <t>Fort Wayne</t>
  </si>
  <si>
    <t>Fort Worth</t>
  </si>
  <si>
    <t>Foster City</t>
  </si>
  <si>
    <t>Frank</t>
  </si>
  <si>
    <t>Fred</t>
  </si>
  <si>
    <t>Frederick</t>
  </si>
  <si>
    <t>Fresno</t>
  </si>
  <si>
    <t>FURN</t>
  </si>
  <si>
    <t>FY  1998  AUDITED ANNUAL REPORTS</t>
  </si>
  <si>
    <t>GA</t>
  </si>
  <si>
    <t>Gaertner</t>
  </si>
  <si>
    <t>Gallo</t>
  </si>
  <si>
    <t>Garden City</t>
  </si>
  <si>
    <t>Gary</t>
  </si>
  <si>
    <t>Geekie</t>
  </si>
  <si>
    <t>Gelberg</t>
  </si>
  <si>
    <t>George</t>
  </si>
  <si>
    <t>Georgia</t>
  </si>
  <si>
    <t>Gerald</t>
  </si>
  <si>
    <t>Germeraad</t>
  </si>
  <si>
    <t>Gilbert</t>
  </si>
  <si>
    <t>Grand Rapids</t>
  </si>
  <si>
    <t>Great Falls</t>
  </si>
  <si>
    <t>Griffin</t>
  </si>
  <si>
    <t>Gross</t>
  </si>
  <si>
    <t>GROSS</t>
  </si>
  <si>
    <t>Gulfport</t>
  </si>
  <si>
    <t>Guy</t>
  </si>
  <si>
    <t>Gwendolyn</t>
  </si>
  <si>
    <t>H. Michael</t>
  </si>
  <si>
    <t>Hallandale</t>
  </si>
  <si>
    <t>HARDSHIP</t>
  </si>
  <si>
    <t>Harold</t>
  </si>
  <si>
    <t>Harrisburg</t>
  </si>
  <si>
    <t>Hart</t>
  </si>
  <si>
    <t>Hartford</t>
  </si>
  <si>
    <t>Hattiesburg</t>
  </si>
  <si>
    <t>Hawaii</t>
  </si>
  <si>
    <t>Hayden Lake</t>
  </si>
  <si>
    <t>Heitkamp</t>
  </si>
  <si>
    <t>Helen</t>
  </si>
  <si>
    <t>Hendren, Jr.</t>
  </si>
  <si>
    <t>Henry</t>
  </si>
  <si>
    <t>Herbert</t>
  </si>
  <si>
    <t>Herkert</t>
  </si>
  <si>
    <t>HI</t>
  </si>
  <si>
    <t>Hildebrand, III</t>
  </si>
  <si>
    <t>Holub</t>
  </si>
  <si>
    <t>Honolulu</t>
  </si>
  <si>
    <t>Hope</t>
  </si>
  <si>
    <t>Houston</t>
  </si>
  <si>
    <t>Howard</t>
  </si>
  <si>
    <t>Howe</t>
  </si>
  <si>
    <t>Hu</t>
  </si>
  <si>
    <t>Huckaby</t>
  </si>
  <si>
    <t>Huntington</t>
  </si>
  <si>
    <t>Hyman</t>
  </si>
  <si>
    <t>IA</t>
  </si>
  <si>
    <t>ID</t>
  </si>
  <si>
    <t>Idaho</t>
  </si>
  <si>
    <t>IL</t>
  </si>
  <si>
    <t>Illinois</t>
  </si>
  <si>
    <t>IN</t>
  </si>
  <si>
    <t>IN EXCESS</t>
  </si>
  <si>
    <t>Indiana</t>
  </si>
  <si>
    <t>Indianapolis</t>
  </si>
  <si>
    <t>INSURANCE</t>
  </si>
  <si>
    <t>INTEREST</t>
  </si>
  <si>
    <t>Iowa</t>
  </si>
  <si>
    <t>Itule</t>
  </si>
  <si>
    <t>J. Glenwood</t>
  </si>
  <si>
    <t>J.C.</t>
  </si>
  <si>
    <t>J.J.</t>
  </si>
  <si>
    <t>Jack</t>
  </si>
  <si>
    <t>Jackson</t>
  </si>
  <si>
    <t>Jacksonville</t>
  </si>
  <si>
    <t>James</t>
  </si>
  <si>
    <t>Jan</t>
  </si>
  <si>
    <t>Jeffery</t>
  </si>
  <si>
    <t>Jerome</t>
  </si>
  <si>
    <t>Jo</t>
  </si>
  <si>
    <t>John</t>
  </si>
  <si>
    <t>Johnson</t>
  </si>
  <si>
    <t>Jones</t>
  </si>
  <si>
    <t>Joseph</t>
  </si>
  <si>
    <t>Kalamazoo</t>
  </si>
  <si>
    <t>Kansas</t>
  </si>
  <si>
    <t>Kansas City</t>
  </si>
  <si>
    <t>Karla</t>
  </si>
  <si>
    <t>Kathleen</t>
  </si>
  <si>
    <t>Kearney</t>
  </si>
  <si>
    <t>Keith</t>
  </si>
  <si>
    <t>Kentucky</t>
  </si>
  <si>
    <t>Kerney</t>
  </si>
  <si>
    <t>Kerns</t>
  </si>
  <si>
    <t>King</t>
  </si>
  <si>
    <t>Knoxville</t>
  </si>
  <si>
    <t>Kristen</t>
  </si>
  <si>
    <t>Krommenhoek</t>
  </si>
  <si>
    <t>KS</t>
  </si>
  <si>
    <t>KY</t>
  </si>
  <si>
    <t>L.C.</t>
  </si>
  <si>
    <t>L.D.</t>
  </si>
  <si>
    <t>LA</t>
  </si>
  <si>
    <t>LaBarge, Jr.</t>
  </si>
  <si>
    <t>Lackey</t>
  </si>
  <si>
    <t>Lafayette</t>
  </si>
  <si>
    <t>Lansing</t>
  </si>
  <si>
    <t>Laporte</t>
  </si>
  <si>
    <t>Larry</t>
  </si>
  <si>
    <t>Las Vegas</t>
  </si>
  <si>
    <t>LAST NAME</t>
  </si>
  <si>
    <t>Laughlin</t>
  </si>
  <si>
    <t>Laurence</t>
  </si>
  <si>
    <t>Laurie</t>
  </si>
  <si>
    <t>Lawrence</t>
  </si>
  <si>
    <t>Ledford</t>
  </si>
  <si>
    <t>Lefebvre AUST (3mos)</t>
  </si>
  <si>
    <t>Leigh</t>
  </si>
  <si>
    <t>Levy</t>
  </si>
  <si>
    <t>Lexington</t>
  </si>
  <si>
    <t>Locke</t>
  </si>
  <si>
    <t>Loheit</t>
  </si>
  <si>
    <t>Long</t>
  </si>
  <si>
    <t>Longview</t>
  </si>
  <si>
    <t>Lonnie</t>
  </si>
  <si>
    <t>Los Angeles</t>
  </si>
  <si>
    <t>Louis</t>
  </si>
  <si>
    <t>Louisiana</t>
  </si>
  <si>
    <t>Louisville</t>
  </si>
  <si>
    <t>Loves Park</t>
  </si>
  <si>
    <t>Lubbock</t>
  </si>
  <si>
    <t>Lydia</t>
  </si>
  <si>
    <t>Lynchburg</t>
  </si>
  <si>
    <t>M. Nelson</t>
  </si>
  <si>
    <t>MA</t>
  </si>
  <si>
    <t>Macco</t>
  </si>
  <si>
    <t>Macon</t>
  </si>
  <si>
    <t>Madison</t>
  </si>
  <si>
    <t>Maine</t>
  </si>
  <si>
    <t>Mamie</t>
  </si>
  <si>
    <t>Manasquan</t>
  </si>
  <si>
    <t>Margaret</t>
  </si>
  <si>
    <t>Margo</t>
  </si>
  <si>
    <t>Marianne</t>
  </si>
  <si>
    <t>Mark</t>
  </si>
  <si>
    <t>Martha</t>
  </si>
  <si>
    <t>Maryland</t>
  </si>
  <si>
    <t>Massachusetts</t>
  </si>
  <si>
    <t>Mazer (7 mos.)</t>
  </si>
  <si>
    <t>McCullough</t>
  </si>
  <si>
    <t>McDonald</t>
  </si>
  <si>
    <t>McDonald, Jr.</t>
  </si>
  <si>
    <t>McRoberts</t>
  </si>
  <si>
    <t>MD</t>
  </si>
  <si>
    <t>ME</t>
  </si>
  <si>
    <t>Memphis</t>
  </si>
  <si>
    <t>MENTS</t>
  </si>
  <si>
    <t>Merrillville</t>
  </si>
  <si>
    <t>Metairie</t>
  </si>
  <si>
    <t>Meyer</t>
  </si>
  <si>
    <t>MI</t>
  </si>
  <si>
    <t>Miami</t>
  </si>
  <si>
    <t>Michael</t>
  </si>
  <si>
    <t>Michigan</t>
  </si>
  <si>
    <t>Michigan City</t>
  </si>
  <si>
    <t>Mickelson</t>
  </si>
  <si>
    <t>Middle</t>
  </si>
  <si>
    <t>Midland</t>
  </si>
  <si>
    <t>Milwaukee</t>
  </si>
  <si>
    <t>Mineola</t>
  </si>
  <si>
    <t>Minneapolis</t>
  </si>
  <si>
    <t>Minnesota</t>
  </si>
  <si>
    <t>MIS-</t>
  </si>
  <si>
    <t>Mishler</t>
  </si>
  <si>
    <t>Mississippi</t>
  </si>
  <si>
    <t>Missouri</t>
  </si>
  <si>
    <t>MN</t>
  </si>
  <si>
    <t>MO</t>
  </si>
  <si>
    <t>Modesto</t>
  </si>
  <si>
    <t>Mogavero</t>
  </si>
  <si>
    <t>Montana</t>
  </si>
  <si>
    <t>Morin</t>
  </si>
  <si>
    <t>Morris</t>
  </si>
  <si>
    <t>MORTGAGE/</t>
  </si>
  <si>
    <t>MS</t>
  </si>
  <si>
    <t>MT</t>
  </si>
  <si>
    <t>Musgrave, II</t>
  </si>
  <si>
    <t>Muskogee</t>
  </si>
  <si>
    <t>Myron</t>
  </si>
  <si>
    <t>N.A.</t>
  </si>
  <si>
    <t>N/A</t>
  </si>
  <si>
    <t>N/S</t>
  </si>
  <si>
    <t>Nancy</t>
  </si>
  <si>
    <t>Nashville</t>
  </si>
  <si>
    <t>NATIONAL AVGS.</t>
  </si>
  <si>
    <t>NATIONAL TOTALS</t>
  </si>
  <si>
    <t>ND</t>
  </si>
  <si>
    <t>NE</t>
  </si>
  <si>
    <t>Neal</t>
  </si>
  <si>
    <t>Nebraska</t>
  </si>
  <si>
    <t>Nevada</t>
  </si>
  <si>
    <t>NEW</t>
  </si>
  <si>
    <t>New Hampshire</t>
  </si>
  <si>
    <t>New Jersey</t>
  </si>
  <si>
    <t>New Mexico</t>
  </si>
  <si>
    <t>New York</t>
  </si>
  <si>
    <t>NH</t>
  </si>
  <si>
    <t>Niklas</t>
  </si>
  <si>
    <t>NJ</t>
  </si>
  <si>
    <t>NM</t>
  </si>
  <si>
    <t>NON-FEE</t>
  </si>
  <si>
    <t>North Dakota and Minnesota</t>
  </si>
  <si>
    <t>North Little Rock</t>
  </si>
  <si>
    <t>Northern</t>
  </si>
  <si>
    <t>Northern and Southern</t>
  </si>
  <si>
    <t>Norwood</t>
  </si>
  <si>
    <t>NOTE:  Ongoing Mortgage Payments for Emerson &amp; Stevenson were improperly classified as Priority and have been moved to Secured - 3/1/01.</t>
  </si>
  <si>
    <t>NOTICING</t>
  </si>
  <si>
    <t>NV</t>
  </si>
  <si>
    <t>NY</t>
  </si>
  <si>
    <t>O'Cheskey</t>
  </si>
  <si>
    <t>O'Connell</t>
  </si>
  <si>
    <t>O'Donnell</t>
  </si>
  <si>
    <t>OF 17%</t>
  </si>
  <si>
    <t>OFFICE</t>
  </si>
  <si>
    <t>OH</t>
  </si>
  <si>
    <t>Ohio</t>
  </si>
  <si>
    <t>OK</t>
  </si>
  <si>
    <t>Oklahoma</t>
  </si>
  <si>
    <t>Oklahoma City</t>
  </si>
  <si>
    <t>Olson</t>
  </si>
  <si>
    <t>Omaha</t>
  </si>
  <si>
    <t>OPER.</t>
  </si>
  <si>
    <t>OR</t>
  </si>
  <si>
    <t>Orange</t>
  </si>
  <si>
    <t>Oregon</t>
  </si>
  <si>
    <t>Oshkosh</t>
  </si>
  <si>
    <t>OTHER</t>
  </si>
  <si>
    <t>PA</t>
  </si>
  <si>
    <t>Pappalardo</t>
  </si>
  <si>
    <t>Paris</t>
  </si>
  <si>
    <t>Parrish</t>
  </si>
  <si>
    <t>Paul</t>
  </si>
  <si>
    <t>PAYABLE</t>
  </si>
  <si>
    <t>PAYMENTS</t>
  </si>
  <si>
    <t>PAYOUT TO NONPRIORITY UNSECUREDS</t>
  </si>
  <si>
    <t>Peake (3.5 mos)</t>
  </si>
  <si>
    <t>Pees</t>
  </si>
  <si>
    <t>Pendleton</t>
  </si>
  <si>
    <t>Pennsylvania</t>
  </si>
  <si>
    <t>Peoria</t>
  </si>
  <si>
    <t>Peter</t>
  </si>
  <si>
    <t>Petersburg</t>
  </si>
  <si>
    <t>Phelps</t>
  </si>
  <si>
    <t>Philadelphia</t>
  </si>
  <si>
    <t>Phoenix</t>
  </si>
  <si>
    <t>Phyllis</t>
  </si>
  <si>
    <t>Pittsburgh</t>
  </si>
  <si>
    <t>PLAN</t>
  </si>
  <si>
    <t>Pocatello</t>
  </si>
  <si>
    <t>Portland</t>
  </si>
  <si>
    <t>Portsmouth</t>
  </si>
  <si>
    <t>POSTAGE/</t>
  </si>
  <si>
    <t>Powers</t>
  </si>
  <si>
    <t>PR</t>
  </si>
  <si>
    <t>PRIORITY</t>
  </si>
  <si>
    <t>Providence</t>
  </si>
  <si>
    <t>Puerto Rico &amp; Virgin Islands</t>
  </si>
  <si>
    <t>PURCHASE</t>
  </si>
  <si>
    <t>R. Geoffrey</t>
  </si>
  <si>
    <t>Rakozy</t>
  </si>
  <si>
    <t>Ralph</t>
  </si>
  <si>
    <t>RATIO</t>
  </si>
  <si>
    <t>Ray</t>
  </si>
  <si>
    <t>Raymond</t>
  </si>
  <si>
    <t>Reading</t>
  </si>
  <si>
    <t>RECEIPTS</t>
  </si>
  <si>
    <t>REFUNDS TO</t>
  </si>
  <si>
    <t>REG</t>
  </si>
  <si>
    <t>Regina</t>
  </si>
  <si>
    <t>Reiber</t>
  </si>
  <si>
    <t>Reigle</t>
  </si>
  <si>
    <t>RELATED</t>
  </si>
  <si>
    <t>Reno</t>
  </si>
  <si>
    <t>RENT AND</t>
  </si>
  <si>
    <t>RENTAL</t>
  </si>
  <si>
    <t>REV TRANSF</t>
  </si>
  <si>
    <t>Rhode Island</t>
  </si>
  <si>
    <t>RI</t>
  </si>
  <si>
    <t>Richard</t>
  </si>
  <si>
    <t>Richman (unaudited)</t>
  </si>
  <si>
    <t>Richmond</t>
  </si>
  <si>
    <t>Ridgway</t>
  </si>
  <si>
    <t>Roanoke</t>
  </si>
  <si>
    <t>Robert</t>
  </si>
  <si>
    <t>Robin</t>
  </si>
  <si>
    <t>Rochester</t>
  </si>
  <si>
    <t>Rock Island</t>
  </si>
  <si>
    <t>Rockville Centre</t>
  </si>
  <si>
    <t>Rodgers</t>
  </si>
  <si>
    <t>Rodriguez</t>
  </si>
  <si>
    <t>Rosen</t>
  </si>
  <si>
    <t>Rosenbaum (8 mos)</t>
  </si>
  <si>
    <t>Rosenthal</t>
  </si>
  <si>
    <t>Roth (unaudited)</t>
  </si>
  <si>
    <t>Royce</t>
  </si>
  <si>
    <t>Ruskin</t>
  </si>
  <si>
    <t>Russell</t>
  </si>
  <si>
    <t>Sacramento</t>
  </si>
  <si>
    <t>Saginaw</t>
  </si>
  <si>
    <t>SALARIES</t>
  </si>
  <si>
    <t>Sally</t>
  </si>
  <si>
    <t>Salt Lake City</t>
  </si>
  <si>
    <t>San Antonio</t>
  </si>
  <si>
    <t>San Diego</t>
  </si>
  <si>
    <t>San Juan</t>
  </si>
  <si>
    <t>Sanford</t>
  </si>
  <si>
    <t>Santoro</t>
  </si>
  <si>
    <t>Sapir</t>
  </si>
  <si>
    <t>Satterlee, Jr.</t>
  </si>
  <si>
    <t>Savage</t>
  </si>
  <si>
    <t>Savannah</t>
  </si>
  <si>
    <t>SC</t>
  </si>
  <si>
    <t>Scura</t>
  </si>
  <si>
    <t>SD</t>
  </si>
  <si>
    <t>Seattle</t>
  </si>
  <si>
    <t>SECURED</t>
  </si>
  <si>
    <t>Sensenich</t>
  </si>
  <si>
    <t>SERVICES</t>
  </si>
  <si>
    <t>Seymour</t>
  </si>
  <si>
    <t>Sharon</t>
  </si>
  <si>
    <t>Shreveport</t>
  </si>
  <si>
    <t>Sidney</t>
  </si>
  <si>
    <t>Simmons</t>
  </si>
  <si>
    <t>Skelton</t>
  </si>
  <si>
    <t>Smith</t>
  </si>
  <si>
    <t>Smith, K.</t>
  </si>
  <si>
    <t>Smith, T.</t>
  </si>
  <si>
    <t>South Carolina</t>
  </si>
  <si>
    <t>South Dakota</t>
  </si>
  <si>
    <t>Southern</t>
  </si>
  <si>
    <t>Southern/Northern</t>
  </si>
  <si>
    <t>Southfield</t>
  </si>
  <si>
    <t>Sparkman</t>
  </si>
  <si>
    <t>Spokane</t>
  </si>
  <si>
    <t>Spurgeon</t>
  </si>
  <si>
    <t>St. Louis</t>
  </si>
  <si>
    <t>START '98</t>
  </si>
  <si>
    <t>STATE</t>
  </si>
  <si>
    <t>Stephenson, Jr.</t>
  </si>
  <si>
    <t>Sterling</t>
  </si>
  <si>
    <t>Steve</t>
  </si>
  <si>
    <t>Stevenson</t>
  </si>
  <si>
    <t>Still</t>
  </si>
  <si>
    <t>Strickler</t>
  </si>
  <si>
    <t>Stuart</t>
  </si>
  <si>
    <t>SULTING</t>
  </si>
  <si>
    <t>Sumski</t>
  </si>
  <si>
    <t>SUPPLIES</t>
  </si>
  <si>
    <t>Swimelar</t>
  </si>
  <si>
    <t>Sylvia</t>
  </si>
  <si>
    <t>Syracuse</t>
  </si>
  <si>
    <t>Tallahassee</t>
  </si>
  <si>
    <t>Tedd</t>
  </si>
  <si>
    <t>TELEPH/</t>
  </si>
  <si>
    <t>Tennessee</t>
  </si>
  <si>
    <t>Terre Haute</t>
  </si>
  <si>
    <t>Terry</t>
  </si>
  <si>
    <t>Texas</t>
  </si>
  <si>
    <t>Thomas</t>
  </si>
  <si>
    <t>Tim</t>
  </si>
  <si>
    <t>TN</t>
  </si>
  <si>
    <t>TO ANTHR</t>
  </si>
  <si>
    <t>TO EXP FUND</t>
  </si>
  <si>
    <t>TO USTP</t>
  </si>
  <si>
    <t>Toby</t>
  </si>
  <si>
    <t>Toledo</t>
  </si>
  <si>
    <t>Toscano</t>
  </si>
  <si>
    <t>TOTAL</t>
  </si>
  <si>
    <t xml:space="preserve">TOTAL </t>
  </si>
  <si>
    <t>TRAINING</t>
  </si>
  <si>
    <t>TRANSF'D</t>
  </si>
  <si>
    <t>TRANSFERRED</t>
  </si>
  <si>
    <t>Truman</t>
  </si>
  <si>
    <t>TRUST FUND</t>
  </si>
  <si>
    <t>TRUSTEE</t>
  </si>
  <si>
    <t>Tucson</t>
  </si>
  <si>
    <t>Tulsa</t>
  </si>
  <si>
    <t>TX</t>
  </si>
  <si>
    <t>Tyler</t>
  </si>
  <si>
    <t>UNSEC'D</t>
  </si>
  <si>
    <t>UT</t>
  </si>
  <si>
    <t>Utah</t>
  </si>
  <si>
    <t>UTILS</t>
  </si>
  <si>
    <t>VA</t>
  </si>
  <si>
    <t>Vanessa</t>
  </si>
  <si>
    <t>Vermont</t>
  </si>
  <si>
    <t>Virginia</t>
  </si>
  <si>
    <t>VT</t>
  </si>
  <si>
    <t>WA</t>
  </si>
  <si>
    <t>Wallace</t>
  </si>
  <si>
    <t>Walter</t>
  </si>
  <si>
    <t>Warford</t>
  </si>
  <si>
    <t>Washington</t>
  </si>
  <si>
    <t>Wasserman</t>
  </si>
  <si>
    <t>Waterloo</t>
  </si>
  <si>
    <t>Wayne</t>
  </si>
  <si>
    <t>Weatherford</t>
  </si>
  <si>
    <t>Wein</t>
  </si>
  <si>
    <t>Weinberg</t>
  </si>
  <si>
    <t>Weiner</t>
  </si>
  <si>
    <t>West Virginia</t>
  </si>
  <si>
    <t>Western</t>
  </si>
  <si>
    <t>Western and Eastern</t>
  </si>
  <si>
    <t>White</t>
  </si>
  <si>
    <t>White Plains</t>
  </si>
  <si>
    <t>White River Jct</t>
  </si>
  <si>
    <t>WI</t>
  </si>
  <si>
    <t>Wichita</t>
  </si>
  <si>
    <t>Widener</t>
  </si>
  <si>
    <t>William</t>
  </si>
  <si>
    <t>Wilmington</t>
  </si>
  <si>
    <t>Wilson</t>
  </si>
  <si>
    <t>Winter Park</t>
  </si>
  <si>
    <t>Wisconsin</t>
  </si>
  <si>
    <t>Wood</t>
  </si>
  <si>
    <t>Worcester</t>
  </si>
  <si>
    <t>Worthington</t>
  </si>
  <si>
    <t>WV</t>
  </si>
  <si>
    <t>WY</t>
  </si>
  <si>
    <t>Wyoming and Utah</t>
  </si>
  <si>
    <t>Yarnall</t>
  </si>
  <si>
    <t>yes</t>
  </si>
  <si>
    <t>Youngstown</t>
  </si>
  <si>
    <t>Yuma</t>
  </si>
  <si>
    <t>Zeman</t>
  </si>
  <si>
    <t>Zimmerman</t>
  </si>
</sst>
</file>

<file path=xl/styles.xml><?xml version="1.0" encoding="utf-8"?>
<styleSheet xmlns="http://schemas.openxmlformats.org/spreadsheetml/2006/main">
  <numFmts count="4">
    <numFmt numFmtId="164" formatCode="[$$-409]\ #,##0"/>
    <numFmt numFmtId="165" formatCode="0.0%"/>
    <numFmt numFmtId="166" formatCode="\_x0004_;;;"/>
    <numFmt numFmtId="167" formatCode="#,##0.0"/>
  </numFmts>
  <fonts count="6">
    <font>
      <sz val="12"/>
      <name val="Arial"/>
    </font>
    <font>
      <sz val="10"/>
      <name val="Times New Roman"/>
    </font>
    <font>
      <sz val="10"/>
      <name val="Arial"/>
    </font>
    <font>
      <b/>
      <sz val="10"/>
      <name val="Arial"/>
    </font>
    <font>
      <sz val="8"/>
      <name val="Arial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</borders>
  <cellStyleXfs count="1">
    <xf numFmtId="0" fontId="0" fillId="0" borderId="0"/>
  </cellStyleXfs>
  <cellXfs count="43">
    <xf numFmtId="3" fontId="0" fillId="2" borderId="0" xfId="0" applyNumberFormat="1" applyFill="1"/>
    <xf numFmtId="0" fontId="5" fillId="2" borderId="0" xfId="0" applyFont="1" applyFill="1"/>
    <xf numFmtId="3" fontId="2" fillId="2" borderId="0" xfId="0" applyNumberFormat="1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64" fontId="2" fillId="2" borderId="4" xfId="0" applyNumberFormat="1" applyFont="1" applyFill="1" applyBorder="1"/>
    <xf numFmtId="3" fontId="2" fillId="2" borderId="2" xfId="0" applyNumberFormat="1" applyFont="1" applyFill="1" applyBorder="1"/>
    <xf numFmtId="0" fontId="1" fillId="2" borderId="0" xfId="0" applyFont="1" applyFill="1"/>
    <xf numFmtId="3" fontId="2" fillId="2" borderId="4" xfId="0" applyNumberFormat="1" applyFont="1" applyFill="1" applyBorder="1"/>
    <xf numFmtId="3" fontId="4" fillId="2" borderId="0" xfId="0" applyNumberFormat="1" applyFont="1" applyFill="1"/>
    <xf numFmtId="165" fontId="2" fillId="2" borderId="4" xfId="0" applyNumberFormat="1" applyFont="1" applyFill="1" applyBorder="1"/>
    <xf numFmtId="22" fontId="4" fillId="2" borderId="0" xfId="0" applyNumberFormat="1" applyFont="1" applyFill="1"/>
    <xf numFmtId="22" fontId="1" fillId="2" borderId="0" xfId="0" applyNumberFormat="1" applyFont="1" applyFill="1"/>
    <xf numFmtId="15" fontId="2" fillId="2" borderId="0" xfId="0" applyNumberFormat="1" applyFont="1" applyFill="1"/>
    <xf numFmtId="0" fontId="2" fillId="2" borderId="0" xfId="0" applyFont="1" applyFill="1"/>
    <xf numFmtId="166" fontId="2" fillId="2" borderId="0" xfId="0" applyNumberFormat="1" applyFont="1" applyFill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7" fontId="2" fillId="2" borderId="2" xfId="0" applyNumberFormat="1" applyFont="1" applyFill="1" applyBorder="1"/>
    <xf numFmtId="167" fontId="2" fillId="2" borderId="0" xfId="0" applyNumberFormat="1" applyFont="1" applyFill="1"/>
    <xf numFmtId="10" fontId="2" fillId="2" borderId="2" xfId="0" applyNumberFormat="1" applyFont="1" applyFill="1" applyBorder="1"/>
    <xf numFmtId="10" fontId="2" fillId="2" borderId="4" xfId="0" applyNumberFormat="1" applyFont="1" applyFill="1" applyBorder="1"/>
    <xf numFmtId="10" fontId="2" fillId="2" borderId="0" xfId="0" applyNumberFormat="1" applyFont="1" applyFill="1"/>
    <xf numFmtId="0" fontId="2" fillId="2" borderId="8" xfId="0" applyFont="1" applyFill="1" applyBorder="1"/>
    <xf numFmtId="0" fontId="2" fillId="2" borderId="9" xfId="0" applyFont="1" applyFill="1" applyBorder="1"/>
    <xf numFmtId="3" fontId="2" fillId="2" borderId="5" xfId="0" applyNumberFormat="1" applyFont="1" applyFill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3" fontId="2" fillId="2" borderId="1" xfId="0" applyNumberFormat="1" applyFont="1" applyFill="1" applyBorder="1"/>
    <xf numFmtId="0" fontId="2" fillId="3" borderId="13" xfId="0" applyFont="1" applyFill="1" applyBorder="1"/>
    <xf numFmtId="0" fontId="2" fillId="3" borderId="8" xfId="0" applyFont="1" applyFill="1" applyBorder="1"/>
    <xf numFmtId="3" fontId="2" fillId="3" borderId="8" xfId="0" applyNumberFormat="1" applyFont="1" applyFill="1" applyBorder="1"/>
    <xf numFmtId="3" fontId="2" fillId="3" borderId="4" xfId="0" applyNumberFormat="1" applyFont="1" applyFill="1" applyBorder="1"/>
    <xf numFmtId="0" fontId="2" fillId="3" borderId="4" xfId="0" applyFont="1" applyFill="1" applyBorder="1"/>
    <xf numFmtId="165" fontId="2" fillId="3" borderId="4" xfId="0" applyNumberFormat="1" applyFont="1" applyFill="1" applyBorder="1"/>
    <xf numFmtId="167" fontId="2" fillId="3" borderId="4" xfId="0" applyNumberFormat="1" applyFont="1" applyFill="1" applyBorder="1"/>
    <xf numFmtId="10" fontId="2" fillId="3" borderId="4" xfId="0" applyNumberFormat="1" applyFont="1" applyFill="1" applyBorder="1"/>
    <xf numFmtId="3" fontId="3" fillId="2" borderId="0" xfId="0" applyNumberFormat="1" applyFont="1" applyFill="1"/>
    <xf numFmtId="3" fontId="2" fillId="2" borderId="4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C0C0C0"/>
      <rgbColor rgb="00000000"/>
      <rgbColor rgb="00FFFFFF"/>
      <rgbColor rgb="00FF000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G199"/>
  <sheetViews>
    <sheetView showGridLines="0" tabSelected="1" workbookViewId="0"/>
  </sheetViews>
  <sheetFormatPr defaultRowHeight="15"/>
  <cols>
    <col min="1" max="1" width="5.08984375" style="2" customWidth="1"/>
    <col min="2" max="2" width="15.453125" style="2" customWidth="1"/>
    <col min="3" max="3" width="10.453125" style="2" customWidth="1"/>
    <col min="4" max="4" width="12.26953125" style="2" customWidth="1"/>
    <col min="5" max="5" width="5.90625" style="2" customWidth="1"/>
    <col min="6" max="6" width="17.1796875" style="2" customWidth="1"/>
    <col min="7" max="7" width="16.7265625" style="2" customWidth="1"/>
    <col min="8" max="8" width="14.08984375" style="2" customWidth="1"/>
    <col min="9" max="9" width="12.36328125" style="2" customWidth="1"/>
    <col min="10" max="10" width="13.08984375" style="2" customWidth="1"/>
    <col min="11" max="11" width="11.7265625" style="2" customWidth="1"/>
    <col min="12" max="12" width="12.36328125" style="2" customWidth="1"/>
    <col min="13" max="13" width="13.26953125" style="2" customWidth="1"/>
    <col min="14" max="14" width="12.6328125" style="2" customWidth="1"/>
    <col min="15" max="16" width="10.54296875" style="2" customWidth="1"/>
    <col min="17" max="17" width="12.453125" style="2" customWidth="1"/>
    <col min="18" max="18" width="11.54296875" style="2" customWidth="1"/>
    <col min="19" max="19" width="10.54296875" style="2" customWidth="1"/>
    <col min="20" max="20" width="13.7265625" style="2" customWidth="1"/>
    <col min="21" max="21" width="11.54296875" style="2" customWidth="1"/>
    <col min="22" max="22" width="10.90625" style="2" customWidth="1"/>
    <col min="23" max="23" width="9.7265625" style="2" customWidth="1"/>
    <col min="24" max="24" width="11.54296875" style="2" customWidth="1"/>
    <col min="25" max="25" width="11.7265625" style="2" customWidth="1"/>
    <col min="26" max="26" width="10" style="2" customWidth="1"/>
    <col min="27" max="27" width="11" style="2" customWidth="1"/>
    <col min="28" max="28" width="10.54296875" style="2" customWidth="1"/>
    <col min="29" max="29" width="12.6328125" style="2" customWidth="1"/>
    <col min="30" max="30" width="10.453125" style="2" customWidth="1"/>
    <col min="31" max="31" width="11.7265625" style="2" customWidth="1"/>
    <col min="32" max="32" width="11.08984375" style="2" customWidth="1"/>
    <col min="33" max="33" width="8.7265625" style="2"/>
    <col min="34" max="34" width="11.54296875" style="2" customWidth="1"/>
    <col min="35" max="35" width="8.81640625" style="2" customWidth="1"/>
    <col min="36" max="36" width="11.54296875" style="2" customWidth="1"/>
    <col min="37" max="37" width="11.26953125" style="2" customWidth="1"/>
    <col min="38" max="38" width="9.08984375" style="2" customWidth="1"/>
    <col min="39" max="40" width="10.6328125" style="2" customWidth="1"/>
    <col min="41" max="41" width="9.1796875" style="2" customWidth="1"/>
    <col min="42" max="42" width="8.81640625" style="2" customWidth="1"/>
    <col min="43" max="43" width="10.81640625" style="2" customWidth="1"/>
    <col min="44" max="44" width="9.54296875" style="2" customWidth="1"/>
    <col min="45" max="46" width="9.08984375" style="2" customWidth="1"/>
    <col min="47" max="47" width="9.1796875" style="2" customWidth="1"/>
    <col min="48" max="49" width="8.26953125" style="2" customWidth="1"/>
    <col min="50" max="50" width="10.81640625" style="2" customWidth="1"/>
    <col min="51" max="51" width="9.54296875" style="2" customWidth="1"/>
    <col min="52" max="52" width="9.1796875" style="2" customWidth="1"/>
    <col min="53" max="53" width="9.90625" style="2" customWidth="1"/>
    <col min="54" max="54" width="10.6328125" style="2" customWidth="1"/>
    <col min="55" max="55" width="7.6328125" style="2" customWidth="1"/>
    <col min="56" max="56" width="9.08984375" style="2" customWidth="1"/>
    <col min="57" max="57" width="8.26953125" style="2" customWidth="1"/>
    <col min="58" max="58" width="12" style="2" customWidth="1"/>
    <col min="59" max="241" width="8.26953125" style="2" customWidth="1"/>
  </cols>
  <sheetData>
    <row r="1" spans="1:59">
      <c r="A1" s="11"/>
      <c r="D1" s="16" t="s">
        <v>2</v>
      </c>
      <c r="G1" s="41"/>
      <c r="S1" s="16"/>
      <c r="T1" s="14"/>
      <c r="V1" s="16"/>
      <c r="AF1" s="14"/>
      <c r="AH1" s="16"/>
      <c r="AI1" s="16"/>
      <c r="AV1" s="14"/>
      <c r="AY1" s="16"/>
      <c r="BB1" s="16"/>
    </row>
    <row r="2" spans="1:59">
      <c r="A2" s="16"/>
      <c r="D2" s="16" t="s">
        <v>235</v>
      </c>
      <c r="O2" s="14"/>
      <c r="S2" s="16"/>
      <c r="U2" s="16"/>
      <c r="V2" s="16"/>
      <c r="W2" s="16"/>
      <c r="X2" s="17"/>
      <c r="AH2" s="16"/>
      <c r="AI2" s="16"/>
      <c r="AY2" s="16"/>
      <c r="BB2" s="16"/>
    </row>
    <row r="3" spans="1:59">
      <c r="BD3" s="30" t="s">
        <v>473</v>
      </c>
      <c r="BE3" s="31"/>
      <c r="BF3" s="31"/>
      <c r="BG3" s="32"/>
    </row>
    <row r="4" spans="1:59">
      <c r="C4" s="15" t="s">
        <v>0</v>
      </c>
      <c r="D4" s="13"/>
      <c r="BD4" s="29"/>
      <c r="BG4" s="8"/>
    </row>
    <row r="5" spans="1:59">
      <c r="A5" s="18"/>
      <c r="B5" s="3"/>
      <c r="C5" s="3"/>
      <c r="D5" s="3"/>
      <c r="E5" s="3"/>
      <c r="F5" s="3"/>
      <c r="G5" s="3"/>
      <c r="H5" s="3" t="s">
        <v>252</v>
      </c>
      <c r="I5" s="3" t="s">
        <v>607</v>
      </c>
      <c r="J5" s="3"/>
      <c r="K5" s="3" t="s">
        <v>554</v>
      </c>
      <c r="L5" s="3" t="s">
        <v>493</v>
      </c>
      <c r="M5" s="3" t="s">
        <v>618</v>
      </c>
      <c r="N5" s="3" t="s">
        <v>162</v>
      </c>
      <c r="O5" s="3" t="s">
        <v>13</v>
      </c>
      <c r="P5" s="3" t="s">
        <v>445</v>
      </c>
      <c r="Q5" s="3" t="s">
        <v>606</v>
      </c>
      <c r="R5" s="3" t="s">
        <v>110</v>
      </c>
      <c r="S5" s="3" t="s">
        <v>438</v>
      </c>
      <c r="T5" s="3" t="s">
        <v>53</v>
      </c>
      <c r="U5" s="3"/>
      <c r="V5" s="3"/>
      <c r="W5" s="3"/>
      <c r="X5" s="26" t="s">
        <v>1</v>
      </c>
      <c r="Y5" s="26"/>
      <c r="Z5" s="27"/>
      <c r="AA5" s="3" t="s">
        <v>452</v>
      </c>
      <c r="AB5" s="3" t="s">
        <v>80</v>
      </c>
      <c r="AC5" s="3"/>
      <c r="AD5" s="3" t="s">
        <v>140</v>
      </c>
      <c r="AE5" s="3" t="s">
        <v>592</v>
      </c>
      <c r="AF5" s="3"/>
      <c r="AG5" s="3" t="s">
        <v>205</v>
      </c>
      <c r="AH5" s="3" t="s">
        <v>205</v>
      </c>
      <c r="AI5" s="3" t="s">
        <v>606</v>
      </c>
      <c r="AJ5" s="3" t="s">
        <v>606</v>
      </c>
      <c r="AK5" s="3" t="s">
        <v>606</v>
      </c>
      <c r="AL5" s="3" t="s">
        <v>67</v>
      </c>
      <c r="AM5" s="3"/>
      <c r="AN5" s="3"/>
      <c r="AO5" s="3"/>
      <c r="AP5" s="3"/>
      <c r="AQ5" s="3" t="s">
        <v>202</v>
      </c>
      <c r="AR5" s="3" t="s">
        <v>210</v>
      </c>
      <c r="AS5" s="3" t="s">
        <v>208</v>
      </c>
      <c r="AT5" s="3" t="s">
        <v>17</v>
      </c>
      <c r="AU5" s="3" t="s">
        <v>109</v>
      </c>
      <c r="AV5" s="3" t="s">
        <v>429</v>
      </c>
      <c r="AW5" s="3"/>
      <c r="AX5" s="3" t="s">
        <v>109</v>
      </c>
      <c r="AY5" s="3"/>
      <c r="AZ5" s="3" t="s">
        <v>129</v>
      </c>
      <c r="BA5" s="3" t="s">
        <v>129</v>
      </c>
      <c r="BB5" s="3"/>
      <c r="BC5" s="18"/>
      <c r="BD5" s="3"/>
      <c r="BE5" s="3"/>
      <c r="BF5" s="3"/>
      <c r="BG5" s="3"/>
    </row>
    <row r="6" spans="1:59">
      <c r="A6" s="19"/>
      <c r="B6" s="4" t="s">
        <v>613</v>
      </c>
      <c r="C6" s="4" t="s">
        <v>613</v>
      </c>
      <c r="D6" s="4"/>
      <c r="E6" s="4"/>
      <c r="F6" s="4" t="s">
        <v>184</v>
      </c>
      <c r="G6" s="4" t="s">
        <v>576</v>
      </c>
      <c r="H6" s="4" t="s">
        <v>162</v>
      </c>
      <c r="I6" s="4" t="s">
        <v>612</v>
      </c>
      <c r="J6" s="4" t="s">
        <v>505</v>
      </c>
      <c r="K6" s="4" t="s">
        <v>150</v>
      </c>
      <c r="L6" s="4" t="s">
        <v>150</v>
      </c>
      <c r="M6" s="4" t="s">
        <v>150</v>
      </c>
      <c r="N6" s="4" t="s">
        <v>50</v>
      </c>
      <c r="O6" s="4" t="s">
        <v>609</v>
      </c>
      <c r="P6" s="4" t="s">
        <v>514</v>
      </c>
      <c r="Q6" s="4" t="s">
        <v>180</v>
      </c>
      <c r="R6" s="4" t="s">
        <v>504</v>
      </c>
      <c r="S6" s="4" t="s">
        <v>411</v>
      </c>
      <c r="T6" s="4" t="s">
        <v>6</v>
      </c>
      <c r="U6" s="4" t="s">
        <v>5</v>
      </c>
      <c r="V6" s="4" t="s">
        <v>142</v>
      </c>
      <c r="W6" s="4"/>
      <c r="X6" s="4"/>
      <c r="Y6" s="4" t="s">
        <v>200</v>
      </c>
      <c r="Z6" s="4"/>
      <c r="AA6" s="4" t="s">
        <v>512</v>
      </c>
      <c r="AB6" s="4" t="s">
        <v>16</v>
      </c>
      <c r="AC6" s="4" t="s">
        <v>139</v>
      </c>
      <c r="AD6" s="4" t="s">
        <v>584</v>
      </c>
      <c r="AE6" s="4" t="s">
        <v>490</v>
      </c>
      <c r="AF6" s="4"/>
      <c r="AG6" s="4" t="s">
        <v>234</v>
      </c>
      <c r="AH6" s="4" t="s">
        <v>234</v>
      </c>
      <c r="AI6" s="4" t="s">
        <v>30</v>
      </c>
      <c r="AJ6" s="4" t="s">
        <v>19</v>
      </c>
      <c r="AK6" s="4" t="s">
        <v>43</v>
      </c>
      <c r="AL6" s="4" t="s">
        <v>209</v>
      </c>
      <c r="AM6" s="4" t="s">
        <v>400</v>
      </c>
      <c r="AN6" s="4" t="s">
        <v>293</v>
      </c>
      <c r="AO6" s="4" t="s">
        <v>19</v>
      </c>
      <c r="AP6" s="4" t="s">
        <v>208</v>
      </c>
      <c r="AQ6" s="4" t="s">
        <v>210</v>
      </c>
      <c r="AR6" s="4" t="s">
        <v>290</v>
      </c>
      <c r="AS6" s="4" t="s">
        <v>471</v>
      </c>
      <c r="AT6" s="4" t="s">
        <v>460</v>
      </c>
      <c r="AU6" s="4" t="s">
        <v>18</v>
      </c>
      <c r="AV6" s="4" t="s">
        <v>109</v>
      </c>
      <c r="AW6" s="4" t="s">
        <v>465</v>
      </c>
      <c r="AX6" s="4" t="s">
        <v>144</v>
      </c>
      <c r="AY6" s="4" t="s">
        <v>109</v>
      </c>
      <c r="AZ6" s="4" t="s">
        <v>136</v>
      </c>
      <c r="BA6" s="4" t="s">
        <v>258</v>
      </c>
      <c r="BB6" s="4" t="s">
        <v>4</v>
      </c>
      <c r="BC6" s="19" t="s">
        <v>109</v>
      </c>
      <c r="BD6" s="4"/>
      <c r="BE6" s="4"/>
      <c r="BF6" s="4"/>
      <c r="BG6" s="4"/>
    </row>
    <row r="7" spans="1:59">
      <c r="A7" s="20" t="s">
        <v>506</v>
      </c>
      <c r="B7" s="5" t="s">
        <v>338</v>
      </c>
      <c r="C7" s="5" t="s">
        <v>219</v>
      </c>
      <c r="D7" s="5" t="s">
        <v>126</v>
      </c>
      <c r="E7" s="5" t="s">
        <v>576</v>
      </c>
      <c r="F7" s="5" t="s">
        <v>44</v>
      </c>
      <c r="G7" s="5" t="s">
        <v>44</v>
      </c>
      <c r="H7" s="5" t="s">
        <v>472</v>
      </c>
      <c r="I7" s="5" t="s">
        <v>504</v>
      </c>
      <c r="J7" s="5" t="s">
        <v>163</v>
      </c>
      <c r="K7" s="5" t="s">
        <v>178</v>
      </c>
      <c r="L7" s="5" t="s">
        <v>178</v>
      </c>
      <c r="M7" s="5" t="s">
        <v>178</v>
      </c>
      <c r="N7" s="5" t="s">
        <v>179</v>
      </c>
      <c r="O7" s="5" t="s">
        <v>601</v>
      </c>
      <c r="P7" s="5" t="s">
        <v>601</v>
      </c>
      <c r="Q7" s="5" t="s">
        <v>384</v>
      </c>
      <c r="R7" s="5" t="s">
        <v>500</v>
      </c>
      <c r="S7" s="5" t="s">
        <v>122</v>
      </c>
      <c r="T7" s="5" t="s">
        <v>42</v>
      </c>
      <c r="U7" s="5" t="s">
        <v>610</v>
      </c>
      <c r="V7" s="5" t="s">
        <v>504</v>
      </c>
      <c r="W7" s="5" t="s">
        <v>294</v>
      </c>
      <c r="X7" s="5" t="s">
        <v>538</v>
      </c>
      <c r="Y7" s="5" t="s">
        <v>143</v>
      </c>
      <c r="Z7" s="5" t="s">
        <v>71</v>
      </c>
      <c r="AA7" s="5" t="s">
        <v>621</v>
      </c>
      <c r="AB7" s="5" t="s">
        <v>556</v>
      </c>
      <c r="AC7" s="5" t="s">
        <v>556</v>
      </c>
      <c r="AD7" s="5" t="s">
        <v>556</v>
      </c>
      <c r="AE7" s="5" t="s">
        <v>586</v>
      </c>
      <c r="AF7" s="5" t="s">
        <v>608</v>
      </c>
      <c r="AG7" s="5" t="s">
        <v>513</v>
      </c>
      <c r="AH7" s="5" t="s">
        <v>496</v>
      </c>
      <c r="AI7" s="5" t="s">
        <v>510</v>
      </c>
      <c r="AJ7" s="5" t="s">
        <v>211</v>
      </c>
      <c r="AK7" s="5" t="s">
        <v>211</v>
      </c>
      <c r="AL7" s="5" t="s">
        <v>55</v>
      </c>
      <c r="AM7" s="5" t="s">
        <v>181</v>
      </c>
      <c r="AN7" s="5" t="s">
        <v>165</v>
      </c>
      <c r="AO7" s="5" t="s">
        <v>137</v>
      </c>
      <c r="AP7" s="5" t="s">
        <v>137</v>
      </c>
      <c r="AQ7" s="5" t="s">
        <v>55</v>
      </c>
      <c r="AR7" s="5" t="s">
        <v>451</v>
      </c>
      <c r="AS7" s="5" t="s">
        <v>602</v>
      </c>
      <c r="AT7" s="5" t="s">
        <v>166</v>
      </c>
      <c r="AU7" s="5" t="s">
        <v>575</v>
      </c>
      <c r="AV7" s="5" t="s">
        <v>217</v>
      </c>
      <c r="AW7" s="5" t="s">
        <v>20</v>
      </c>
      <c r="AX7" s="5" t="s">
        <v>600</v>
      </c>
      <c r="AY7" s="5" t="s">
        <v>183</v>
      </c>
      <c r="AZ7" s="5" t="s">
        <v>486</v>
      </c>
      <c r="BA7" s="5" t="s">
        <v>182</v>
      </c>
      <c r="BB7" s="5" t="s">
        <v>201</v>
      </c>
      <c r="BC7" s="19" t="s">
        <v>9</v>
      </c>
      <c r="BD7" s="4" t="s">
        <v>14</v>
      </c>
      <c r="BE7" s="4" t="s">
        <v>12</v>
      </c>
      <c r="BF7" s="4" t="s">
        <v>11</v>
      </c>
      <c r="BG7" s="4" t="s">
        <v>10</v>
      </c>
    </row>
    <row r="8" spans="1:59">
      <c r="A8" s="19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8"/>
      <c r="T8" s="23"/>
      <c r="U8" s="8"/>
      <c r="V8" s="8"/>
      <c r="W8" s="4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28"/>
      <c r="BD8" s="10"/>
      <c r="BE8" s="10"/>
      <c r="BF8" s="10"/>
      <c r="BG8" s="10"/>
    </row>
    <row r="9" spans="1:59">
      <c r="A9" s="33"/>
      <c r="B9" s="34" t="s">
        <v>422</v>
      </c>
      <c r="C9" s="34"/>
      <c r="D9" s="34"/>
      <c r="E9" s="35"/>
      <c r="F9" s="35"/>
      <c r="G9" s="35"/>
      <c r="H9" s="36">
        <f t="shared" ref="H9:AM9" si="0">AVERAGE(H12:H188)</f>
        <v>17439593.943502825</v>
      </c>
      <c r="I9" s="36">
        <f t="shared" si="0"/>
        <v>17527463.423728812</v>
      </c>
      <c r="J9" s="36">
        <f t="shared" si="0"/>
        <v>716045.05084745761</v>
      </c>
      <c r="K9" s="36">
        <f t="shared" si="0"/>
        <v>9605976.1864406783</v>
      </c>
      <c r="L9" s="36">
        <f t="shared" si="0"/>
        <v>1556286.8219209041</v>
      </c>
      <c r="M9" s="36">
        <f t="shared" si="0"/>
        <v>3030640.6214689268</v>
      </c>
      <c r="N9" s="36">
        <f t="shared" si="0"/>
        <v>1380122.5310734464</v>
      </c>
      <c r="O9" s="36">
        <f t="shared" si="0"/>
        <v>15566.870056497175</v>
      </c>
      <c r="P9" s="36">
        <f t="shared" si="0"/>
        <v>9643.988636363636</v>
      </c>
      <c r="Q9" s="36">
        <f t="shared" si="0"/>
        <v>16486696.610169491</v>
      </c>
      <c r="R9" s="38">
        <f t="shared" si="0"/>
        <v>0.12682601126991025</v>
      </c>
      <c r="S9" s="36">
        <f t="shared" si="0"/>
        <v>810133.87007693015</v>
      </c>
      <c r="T9" s="40">
        <f t="shared" si="0"/>
        <v>6.4804865261270772E-2</v>
      </c>
      <c r="U9" s="36">
        <f t="shared" si="0"/>
        <v>783372.6875</v>
      </c>
      <c r="V9" s="36">
        <f t="shared" si="0"/>
        <v>2539.7627118644068</v>
      </c>
      <c r="W9" s="36">
        <f t="shared" si="0"/>
        <v>68087.372881355928</v>
      </c>
      <c r="X9" s="36">
        <f t="shared" si="0"/>
        <v>358413.71590909088</v>
      </c>
      <c r="Y9" s="36">
        <f t="shared" si="0"/>
        <v>29726.335227272728</v>
      </c>
      <c r="Z9" s="36">
        <f t="shared" si="0"/>
        <v>66366.943181818177</v>
      </c>
      <c r="AA9" s="36">
        <f t="shared" si="0"/>
        <v>64036.653409090912</v>
      </c>
      <c r="AB9" s="36">
        <f t="shared" si="0"/>
        <v>7011.409090909091</v>
      </c>
      <c r="AC9" s="36">
        <f t="shared" si="0"/>
        <v>30190.642045454544</v>
      </c>
      <c r="AD9" s="36">
        <f t="shared" si="0"/>
        <v>10620.883011363638</v>
      </c>
      <c r="AE9" s="36">
        <f t="shared" si="0"/>
        <v>75383.443863636363</v>
      </c>
      <c r="AF9" s="36">
        <f t="shared" si="0"/>
        <v>7367.392045454545</v>
      </c>
      <c r="AG9" s="36">
        <f t="shared" si="0"/>
        <v>5788.079545454545</v>
      </c>
      <c r="AH9" s="36">
        <f t="shared" si="0"/>
        <v>37649.94886363636</v>
      </c>
      <c r="AI9" s="36">
        <f t="shared" si="0"/>
        <v>28616.06818181818</v>
      </c>
      <c r="AJ9" s="36">
        <f t="shared" si="0"/>
        <v>756433.49431818177</v>
      </c>
      <c r="AK9" s="36">
        <f t="shared" si="0"/>
        <v>778802.09090909094</v>
      </c>
      <c r="AL9" s="36">
        <f t="shared" si="0"/>
        <v>89102.90960451978</v>
      </c>
      <c r="AM9" s="36">
        <f t="shared" si="0"/>
        <v>504.22423728813561</v>
      </c>
      <c r="AN9" s="36">
        <f t="shared" ref="AN9:BG9" si="1">AVERAGE(AN12:AN188)</f>
        <v>28.333333333333332</v>
      </c>
      <c r="AO9" s="36">
        <f t="shared" si="1"/>
        <v>117601.88700564971</v>
      </c>
      <c r="AP9" s="36">
        <f t="shared" si="1"/>
        <v>498.0282485875706</v>
      </c>
      <c r="AQ9" s="36">
        <f t="shared" si="1"/>
        <v>100178.48022598871</v>
      </c>
      <c r="AR9" s="36">
        <f t="shared" si="1"/>
        <v>1795.7231638418079</v>
      </c>
      <c r="AS9" s="36">
        <f t="shared" si="1"/>
        <v>1871.3672316384182</v>
      </c>
      <c r="AT9" s="36">
        <f t="shared" si="1"/>
        <v>947.59322033898309</v>
      </c>
      <c r="AU9" s="36">
        <f t="shared" si="1"/>
        <v>3625.463276836158</v>
      </c>
      <c r="AV9" s="36">
        <f t="shared" si="1"/>
        <v>2107.2090395480227</v>
      </c>
      <c r="AW9" s="36">
        <f t="shared" si="1"/>
        <v>54.322033898305087</v>
      </c>
      <c r="AX9" s="36">
        <f t="shared" si="1"/>
        <v>-233.27683615819208</v>
      </c>
      <c r="AY9" s="36">
        <f t="shared" si="1"/>
        <v>-1060.8644067796611</v>
      </c>
      <c r="AZ9" s="36">
        <f t="shared" si="1"/>
        <v>-459.28813559322032</v>
      </c>
      <c r="BA9" s="36">
        <f t="shared" si="1"/>
        <v>-3.4171428571428573</v>
      </c>
      <c r="BB9" s="36">
        <f t="shared" si="1"/>
        <v>4027.9491525423728</v>
      </c>
      <c r="BC9" s="36">
        <f t="shared" si="1"/>
        <v>20.949152542372882</v>
      </c>
      <c r="BD9" s="36">
        <f t="shared" si="1"/>
        <v>177.93678160919541</v>
      </c>
      <c r="BE9" s="36">
        <f t="shared" si="1"/>
        <v>42.022988505747129</v>
      </c>
      <c r="BF9" s="36">
        <f t="shared" si="1"/>
        <v>188.48850574712642</v>
      </c>
      <c r="BG9" s="36">
        <f t="shared" si="1"/>
        <v>42.086206896551722</v>
      </c>
    </row>
    <row r="10" spans="1:59">
      <c r="A10" s="33"/>
      <c r="B10" s="34" t="s">
        <v>423</v>
      </c>
      <c r="C10" s="34"/>
      <c r="D10" s="34"/>
      <c r="E10" s="35"/>
      <c r="F10" s="35"/>
      <c r="G10" s="35"/>
      <c r="H10" s="36">
        <f t="shared" ref="H10:Q10" si="2">SUM(H12:H188)</f>
        <v>3086808128</v>
      </c>
      <c r="I10" s="36">
        <f t="shared" si="2"/>
        <v>3102361026</v>
      </c>
      <c r="J10" s="36">
        <f t="shared" si="2"/>
        <v>126739974</v>
      </c>
      <c r="K10" s="36">
        <f t="shared" si="2"/>
        <v>1700257785</v>
      </c>
      <c r="L10" s="36">
        <f t="shared" si="2"/>
        <v>275462767.48000002</v>
      </c>
      <c r="M10" s="36">
        <f t="shared" si="2"/>
        <v>536423390</v>
      </c>
      <c r="N10" s="36">
        <f t="shared" si="2"/>
        <v>244281688</v>
      </c>
      <c r="O10" s="36">
        <f t="shared" si="2"/>
        <v>2755336</v>
      </c>
      <c r="P10" s="36">
        <f t="shared" si="2"/>
        <v>1697342</v>
      </c>
      <c r="Q10" s="36">
        <f t="shared" si="2"/>
        <v>2918145300</v>
      </c>
      <c r="R10" s="39" t="s">
        <v>417</v>
      </c>
      <c r="S10" s="36">
        <f>SUM(S12:S188)</f>
        <v>143393695.00361663</v>
      </c>
      <c r="T10" s="37" t="s">
        <v>417</v>
      </c>
      <c r="U10" s="36">
        <f t="shared" ref="U10:BG10" si="3">SUM(U12:U188)</f>
        <v>137873593</v>
      </c>
      <c r="V10" s="36">
        <f t="shared" si="3"/>
        <v>449538</v>
      </c>
      <c r="W10" s="36">
        <f t="shared" si="3"/>
        <v>12051465</v>
      </c>
      <c r="X10" s="36">
        <f t="shared" si="3"/>
        <v>63080814</v>
      </c>
      <c r="Y10" s="36">
        <f t="shared" si="3"/>
        <v>5231835</v>
      </c>
      <c r="Z10" s="36">
        <f t="shared" si="3"/>
        <v>11680582</v>
      </c>
      <c r="AA10" s="36">
        <f t="shared" si="3"/>
        <v>11270451</v>
      </c>
      <c r="AB10" s="36">
        <f t="shared" si="3"/>
        <v>1234008</v>
      </c>
      <c r="AC10" s="36">
        <f t="shared" si="3"/>
        <v>5313553</v>
      </c>
      <c r="AD10" s="36">
        <f t="shared" si="3"/>
        <v>1869275.4100000001</v>
      </c>
      <c r="AE10" s="36">
        <f t="shared" si="3"/>
        <v>13267486.119999999</v>
      </c>
      <c r="AF10" s="36">
        <f t="shared" si="3"/>
        <v>1296661</v>
      </c>
      <c r="AG10" s="36">
        <f t="shared" si="3"/>
        <v>1018702</v>
      </c>
      <c r="AH10" s="36">
        <f t="shared" si="3"/>
        <v>6626391</v>
      </c>
      <c r="AI10" s="36">
        <f t="shared" si="3"/>
        <v>5036428</v>
      </c>
      <c r="AJ10" s="36">
        <f t="shared" si="3"/>
        <v>133132295</v>
      </c>
      <c r="AK10" s="36">
        <f t="shared" si="3"/>
        <v>137069168</v>
      </c>
      <c r="AL10" s="36">
        <f t="shared" si="3"/>
        <v>15771215</v>
      </c>
      <c r="AM10" s="36">
        <f t="shared" si="3"/>
        <v>89247.69</v>
      </c>
      <c r="AN10" s="36">
        <f t="shared" si="3"/>
        <v>5015</v>
      </c>
      <c r="AO10" s="36">
        <f t="shared" si="3"/>
        <v>20815534</v>
      </c>
      <c r="AP10" s="36">
        <f t="shared" si="3"/>
        <v>88151</v>
      </c>
      <c r="AQ10" s="36">
        <f t="shared" si="3"/>
        <v>17731591</v>
      </c>
      <c r="AR10" s="36">
        <f t="shared" si="3"/>
        <v>317843</v>
      </c>
      <c r="AS10" s="36">
        <f t="shared" si="3"/>
        <v>331232</v>
      </c>
      <c r="AT10" s="36">
        <f t="shared" si="3"/>
        <v>167724</v>
      </c>
      <c r="AU10" s="36">
        <f t="shared" si="3"/>
        <v>641707</v>
      </c>
      <c r="AV10" s="36">
        <f t="shared" si="3"/>
        <v>372976</v>
      </c>
      <c r="AW10" s="36">
        <f t="shared" si="3"/>
        <v>9615</v>
      </c>
      <c r="AX10" s="36">
        <f t="shared" si="3"/>
        <v>-41290</v>
      </c>
      <c r="AY10" s="36">
        <f t="shared" si="3"/>
        <v>-187773</v>
      </c>
      <c r="AZ10" s="36">
        <f t="shared" si="3"/>
        <v>-81294</v>
      </c>
      <c r="BA10" s="36">
        <f t="shared" si="3"/>
        <v>-598</v>
      </c>
      <c r="BB10" s="36">
        <f t="shared" si="3"/>
        <v>712947</v>
      </c>
      <c r="BC10" s="36">
        <f t="shared" si="3"/>
        <v>3708</v>
      </c>
      <c r="BD10" s="36">
        <f t="shared" si="3"/>
        <v>30961</v>
      </c>
      <c r="BE10" s="36">
        <f t="shared" si="3"/>
        <v>7312</v>
      </c>
      <c r="BF10" s="36">
        <f t="shared" si="3"/>
        <v>32797</v>
      </c>
      <c r="BG10" s="36">
        <f t="shared" si="3"/>
        <v>7323</v>
      </c>
    </row>
    <row r="11" spans="1:59">
      <c r="A11" s="19"/>
      <c r="B11" s="4"/>
      <c r="C11" s="4"/>
      <c r="D11" s="8"/>
      <c r="E11" s="4"/>
      <c r="F11" s="4"/>
      <c r="G11" s="4"/>
      <c r="H11" s="8"/>
      <c r="I11" s="8"/>
      <c r="J11" s="8"/>
      <c r="K11" s="8"/>
      <c r="L11" s="8"/>
      <c r="M11" s="8"/>
      <c r="N11" s="8"/>
      <c r="O11" s="8"/>
      <c r="P11" s="8"/>
      <c r="Q11" s="8"/>
      <c r="R11" s="21"/>
      <c r="S11" s="8" t="s">
        <v>0</v>
      </c>
      <c r="T11" s="23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19"/>
      <c r="BD11" s="8"/>
      <c r="BE11" s="8"/>
      <c r="BF11" s="8"/>
      <c r="BG11" s="8"/>
    </row>
    <row r="12" spans="1:59">
      <c r="A12" s="6">
        <v>1</v>
      </c>
      <c r="B12" s="6" t="s">
        <v>48</v>
      </c>
      <c r="C12" s="3" t="s">
        <v>517</v>
      </c>
      <c r="D12" s="6" t="s">
        <v>81</v>
      </c>
      <c r="E12" s="6" t="s">
        <v>362</v>
      </c>
      <c r="F12" s="7"/>
      <c r="G12" s="7" t="s">
        <v>375</v>
      </c>
      <c r="H12" s="10">
        <v>19068535</v>
      </c>
      <c r="I12" s="10">
        <v>19207695</v>
      </c>
      <c r="J12" s="10">
        <v>946420</v>
      </c>
      <c r="K12" s="10">
        <v>11112901</v>
      </c>
      <c r="L12" s="10">
        <v>1992257</v>
      </c>
      <c r="M12" s="10">
        <v>4427732</v>
      </c>
      <c r="N12" s="10">
        <v>367198</v>
      </c>
      <c r="O12" s="10">
        <v>33473</v>
      </c>
      <c r="P12" s="10">
        <v>0</v>
      </c>
      <c r="Q12" s="10">
        <v>18773864</v>
      </c>
      <c r="R12" s="12">
        <v>0.16189999999999999</v>
      </c>
      <c r="S12" s="10">
        <v>0</v>
      </c>
      <c r="T12" s="24">
        <f>740245/18740391</f>
        <v>3.9499976281177913E-2</v>
      </c>
      <c r="U12" s="10">
        <v>747166</v>
      </c>
      <c r="V12" s="10">
        <v>0</v>
      </c>
      <c r="W12" s="10">
        <f>139160+2711</f>
        <v>141871</v>
      </c>
      <c r="X12" s="10">
        <v>321856</v>
      </c>
      <c r="Y12" s="10">
        <v>29533</v>
      </c>
      <c r="Z12" s="10">
        <v>69616</v>
      </c>
      <c r="AA12" s="10">
        <f>80353+4582</f>
        <v>84935</v>
      </c>
      <c r="AB12" s="10">
        <v>2044</v>
      </c>
      <c r="AC12" s="10">
        <v>103253</v>
      </c>
      <c r="AD12" s="10">
        <v>35437</v>
      </c>
      <c r="AE12" s="10">
        <f>7250+20635+13638</f>
        <v>41523</v>
      </c>
      <c r="AF12" s="10">
        <v>4259</v>
      </c>
      <c r="AG12" s="10">
        <v>2842</v>
      </c>
      <c r="AH12" s="10">
        <v>2698</v>
      </c>
      <c r="AI12" s="10">
        <v>0</v>
      </c>
      <c r="AJ12" s="10">
        <v>740740</v>
      </c>
      <c r="AK12" s="10">
        <v>937228</v>
      </c>
      <c r="AL12" s="10">
        <v>111750</v>
      </c>
      <c r="AM12" s="10">
        <v>294</v>
      </c>
      <c r="AN12" s="10">
        <v>0</v>
      </c>
      <c r="AO12" s="10">
        <v>107543</v>
      </c>
      <c r="AP12" s="10">
        <v>0</v>
      </c>
      <c r="AQ12" s="10">
        <v>185586</v>
      </c>
      <c r="AR12" s="10">
        <v>0</v>
      </c>
      <c r="AS12" s="10">
        <v>0</v>
      </c>
      <c r="AT12" s="10">
        <v>0</v>
      </c>
      <c r="AU12" s="10">
        <v>3471</v>
      </c>
      <c r="AV12" s="10">
        <v>1489</v>
      </c>
      <c r="AW12" s="10">
        <v>751</v>
      </c>
      <c r="AX12" s="10">
        <v>-349</v>
      </c>
      <c r="AY12" s="10">
        <v>-1331</v>
      </c>
      <c r="AZ12" s="10">
        <v>-443</v>
      </c>
      <c r="BA12" s="10">
        <v>0</v>
      </c>
      <c r="BB12" s="10">
        <f t="shared" ref="BB12:BB43" si="4">SUM(AU12:BA12)</f>
        <v>3588</v>
      </c>
      <c r="BC12" s="6">
        <v>58</v>
      </c>
      <c r="BD12" s="10">
        <v>113</v>
      </c>
      <c r="BE12" s="10">
        <v>41</v>
      </c>
      <c r="BF12" s="10">
        <v>123</v>
      </c>
      <c r="BG12" s="10">
        <v>29</v>
      </c>
    </row>
    <row r="13" spans="1:59">
      <c r="A13" s="6">
        <v>1</v>
      </c>
      <c r="B13" s="6" t="s">
        <v>85</v>
      </c>
      <c r="C13" s="7" t="s">
        <v>308</v>
      </c>
      <c r="D13" s="6" t="s">
        <v>494</v>
      </c>
      <c r="E13" s="6" t="s">
        <v>516</v>
      </c>
      <c r="F13" s="7"/>
      <c r="G13" s="7" t="s">
        <v>515</v>
      </c>
      <c r="H13" s="10">
        <v>2616794</v>
      </c>
      <c r="I13" s="10">
        <v>2619620</v>
      </c>
      <c r="J13" s="10">
        <v>117192</v>
      </c>
      <c r="K13" s="10">
        <v>1060715</v>
      </c>
      <c r="L13" s="10">
        <v>535128</v>
      </c>
      <c r="M13" s="10">
        <v>580737</v>
      </c>
      <c r="N13" s="10">
        <v>58301</v>
      </c>
      <c r="O13" s="10">
        <v>1</v>
      </c>
      <c r="P13" s="10">
        <v>0</v>
      </c>
      <c r="Q13" s="10">
        <v>2518277</v>
      </c>
      <c r="R13" s="12">
        <v>0.16</v>
      </c>
      <c r="S13" s="10">
        <v>0</v>
      </c>
      <c r="T13" s="24">
        <f>234189/2518156</f>
        <v>9.3000195381064563E-2</v>
      </c>
      <c r="U13" s="10">
        <v>234061</v>
      </c>
      <c r="V13" s="10">
        <v>0</v>
      </c>
      <c r="W13" s="10">
        <f>2609+339+187</f>
        <v>3135</v>
      </c>
      <c r="X13" s="10">
        <v>37202</v>
      </c>
      <c r="Y13" s="10">
        <v>3292</v>
      </c>
      <c r="Z13" s="10">
        <v>7025</v>
      </c>
      <c r="AA13" s="10">
        <v>10805</v>
      </c>
      <c r="AB13" s="10">
        <v>1800</v>
      </c>
      <c r="AC13" s="10">
        <v>3689</v>
      </c>
      <c r="AD13" s="10">
        <v>0</v>
      </c>
      <c r="AE13" s="10">
        <f>2099+4094+1708</f>
        <v>7901</v>
      </c>
      <c r="AF13" s="10">
        <v>0</v>
      </c>
      <c r="AG13" s="10">
        <v>1427</v>
      </c>
      <c r="AH13" s="10">
        <v>0</v>
      </c>
      <c r="AI13" s="10">
        <v>69021</v>
      </c>
      <c r="AJ13" s="10">
        <v>81987</v>
      </c>
      <c r="AK13" s="10">
        <v>75695</v>
      </c>
      <c r="AL13" s="10">
        <v>11888</v>
      </c>
      <c r="AM13" s="10">
        <v>0</v>
      </c>
      <c r="AN13" s="10">
        <v>0</v>
      </c>
      <c r="AO13" s="10">
        <v>125001</v>
      </c>
      <c r="AP13" s="10">
        <v>21</v>
      </c>
      <c r="AQ13" s="10">
        <v>42117</v>
      </c>
      <c r="AR13" s="10">
        <v>28179</v>
      </c>
      <c r="AS13" s="10">
        <v>28200</v>
      </c>
      <c r="AT13" s="10">
        <v>0</v>
      </c>
      <c r="AU13" s="10">
        <v>403</v>
      </c>
      <c r="AV13" s="10">
        <v>259</v>
      </c>
      <c r="AW13" s="10">
        <f>15-3</f>
        <v>12</v>
      </c>
      <c r="AX13" s="10">
        <v>-76</v>
      </c>
      <c r="AY13" s="10">
        <v>-77</v>
      </c>
      <c r="AZ13" s="10">
        <v>-52</v>
      </c>
      <c r="BA13" s="10">
        <v>-1</v>
      </c>
      <c r="BB13" s="10">
        <f t="shared" si="4"/>
        <v>468</v>
      </c>
      <c r="BC13" s="6">
        <v>7</v>
      </c>
      <c r="BD13" s="10">
        <v>16</v>
      </c>
      <c r="BE13" s="10">
        <v>2</v>
      </c>
      <c r="BF13" s="10">
        <v>17</v>
      </c>
      <c r="BG13" s="10">
        <v>0</v>
      </c>
    </row>
    <row r="14" spans="1:59">
      <c r="A14" s="6">
        <v>1</v>
      </c>
      <c r="B14" s="6" t="s">
        <v>216</v>
      </c>
      <c r="C14" s="7" t="s">
        <v>479</v>
      </c>
      <c r="D14" s="6" t="s">
        <v>94</v>
      </c>
      <c r="E14" s="6" t="s">
        <v>382</v>
      </c>
      <c r="F14" s="7"/>
      <c r="G14" s="7" t="s">
        <v>366</v>
      </c>
      <c r="H14" s="10">
        <v>5094709</v>
      </c>
      <c r="I14" s="10">
        <v>5130554</v>
      </c>
      <c r="J14" s="10">
        <v>467164</v>
      </c>
      <c r="K14" s="10">
        <v>2025150</v>
      </c>
      <c r="L14" s="10">
        <v>376785</v>
      </c>
      <c r="M14" s="10">
        <v>670010</v>
      </c>
      <c r="N14" s="10">
        <v>241643</v>
      </c>
      <c r="O14" s="10">
        <v>0</v>
      </c>
      <c r="P14" s="10">
        <v>0</v>
      </c>
      <c r="Q14" s="10">
        <v>3716427</v>
      </c>
      <c r="R14" s="12">
        <v>0.41</v>
      </c>
      <c r="S14" s="10">
        <v>0</v>
      </c>
      <c r="T14" s="24">
        <f>279231/3626371</f>
        <v>7.7000119403116782E-2</v>
      </c>
      <c r="U14" s="10">
        <v>277664</v>
      </c>
      <c r="V14" s="10">
        <v>0</v>
      </c>
      <c r="W14" s="10">
        <f>15668+420+428</f>
        <v>16516</v>
      </c>
      <c r="X14" s="10">
        <v>65979</v>
      </c>
      <c r="Y14" s="10">
        <v>6880</v>
      </c>
      <c r="Z14" s="10">
        <v>4437</v>
      </c>
      <c r="AA14" s="10">
        <f>9816+1888</f>
        <v>11704</v>
      </c>
      <c r="AB14" s="10">
        <v>0</v>
      </c>
      <c r="AC14" s="10">
        <v>4979</v>
      </c>
      <c r="AD14" s="10">
        <v>4186</v>
      </c>
      <c r="AE14" s="10">
        <f>6079+5055+6364</f>
        <v>17498</v>
      </c>
      <c r="AF14" s="10">
        <v>6030</v>
      </c>
      <c r="AG14" s="10">
        <v>0</v>
      </c>
      <c r="AH14" s="10">
        <v>18221</v>
      </c>
      <c r="AI14" s="10">
        <v>0</v>
      </c>
      <c r="AJ14" s="10">
        <v>165017</v>
      </c>
      <c r="AK14" s="10">
        <v>172437</v>
      </c>
      <c r="AL14" s="10">
        <v>19487</v>
      </c>
      <c r="AM14" s="10">
        <v>0</v>
      </c>
      <c r="AN14" s="10">
        <v>0</v>
      </c>
      <c r="AO14" s="10">
        <v>129052</v>
      </c>
      <c r="AP14" s="10">
        <v>0</v>
      </c>
      <c r="AQ14" s="10">
        <v>20408</v>
      </c>
      <c r="AR14" s="10">
        <v>0</v>
      </c>
      <c r="AS14" s="10">
        <v>0</v>
      </c>
      <c r="AT14" s="10">
        <v>0</v>
      </c>
      <c r="AU14" s="10">
        <v>887</v>
      </c>
      <c r="AV14" s="10">
        <v>372</v>
      </c>
      <c r="AW14" s="10">
        <v>8</v>
      </c>
      <c r="AX14" s="10">
        <v>-96</v>
      </c>
      <c r="AY14" s="10">
        <v>-89</v>
      </c>
      <c r="AZ14" s="10">
        <v>-118</v>
      </c>
      <c r="BA14" s="10">
        <v>0</v>
      </c>
      <c r="BB14" s="10">
        <f t="shared" si="4"/>
        <v>964</v>
      </c>
      <c r="BC14" s="6">
        <v>1</v>
      </c>
      <c r="BD14" s="10">
        <v>36</v>
      </c>
      <c r="BE14" s="10">
        <v>13</v>
      </c>
      <c r="BF14" s="10">
        <v>69</v>
      </c>
      <c r="BG14" s="10">
        <v>0</v>
      </c>
    </row>
    <row r="15" spans="1:59">
      <c r="A15" s="6">
        <v>1</v>
      </c>
      <c r="B15" s="6" t="s">
        <v>221</v>
      </c>
      <c r="C15" s="7"/>
      <c r="D15" s="6" t="s">
        <v>81</v>
      </c>
      <c r="E15" s="6" t="s">
        <v>362</v>
      </c>
      <c r="F15" s="7"/>
      <c r="G15" s="7" t="s">
        <v>375</v>
      </c>
      <c r="H15" s="10">
        <f>22797720-H12</f>
        <v>3729185</v>
      </c>
      <c r="I15" s="10">
        <f>22960451-I12</f>
        <v>3752756</v>
      </c>
      <c r="J15" s="10">
        <f>1165022-J12</f>
        <v>218602</v>
      </c>
      <c r="K15" s="10">
        <f>13278370-K12</f>
        <v>2165469</v>
      </c>
      <c r="L15" s="10">
        <f>2378767-L12</f>
        <v>386510</v>
      </c>
      <c r="M15" s="10">
        <f>5123994-M12</f>
        <v>696262</v>
      </c>
      <c r="N15" s="10">
        <f>456936-N12</f>
        <v>89738</v>
      </c>
      <c r="O15" s="10">
        <f>41733-O12</f>
        <v>8260</v>
      </c>
      <c r="P15" s="10">
        <v>0</v>
      </c>
      <c r="Q15" s="10">
        <f>22231396-Q12</f>
        <v>3457532</v>
      </c>
      <c r="R15" s="12">
        <v>0.13789999999999999</v>
      </c>
      <c r="S15" s="10">
        <v>0</v>
      </c>
      <c r="T15" s="24">
        <f>835548/22405892</f>
        <v>3.7291441019174774E-2</v>
      </c>
      <c r="U15" s="10">
        <f>836925-U12</f>
        <v>89759</v>
      </c>
      <c r="V15" s="10">
        <v>0</v>
      </c>
      <c r="W15" s="10">
        <f>(162731+4425)-W12</f>
        <v>25285</v>
      </c>
      <c r="X15" s="10">
        <f>390329-X12</f>
        <v>68473</v>
      </c>
      <c r="Y15" s="10">
        <f>36175-Y12</f>
        <v>6642</v>
      </c>
      <c r="Z15" s="10">
        <f>83965-Z12</f>
        <v>14349</v>
      </c>
      <c r="AA15" s="10">
        <f>(97389+5942)-AA12</f>
        <v>18396</v>
      </c>
      <c r="AB15" s="10">
        <f>2403-AB12</f>
        <v>359</v>
      </c>
      <c r="AC15" s="10">
        <f>121893-AC12</f>
        <v>18640</v>
      </c>
      <c r="AD15" s="10">
        <f>69700-AD12</f>
        <v>34263</v>
      </c>
      <c r="AE15" s="10">
        <f>(9146+20907+17543)-AE12</f>
        <v>6073</v>
      </c>
      <c r="AF15" s="10">
        <f>5203-AF12</f>
        <v>944</v>
      </c>
      <c r="AG15" s="10">
        <f>3782-AG12</f>
        <v>940</v>
      </c>
      <c r="AH15" s="10">
        <f>4313-AH12</f>
        <v>1615</v>
      </c>
      <c r="AI15" s="10">
        <v>0</v>
      </c>
      <c r="AJ15" s="10">
        <f>920151-AJ12</f>
        <v>179411</v>
      </c>
      <c r="AK15" s="10" t="s">
        <v>417</v>
      </c>
      <c r="AL15" s="10" t="s">
        <v>417</v>
      </c>
      <c r="AM15" s="10">
        <v>0</v>
      </c>
      <c r="AN15" s="10">
        <v>0</v>
      </c>
      <c r="AO15" s="10">
        <v>0</v>
      </c>
      <c r="AP15" s="10">
        <v>0</v>
      </c>
      <c r="AQ15" s="10" t="s">
        <v>417</v>
      </c>
      <c r="AR15" s="10">
        <v>0</v>
      </c>
      <c r="AS15" s="10">
        <v>0</v>
      </c>
      <c r="AT15" s="10">
        <v>0</v>
      </c>
      <c r="AU15" s="10">
        <v>3471</v>
      </c>
      <c r="AV15" s="10">
        <v>1777</v>
      </c>
      <c r="AW15" s="10">
        <f>802-2</f>
        <v>800</v>
      </c>
      <c r="AX15" s="10">
        <v>-439</v>
      </c>
      <c r="AY15" s="10">
        <v>-1542</v>
      </c>
      <c r="AZ15" s="10">
        <v>-583</v>
      </c>
      <c r="BA15" s="10">
        <v>0</v>
      </c>
      <c r="BB15" s="10">
        <f t="shared" si="4"/>
        <v>3484</v>
      </c>
      <c r="BC15" s="6">
        <v>0</v>
      </c>
      <c r="BD15" s="10">
        <v>0</v>
      </c>
      <c r="BE15" s="10">
        <v>0</v>
      </c>
      <c r="BF15" s="10">
        <v>0</v>
      </c>
      <c r="BG15" s="10">
        <v>0</v>
      </c>
    </row>
    <row r="16" spans="1:59">
      <c r="A16" s="6">
        <v>1</v>
      </c>
      <c r="B16" s="6" t="s">
        <v>467</v>
      </c>
      <c r="C16" s="7" t="s">
        <v>169</v>
      </c>
      <c r="D16" s="6" t="s">
        <v>654</v>
      </c>
      <c r="E16" s="6" t="s">
        <v>362</v>
      </c>
      <c r="F16" s="7"/>
      <c r="G16" s="7" t="s">
        <v>375</v>
      </c>
      <c r="H16" s="10">
        <v>8582434</v>
      </c>
      <c r="I16" s="10">
        <v>8648017</v>
      </c>
      <c r="J16" s="10">
        <v>522837</v>
      </c>
      <c r="K16" s="10">
        <v>3833906</v>
      </c>
      <c r="L16" s="10">
        <v>1346732</v>
      </c>
      <c r="M16" s="10">
        <v>1959787</v>
      </c>
      <c r="N16" s="10">
        <v>313142</v>
      </c>
      <c r="O16" s="10">
        <v>20058</v>
      </c>
      <c r="P16" s="10">
        <v>0</v>
      </c>
      <c r="Q16" s="10">
        <v>7943162</v>
      </c>
      <c r="R16" s="12">
        <v>0.17</v>
      </c>
      <c r="S16" s="10">
        <v>0</v>
      </c>
      <c r="T16" s="24">
        <f>440193/7923104</f>
        <v>5.5558149937196329E-2</v>
      </c>
      <c r="U16" s="10">
        <v>440629</v>
      </c>
      <c r="V16" s="10">
        <v>0</v>
      </c>
      <c r="W16" s="10">
        <f>60569+5014+978</f>
        <v>66561</v>
      </c>
      <c r="X16" s="10">
        <v>167145</v>
      </c>
      <c r="Y16" s="10">
        <v>16479</v>
      </c>
      <c r="Z16" s="10">
        <v>23022</v>
      </c>
      <c r="AA16" s="10">
        <v>24760</v>
      </c>
      <c r="AB16" s="10">
        <v>2333</v>
      </c>
      <c r="AC16" s="10">
        <v>72532</v>
      </c>
      <c r="AD16" s="10">
        <v>5836</v>
      </c>
      <c r="AE16" s="10">
        <f>5620+12239+10591</f>
        <v>28450</v>
      </c>
      <c r="AF16" s="10">
        <v>5266</v>
      </c>
      <c r="AG16" s="10">
        <v>1265</v>
      </c>
      <c r="AH16" s="10">
        <v>17536</v>
      </c>
      <c r="AI16" s="10">
        <v>0</v>
      </c>
      <c r="AJ16" s="10">
        <v>393587</v>
      </c>
      <c r="AK16" s="10">
        <v>395737</v>
      </c>
      <c r="AL16" s="10">
        <v>43247</v>
      </c>
      <c r="AM16" s="10">
        <v>0</v>
      </c>
      <c r="AN16" s="10">
        <v>0</v>
      </c>
      <c r="AO16" s="10">
        <v>129052</v>
      </c>
      <c r="AP16" s="10">
        <v>0</v>
      </c>
      <c r="AQ16" s="10">
        <v>47856</v>
      </c>
      <c r="AR16" s="10">
        <v>0</v>
      </c>
      <c r="AS16" s="10">
        <v>0</v>
      </c>
      <c r="AT16" s="10">
        <v>0</v>
      </c>
      <c r="AU16" s="10">
        <v>1844</v>
      </c>
      <c r="AV16" s="10">
        <v>1157</v>
      </c>
      <c r="AW16" s="10">
        <v>-1</v>
      </c>
      <c r="AX16" s="10">
        <v>-242</v>
      </c>
      <c r="AY16" s="10">
        <v>-873</v>
      </c>
      <c r="AZ16" s="10">
        <v>-110</v>
      </c>
      <c r="BA16" s="10">
        <v>-3</v>
      </c>
      <c r="BB16" s="10">
        <f t="shared" si="4"/>
        <v>1772</v>
      </c>
      <c r="BC16" s="6">
        <v>2</v>
      </c>
      <c r="BD16" s="10">
        <v>31</v>
      </c>
      <c r="BE16" s="10">
        <v>23</v>
      </c>
      <c r="BF16" s="10">
        <v>72</v>
      </c>
      <c r="BG16" s="10">
        <v>5</v>
      </c>
    </row>
    <row r="17" spans="1:59">
      <c r="A17" s="6">
        <v>1</v>
      </c>
      <c r="B17" s="6" t="s">
        <v>585</v>
      </c>
      <c r="C17" s="7" t="s">
        <v>342</v>
      </c>
      <c r="D17" s="6" t="s">
        <v>31</v>
      </c>
      <c r="E17" s="6" t="s">
        <v>434</v>
      </c>
      <c r="F17" s="7"/>
      <c r="G17" s="7" t="s">
        <v>430</v>
      </c>
      <c r="H17" s="10">
        <v>2832034</v>
      </c>
      <c r="I17" s="10">
        <v>2839936</v>
      </c>
      <c r="J17" s="10">
        <v>227043</v>
      </c>
      <c r="K17" s="10">
        <v>762900</v>
      </c>
      <c r="L17" s="10">
        <v>766684</v>
      </c>
      <c r="M17" s="10">
        <v>695438</v>
      </c>
      <c r="N17" s="10">
        <v>53843</v>
      </c>
      <c r="O17" s="10">
        <v>13241</v>
      </c>
      <c r="P17" s="10">
        <v>0</v>
      </c>
      <c r="Q17" s="10">
        <v>2497820</v>
      </c>
      <c r="R17" s="12">
        <v>0.28000000000000003</v>
      </c>
      <c r="S17" s="10">
        <v>0</v>
      </c>
      <c r="T17" s="24">
        <f>199660/2478312</f>
        <v>8.0562899263692381E-2</v>
      </c>
      <c r="U17" s="10">
        <v>199447</v>
      </c>
      <c r="V17" s="10">
        <v>0</v>
      </c>
      <c r="W17" s="10">
        <f>7833+487</f>
        <v>8320</v>
      </c>
      <c r="X17" s="10">
        <v>36916</v>
      </c>
      <c r="Y17" s="10">
        <v>3521</v>
      </c>
      <c r="Z17" s="10">
        <v>6401</v>
      </c>
      <c r="AA17" s="10">
        <f>7802+536</f>
        <v>8338</v>
      </c>
      <c r="AB17" s="10">
        <v>0</v>
      </c>
      <c r="AC17" s="10">
        <v>4992</v>
      </c>
      <c r="AD17" s="10">
        <v>1500</v>
      </c>
      <c r="AE17" s="10">
        <f>1635+6830+2859</f>
        <v>11324</v>
      </c>
      <c r="AF17" s="10">
        <v>2251</v>
      </c>
      <c r="AG17" s="10">
        <v>0</v>
      </c>
      <c r="AH17" s="10">
        <v>800</v>
      </c>
      <c r="AI17" s="10">
        <v>7927</v>
      </c>
      <c r="AJ17" s="10">
        <v>87816</v>
      </c>
      <c r="AK17" s="10">
        <v>91733</v>
      </c>
      <c r="AL17" s="10">
        <v>10639</v>
      </c>
      <c r="AM17" s="10">
        <v>0</v>
      </c>
      <c r="AN17" s="10">
        <v>0</v>
      </c>
      <c r="AO17" s="10">
        <v>129052</v>
      </c>
      <c r="AP17" s="10">
        <v>0</v>
      </c>
      <c r="AQ17" s="10">
        <v>14778</v>
      </c>
      <c r="AR17" s="10">
        <v>0</v>
      </c>
      <c r="AS17" s="10">
        <v>0</v>
      </c>
      <c r="AT17" s="10">
        <v>0</v>
      </c>
      <c r="AU17" s="10">
        <v>560</v>
      </c>
      <c r="AV17" s="10">
        <v>315</v>
      </c>
      <c r="AW17" s="10">
        <v>0</v>
      </c>
      <c r="AX17" s="10">
        <v>-75</v>
      </c>
      <c r="AY17" s="10">
        <v>-106</v>
      </c>
      <c r="AZ17" s="10">
        <v>-89</v>
      </c>
      <c r="BA17" s="10">
        <v>0</v>
      </c>
      <c r="BB17" s="10">
        <f t="shared" si="4"/>
        <v>605</v>
      </c>
      <c r="BC17" s="6">
        <v>0</v>
      </c>
      <c r="BD17" s="10">
        <v>20</v>
      </c>
      <c r="BE17" s="10">
        <v>10</v>
      </c>
      <c r="BF17" s="10">
        <v>58</v>
      </c>
      <c r="BG17" s="10">
        <v>1</v>
      </c>
    </row>
    <row r="18" spans="1:59">
      <c r="A18" s="6">
        <v>2</v>
      </c>
      <c r="B18" s="6" t="s">
        <v>95</v>
      </c>
      <c r="C18" s="6" t="s">
        <v>623</v>
      </c>
      <c r="D18" s="6" t="s">
        <v>262</v>
      </c>
      <c r="E18" s="6" t="s">
        <v>151</v>
      </c>
      <c r="F18" s="7"/>
      <c r="G18" s="7" t="s">
        <v>141</v>
      </c>
      <c r="H18" s="10">
        <v>2454871</v>
      </c>
      <c r="I18" s="10">
        <v>2464894</v>
      </c>
      <c r="J18" s="10">
        <v>221884</v>
      </c>
      <c r="K18" s="10">
        <v>1845207</v>
      </c>
      <c r="L18" s="10">
        <v>181088</v>
      </c>
      <c r="M18" s="10">
        <v>149602</v>
      </c>
      <c r="N18" s="10">
        <v>5605</v>
      </c>
      <c r="O18" s="10">
        <v>5514</v>
      </c>
      <c r="P18" s="10">
        <v>0</v>
      </c>
      <c r="Q18" s="10">
        <v>2423360</v>
      </c>
      <c r="R18" s="12">
        <v>0.1</v>
      </c>
      <c r="S18" s="10">
        <v>0</v>
      </c>
      <c r="T18" s="24">
        <f>241785/2417846</f>
        <v>0.10000016543650836</v>
      </c>
      <c r="U18" s="10">
        <v>236278</v>
      </c>
      <c r="V18" s="10">
        <v>0</v>
      </c>
      <c r="W18" s="10">
        <f>10023+363</f>
        <v>10386</v>
      </c>
      <c r="X18" s="10">
        <v>94059</v>
      </c>
      <c r="Y18" s="10">
        <v>6504</v>
      </c>
      <c r="Z18" s="10">
        <v>7102</v>
      </c>
      <c r="AA18" s="10">
        <v>18845</v>
      </c>
      <c r="AB18" s="10">
        <v>13882</v>
      </c>
      <c r="AC18" s="10">
        <v>5923</v>
      </c>
      <c r="AD18" s="10">
        <v>810</v>
      </c>
      <c r="AE18" s="10">
        <f>3623+1428+6308</f>
        <v>11359</v>
      </c>
      <c r="AF18" s="10">
        <v>1841</v>
      </c>
      <c r="AG18" s="10">
        <v>0</v>
      </c>
      <c r="AH18" s="10">
        <v>11635</v>
      </c>
      <c r="AI18" s="10">
        <v>122815</v>
      </c>
      <c r="AJ18" s="10">
        <v>182382</v>
      </c>
      <c r="AK18" s="10">
        <v>241803</v>
      </c>
      <c r="AL18" s="10">
        <v>4540</v>
      </c>
      <c r="AM18" s="10">
        <v>6</v>
      </c>
      <c r="AN18" s="10">
        <v>0</v>
      </c>
      <c r="AO18" s="10">
        <v>71313</v>
      </c>
      <c r="AP18" s="10">
        <v>0</v>
      </c>
      <c r="AQ18" s="10">
        <v>3017</v>
      </c>
      <c r="AR18" s="10">
        <v>0</v>
      </c>
      <c r="AS18" s="10">
        <v>0</v>
      </c>
      <c r="AT18" s="10">
        <v>0</v>
      </c>
      <c r="AU18" s="10">
        <v>627</v>
      </c>
      <c r="AV18" s="10">
        <v>256</v>
      </c>
      <c r="AW18" s="10">
        <v>0</v>
      </c>
      <c r="AX18" s="10">
        <v>-49</v>
      </c>
      <c r="AY18" s="10">
        <v>-206</v>
      </c>
      <c r="AZ18" s="10">
        <v>-74</v>
      </c>
      <c r="BA18" s="10">
        <v>0</v>
      </c>
      <c r="BB18" s="10">
        <f t="shared" si="4"/>
        <v>554</v>
      </c>
      <c r="BC18" s="6">
        <v>0</v>
      </c>
      <c r="BD18" s="10">
        <v>30</v>
      </c>
      <c r="BE18" s="10">
        <v>0</v>
      </c>
      <c r="BF18" s="10">
        <v>34</v>
      </c>
      <c r="BG18" s="10">
        <v>10</v>
      </c>
    </row>
    <row r="19" spans="1:59">
      <c r="A19" s="6">
        <v>2</v>
      </c>
      <c r="B19" s="6" t="s">
        <v>111</v>
      </c>
      <c r="C19" s="7" t="s">
        <v>37</v>
      </c>
      <c r="D19" s="6" t="s">
        <v>26</v>
      </c>
      <c r="E19" s="6" t="s">
        <v>447</v>
      </c>
      <c r="F19" s="7" t="s">
        <v>441</v>
      </c>
      <c r="G19" s="7" t="s">
        <v>433</v>
      </c>
      <c r="H19" s="10">
        <v>16067691</v>
      </c>
      <c r="I19" s="10">
        <v>16193688</v>
      </c>
      <c r="J19" s="10">
        <v>667740</v>
      </c>
      <c r="K19" s="10">
        <v>5671579</v>
      </c>
      <c r="L19" s="10">
        <v>1524063</v>
      </c>
      <c r="M19" s="10">
        <v>4973765</v>
      </c>
      <c r="N19" s="10">
        <v>1636830</v>
      </c>
      <c r="O19" s="10">
        <v>2727</v>
      </c>
      <c r="P19" s="10">
        <v>0</v>
      </c>
      <c r="Q19" s="10">
        <v>14384301</v>
      </c>
      <c r="R19" s="12">
        <v>0.26</v>
      </c>
      <c r="S19" s="10">
        <v>38249</v>
      </c>
      <c r="T19" s="24">
        <f>574601/14343325</f>
        <v>4.0060515954285357E-2</v>
      </c>
      <c r="U19" s="10">
        <v>575059</v>
      </c>
      <c r="V19" s="10">
        <v>0</v>
      </c>
      <c r="W19" s="10">
        <f>125997+0+891</f>
        <v>126888</v>
      </c>
      <c r="X19" s="10">
        <v>269023</v>
      </c>
      <c r="Y19" s="10">
        <v>22502</v>
      </c>
      <c r="Z19" s="10">
        <v>48120</v>
      </c>
      <c r="AA19" s="10">
        <f>57324+4610</f>
        <v>61934</v>
      </c>
      <c r="AB19" s="10">
        <v>10626</v>
      </c>
      <c r="AC19" s="10">
        <v>15</v>
      </c>
      <c r="AD19" s="10">
        <v>6465</v>
      </c>
      <c r="AE19" s="10">
        <f>11055+23060+20934</f>
        <v>55049</v>
      </c>
      <c r="AF19" s="10">
        <v>5401</v>
      </c>
      <c r="AG19" s="10">
        <v>5233</v>
      </c>
      <c r="AH19" s="10">
        <v>17446</v>
      </c>
      <c r="AI19" s="10">
        <v>0</v>
      </c>
      <c r="AJ19" s="10">
        <v>560154</v>
      </c>
      <c r="AK19" s="10">
        <v>591535</v>
      </c>
      <c r="AL19" s="10">
        <v>66023</v>
      </c>
      <c r="AM19" s="10">
        <v>0</v>
      </c>
      <c r="AN19" s="10">
        <v>2500</v>
      </c>
      <c r="AO19" s="10">
        <v>129052</v>
      </c>
      <c r="AP19" s="10">
        <v>0</v>
      </c>
      <c r="AQ19" s="10">
        <v>81491</v>
      </c>
      <c r="AR19" s="10">
        <v>0</v>
      </c>
      <c r="AS19" s="10">
        <v>0</v>
      </c>
      <c r="AT19" s="10">
        <v>0</v>
      </c>
      <c r="AU19" s="10">
        <v>4020</v>
      </c>
      <c r="AV19" s="10">
        <v>1589</v>
      </c>
      <c r="AW19" s="10">
        <f>51-1</f>
        <v>50</v>
      </c>
      <c r="AX19" s="10">
        <v>-236</v>
      </c>
      <c r="AY19" s="10">
        <v>-565</v>
      </c>
      <c r="AZ19" s="10">
        <v>-555</v>
      </c>
      <c r="BA19" s="10">
        <v>-4</v>
      </c>
      <c r="BB19" s="10">
        <f t="shared" si="4"/>
        <v>4299</v>
      </c>
      <c r="BC19" s="6">
        <v>53</v>
      </c>
      <c r="BD19" s="10">
        <v>144</v>
      </c>
      <c r="BE19" s="10">
        <v>75</v>
      </c>
      <c r="BF19" s="10">
        <v>302</v>
      </c>
      <c r="BG19" s="10">
        <v>0</v>
      </c>
    </row>
    <row r="20" spans="1:59">
      <c r="A20" s="6">
        <v>2</v>
      </c>
      <c r="B20" s="6" t="s">
        <v>172</v>
      </c>
      <c r="C20" s="7" t="s">
        <v>371</v>
      </c>
      <c r="D20" s="6" t="s">
        <v>397</v>
      </c>
      <c r="E20" s="6" t="s">
        <v>447</v>
      </c>
      <c r="F20" s="7" t="s">
        <v>192</v>
      </c>
      <c r="G20" s="7" t="s">
        <v>433</v>
      </c>
      <c r="H20" s="10">
        <v>12212410</v>
      </c>
      <c r="I20" s="10">
        <v>12231755</v>
      </c>
      <c r="J20" s="10">
        <v>1296425</v>
      </c>
      <c r="K20" s="10">
        <v>6233829</v>
      </c>
      <c r="L20" s="10">
        <v>921044</v>
      </c>
      <c r="M20" s="10">
        <v>2388894</v>
      </c>
      <c r="N20" s="10">
        <v>187698</v>
      </c>
      <c r="O20" s="10">
        <v>40854</v>
      </c>
      <c r="P20" s="10">
        <v>0</v>
      </c>
      <c r="Q20" s="10">
        <v>10500180</v>
      </c>
      <c r="R20" s="12">
        <v>0.18</v>
      </c>
      <c r="S20" s="10">
        <v>0</v>
      </c>
      <c r="T20" s="24">
        <f>679856/10459326</f>
        <v>6.4999981834393539E-2</v>
      </c>
      <c r="U20" s="10">
        <v>683155</v>
      </c>
      <c r="V20" s="10">
        <v>0</v>
      </c>
      <c r="W20" s="10">
        <f>19345+681</f>
        <v>20026</v>
      </c>
      <c r="X20" s="10">
        <v>296753</v>
      </c>
      <c r="Y20" s="10">
        <v>24396</v>
      </c>
      <c r="Z20" s="10">
        <v>48313</v>
      </c>
      <c r="AA20" s="10">
        <f>51080+4760</f>
        <v>55840</v>
      </c>
      <c r="AB20" s="10">
        <v>23189</v>
      </c>
      <c r="AC20" s="10">
        <v>93639</v>
      </c>
      <c r="AD20" s="10">
        <v>6744</v>
      </c>
      <c r="AE20" s="10">
        <f>11128+10852+9540</f>
        <v>31520</v>
      </c>
      <c r="AF20" s="10">
        <v>250</v>
      </c>
      <c r="AG20" s="10">
        <v>7242</v>
      </c>
      <c r="AH20" s="10">
        <v>1210</v>
      </c>
      <c r="AI20" s="10">
        <v>0</v>
      </c>
      <c r="AJ20" s="10">
        <v>614020</v>
      </c>
      <c r="AK20" s="10">
        <v>619196</v>
      </c>
      <c r="AL20" s="10">
        <v>52569</v>
      </c>
      <c r="AM20" s="10">
        <v>0</v>
      </c>
      <c r="AN20" s="10">
        <v>0</v>
      </c>
      <c r="AO20" s="10">
        <v>129052</v>
      </c>
      <c r="AP20" s="10">
        <v>0</v>
      </c>
      <c r="AQ20" s="10">
        <v>53532</v>
      </c>
      <c r="AR20" s="10">
        <v>0</v>
      </c>
      <c r="AS20" s="10">
        <v>0</v>
      </c>
      <c r="AT20" s="10">
        <v>0</v>
      </c>
      <c r="AU20" s="10">
        <v>1811</v>
      </c>
      <c r="AV20" s="10">
        <v>2451</v>
      </c>
      <c r="AW20" s="10">
        <v>-4</v>
      </c>
      <c r="AX20" s="10">
        <v>-81</v>
      </c>
      <c r="AY20" s="10">
        <v>-1749</v>
      </c>
      <c r="AZ20" s="10">
        <v>-299</v>
      </c>
      <c r="BA20" s="10">
        <v>-12</v>
      </c>
      <c r="BB20" s="10">
        <f t="shared" si="4"/>
        <v>2117</v>
      </c>
      <c r="BC20" s="6">
        <v>2</v>
      </c>
      <c r="BD20" s="10">
        <v>104</v>
      </c>
      <c r="BE20" s="10">
        <v>14</v>
      </c>
      <c r="BF20" s="10">
        <v>60</v>
      </c>
      <c r="BG20" s="10">
        <v>121</v>
      </c>
    </row>
    <row r="21" spans="1:59">
      <c r="A21" s="6">
        <v>2</v>
      </c>
      <c r="B21" s="6" t="s">
        <v>242</v>
      </c>
      <c r="C21" s="7" t="s">
        <v>583</v>
      </c>
      <c r="D21" s="6" t="s">
        <v>239</v>
      </c>
      <c r="E21" s="6" t="s">
        <v>447</v>
      </c>
      <c r="F21" s="7" t="s">
        <v>192</v>
      </c>
      <c r="G21" s="7" t="s">
        <v>433</v>
      </c>
      <c r="H21" s="10">
        <v>6911603</v>
      </c>
      <c r="I21" s="10">
        <v>6924405</v>
      </c>
      <c r="J21" s="10">
        <v>978649</v>
      </c>
      <c r="K21" s="10">
        <v>3362965</v>
      </c>
      <c r="L21" s="10">
        <v>309902</v>
      </c>
      <c r="M21" s="10">
        <v>1459056</v>
      </c>
      <c r="N21" s="10">
        <v>112483</v>
      </c>
      <c r="O21" s="10">
        <v>37322</v>
      </c>
      <c r="P21" s="10">
        <v>0</v>
      </c>
      <c r="Q21" s="10">
        <v>5726283</v>
      </c>
      <c r="R21" s="12">
        <v>0.14000000000000001</v>
      </c>
      <c r="S21" s="10">
        <v>133604</v>
      </c>
      <c r="T21" s="24">
        <f>446363/5569417</f>
        <v>8.0145372486922772E-2</v>
      </c>
      <c r="U21" s="10">
        <v>444555</v>
      </c>
      <c r="V21" s="10">
        <v>0</v>
      </c>
      <c r="W21" s="10">
        <f>6159+6841+380</f>
        <v>13380</v>
      </c>
      <c r="X21" s="10">
        <v>148011</v>
      </c>
      <c r="Y21" s="10">
        <v>13753</v>
      </c>
      <c r="Z21" s="10">
        <v>23145</v>
      </c>
      <c r="AA21" s="10">
        <v>41576</v>
      </c>
      <c r="AB21" s="10">
        <v>16925</v>
      </c>
      <c r="AC21" s="10">
        <v>32767</v>
      </c>
      <c r="AD21" s="10">
        <v>25620</v>
      </c>
      <c r="AE21" s="10">
        <f>8186+10466+8371</f>
        <v>27023</v>
      </c>
      <c r="AF21" s="10">
        <v>4997</v>
      </c>
      <c r="AG21" s="10">
        <v>6914</v>
      </c>
      <c r="AH21" s="10">
        <v>14066</v>
      </c>
      <c r="AI21" s="10">
        <v>41576</v>
      </c>
      <c r="AJ21" s="10">
        <v>379832</v>
      </c>
      <c r="AK21" s="10">
        <v>409981</v>
      </c>
      <c r="AL21" s="10">
        <v>36892</v>
      </c>
      <c r="AM21" s="10">
        <v>0</v>
      </c>
      <c r="AN21" s="10">
        <v>0</v>
      </c>
      <c r="AO21" s="10">
        <v>128877</v>
      </c>
      <c r="AP21" s="10">
        <v>0</v>
      </c>
      <c r="AQ21" s="10">
        <v>23451</v>
      </c>
      <c r="AR21" s="10">
        <v>0</v>
      </c>
      <c r="AS21" s="10">
        <v>0</v>
      </c>
      <c r="AT21" s="10">
        <v>0</v>
      </c>
      <c r="AU21" s="10">
        <v>1788</v>
      </c>
      <c r="AV21" s="10">
        <v>1241</v>
      </c>
      <c r="AW21" s="10">
        <f>11+8</f>
        <v>19</v>
      </c>
      <c r="AX21" s="10">
        <v>-58</v>
      </c>
      <c r="AY21" s="10">
        <v>-1566</v>
      </c>
      <c r="AZ21" s="10">
        <v>-309</v>
      </c>
      <c r="BA21" s="10">
        <v>0</v>
      </c>
      <c r="BB21" s="10">
        <f t="shared" si="4"/>
        <v>1115</v>
      </c>
      <c r="BC21" s="6">
        <v>9</v>
      </c>
      <c r="BD21" s="10">
        <v>268</v>
      </c>
      <c r="BE21" s="10">
        <v>20</v>
      </c>
      <c r="BF21" s="10">
        <v>9</v>
      </c>
      <c r="BG21" s="10">
        <v>12</v>
      </c>
    </row>
    <row r="22" spans="1:59">
      <c r="A22" s="6">
        <v>2</v>
      </c>
      <c r="B22" s="6" t="s">
        <v>344</v>
      </c>
      <c r="C22" s="7"/>
      <c r="D22" s="6" t="s">
        <v>262</v>
      </c>
      <c r="E22" s="6" t="s">
        <v>151</v>
      </c>
      <c r="F22" s="7"/>
      <c r="G22" s="7" t="s">
        <v>141</v>
      </c>
      <c r="H22" s="10">
        <v>2034083</v>
      </c>
      <c r="I22" s="10">
        <v>2036313</v>
      </c>
      <c r="J22" s="10">
        <v>210138</v>
      </c>
      <c r="K22" s="10">
        <v>1139685</v>
      </c>
      <c r="L22" s="10">
        <v>181545</v>
      </c>
      <c r="M22" s="10">
        <v>121416</v>
      </c>
      <c r="N22" s="10">
        <v>58945</v>
      </c>
      <c r="O22" s="10">
        <v>7100</v>
      </c>
      <c r="P22" s="10">
        <v>0</v>
      </c>
      <c r="Q22" s="10">
        <v>1635965</v>
      </c>
      <c r="R22" s="12">
        <v>0.62</v>
      </c>
      <c r="S22" s="10">
        <v>0</v>
      </c>
      <c r="T22" s="24">
        <f>127051/1628865</f>
        <v>7.7999711455522716E-2</v>
      </c>
      <c r="U22" s="10">
        <v>126903</v>
      </c>
      <c r="V22" s="10">
        <v>0</v>
      </c>
      <c r="W22" s="10">
        <f>2230+222</f>
        <v>2452</v>
      </c>
      <c r="X22" s="10">
        <v>56870</v>
      </c>
      <c r="Y22" s="10">
        <v>4462</v>
      </c>
      <c r="Z22" s="10">
        <v>2485</v>
      </c>
      <c r="AA22" s="10">
        <v>10370</v>
      </c>
      <c r="AB22" s="10">
        <v>8066</v>
      </c>
      <c r="AC22" s="10">
        <v>488</v>
      </c>
      <c r="AD22" s="10">
        <v>4620</v>
      </c>
      <c r="AE22" s="10">
        <f>3034+2069+3344</f>
        <v>8447</v>
      </c>
      <c r="AF22" s="10">
        <v>2943</v>
      </c>
      <c r="AG22" s="10">
        <v>121</v>
      </c>
      <c r="AH22" s="10">
        <v>1733</v>
      </c>
      <c r="AI22" s="10">
        <v>0</v>
      </c>
      <c r="AJ22" s="10">
        <v>109676</v>
      </c>
      <c r="AK22" s="10" t="s">
        <v>417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95956</v>
      </c>
      <c r="AR22" s="10">
        <v>0</v>
      </c>
      <c r="AS22" s="10">
        <v>0</v>
      </c>
      <c r="AT22" s="10">
        <v>0</v>
      </c>
      <c r="AU22" s="10">
        <v>0</v>
      </c>
      <c r="AV22" s="10">
        <v>297</v>
      </c>
      <c r="AW22" s="10">
        <v>1240</v>
      </c>
      <c r="AX22" s="10">
        <v>-43</v>
      </c>
      <c r="AY22" s="10">
        <v>-185</v>
      </c>
      <c r="AZ22" s="10">
        <v>-32</v>
      </c>
      <c r="BA22" s="10">
        <v>0</v>
      </c>
      <c r="BB22" s="10">
        <f t="shared" si="4"/>
        <v>1277</v>
      </c>
      <c r="BC22" s="6">
        <v>1</v>
      </c>
      <c r="BD22" s="10">
        <v>4</v>
      </c>
      <c r="BE22" s="10">
        <v>5</v>
      </c>
      <c r="BF22" s="10">
        <v>6</v>
      </c>
      <c r="BG22" s="10">
        <v>17</v>
      </c>
    </row>
    <row r="23" spans="1:59">
      <c r="A23" s="6">
        <v>2</v>
      </c>
      <c r="B23" s="6" t="s">
        <v>363</v>
      </c>
      <c r="C23" s="7" t="s">
        <v>390</v>
      </c>
      <c r="D23" s="6" t="s">
        <v>282</v>
      </c>
      <c r="E23" s="6" t="s">
        <v>447</v>
      </c>
      <c r="F23" s="7" t="s">
        <v>192</v>
      </c>
      <c r="G23" s="7" t="s">
        <v>433</v>
      </c>
      <c r="H23" s="10">
        <v>9401545</v>
      </c>
      <c r="I23" s="10">
        <v>9437153</v>
      </c>
      <c r="J23" s="10">
        <v>1288946</v>
      </c>
      <c r="K23" s="10">
        <v>4948393</v>
      </c>
      <c r="L23" s="10">
        <v>384712</v>
      </c>
      <c r="M23" s="10">
        <v>1798748</v>
      </c>
      <c r="N23" s="10">
        <v>149745</v>
      </c>
      <c r="O23" s="10">
        <v>36400</v>
      </c>
      <c r="P23" s="10">
        <v>0</v>
      </c>
      <c r="Q23" s="10">
        <v>7916898</v>
      </c>
      <c r="R23" s="12">
        <v>0.15</v>
      </c>
      <c r="S23" s="10">
        <v>0</v>
      </c>
      <c r="T23" s="24">
        <f>604625/7880498</f>
        <v>7.6724212099286107E-2</v>
      </c>
      <c r="U23" s="10">
        <v>598900</v>
      </c>
      <c r="V23" s="10">
        <v>0</v>
      </c>
      <c r="W23" s="10">
        <f>35608+725</f>
        <v>36333</v>
      </c>
      <c r="X23" s="10">
        <v>215708</v>
      </c>
      <c r="Y23" s="10">
        <v>19741</v>
      </c>
      <c r="Z23" s="10">
        <v>38737</v>
      </c>
      <c r="AA23" s="10">
        <f>51044+0</f>
        <v>51044</v>
      </c>
      <c r="AB23" s="10">
        <v>16462</v>
      </c>
      <c r="AC23" s="10">
        <v>56792</v>
      </c>
      <c r="AD23" s="10">
        <v>3960</v>
      </c>
      <c r="AE23" s="10">
        <f>11345+15037+16597</f>
        <v>42979</v>
      </c>
      <c r="AF23" s="10">
        <v>8436</v>
      </c>
      <c r="AG23" s="10">
        <v>0</v>
      </c>
      <c r="AH23" s="10">
        <v>49720</v>
      </c>
      <c r="AI23" s="10">
        <v>387020</v>
      </c>
      <c r="AJ23" s="10">
        <v>556592</v>
      </c>
      <c r="AK23" s="10">
        <v>603837</v>
      </c>
      <c r="AL23" s="10">
        <v>27938</v>
      </c>
      <c r="AM23" s="10">
        <v>0</v>
      </c>
      <c r="AN23" s="10">
        <v>0</v>
      </c>
      <c r="AO23" s="10">
        <v>129052</v>
      </c>
      <c r="AP23" s="10">
        <v>0</v>
      </c>
      <c r="AQ23" s="10">
        <v>13927</v>
      </c>
      <c r="AR23" s="10">
        <v>0</v>
      </c>
      <c r="AS23" s="10">
        <v>0</v>
      </c>
      <c r="AT23" s="10">
        <v>0</v>
      </c>
      <c r="AU23" s="10">
        <v>1500</v>
      </c>
      <c r="AV23" s="10">
        <v>1616</v>
      </c>
      <c r="AW23" s="10">
        <v>-5</v>
      </c>
      <c r="AX23" s="10">
        <v>-52</v>
      </c>
      <c r="AY23" s="10">
        <v>-1467</v>
      </c>
      <c r="AZ23" s="10">
        <v>-162</v>
      </c>
      <c r="BA23" s="10">
        <v>0</v>
      </c>
      <c r="BB23" s="10">
        <f t="shared" si="4"/>
        <v>1430</v>
      </c>
      <c r="BC23" s="6">
        <v>9</v>
      </c>
      <c r="BD23" s="10">
        <v>94</v>
      </c>
      <c r="BE23" s="10">
        <v>17</v>
      </c>
      <c r="BF23" s="10">
        <v>51</v>
      </c>
      <c r="BG23" s="10">
        <v>0</v>
      </c>
    </row>
    <row r="24" spans="1:59">
      <c r="A24" s="6">
        <v>2</v>
      </c>
      <c r="B24" s="6" t="s">
        <v>407</v>
      </c>
      <c r="C24" s="7" t="s">
        <v>27</v>
      </c>
      <c r="D24" s="6" t="s">
        <v>96</v>
      </c>
      <c r="E24" s="6" t="s">
        <v>447</v>
      </c>
      <c r="F24" s="7" t="s">
        <v>640</v>
      </c>
      <c r="G24" s="7" t="s">
        <v>433</v>
      </c>
      <c r="H24" s="10">
        <v>19370502</v>
      </c>
      <c r="I24" s="10">
        <v>19431151</v>
      </c>
      <c r="J24" s="10">
        <v>484069</v>
      </c>
      <c r="K24" s="10">
        <v>10060281</v>
      </c>
      <c r="L24" s="10">
        <v>1087917</v>
      </c>
      <c r="M24" s="10">
        <v>5004386</v>
      </c>
      <c r="N24" s="10">
        <v>1527866</v>
      </c>
      <c r="O24" s="10">
        <v>0</v>
      </c>
      <c r="P24" s="10">
        <v>0</v>
      </c>
      <c r="Q24" s="10">
        <v>18695760</v>
      </c>
      <c r="R24" s="12">
        <v>0.05</v>
      </c>
      <c r="S24" s="10">
        <v>0</v>
      </c>
      <c r="T24" s="24">
        <f>1014138/18693764</f>
        <v>5.4250069702388451E-2</v>
      </c>
      <c r="U24" s="10">
        <v>1015310</v>
      </c>
      <c r="V24" s="10">
        <v>0</v>
      </c>
      <c r="W24" s="10">
        <f>60649+0+0</f>
        <v>60649</v>
      </c>
      <c r="X24" s="10">
        <v>433339</v>
      </c>
      <c r="Y24" s="10">
        <v>37307</v>
      </c>
      <c r="Z24" s="10">
        <v>77351</v>
      </c>
      <c r="AA24" s="10">
        <f>59854+5812</f>
        <v>65666</v>
      </c>
      <c r="AB24" s="10">
        <v>16508</v>
      </c>
      <c r="AC24" s="10">
        <v>174020</v>
      </c>
      <c r="AD24" s="10">
        <v>5280</v>
      </c>
      <c r="AE24" s="10">
        <f>6744+59756+18903</f>
        <v>85403</v>
      </c>
      <c r="AF24" s="10">
        <v>6977</v>
      </c>
      <c r="AG24" s="10">
        <v>0</v>
      </c>
      <c r="AH24" s="10">
        <v>64978</v>
      </c>
      <c r="AI24" s="10">
        <v>59854</v>
      </c>
      <c r="AJ24" s="10">
        <v>1002898</v>
      </c>
      <c r="AK24" s="10">
        <v>987090</v>
      </c>
      <c r="AL24" s="10">
        <v>145756</v>
      </c>
      <c r="AM24" s="10">
        <v>0</v>
      </c>
      <c r="AN24" s="10">
        <v>0</v>
      </c>
      <c r="AO24" s="10">
        <v>128797</v>
      </c>
      <c r="AP24" s="10">
        <v>0</v>
      </c>
      <c r="AQ24" s="10">
        <v>90289</v>
      </c>
      <c r="AR24" s="10">
        <v>0</v>
      </c>
      <c r="AS24" s="10">
        <v>0</v>
      </c>
      <c r="AT24" s="10">
        <v>0</v>
      </c>
      <c r="AU24" s="10">
        <v>5246</v>
      </c>
      <c r="AV24" s="10">
        <v>2529</v>
      </c>
      <c r="AW24" s="10">
        <v>-2</v>
      </c>
      <c r="AX24" s="10">
        <v>-290</v>
      </c>
      <c r="AY24" s="10">
        <v>-659</v>
      </c>
      <c r="AZ24" s="10">
        <v>-908</v>
      </c>
      <c r="BA24" s="10">
        <v>0</v>
      </c>
      <c r="BB24" s="10">
        <f t="shared" si="4"/>
        <v>5916</v>
      </c>
      <c r="BC24" s="6">
        <v>119</v>
      </c>
      <c r="BD24" s="10">
        <v>100</v>
      </c>
      <c r="BE24" s="10">
        <v>39</v>
      </c>
      <c r="BF24" s="10">
        <v>748</v>
      </c>
      <c r="BG24" s="10">
        <v>0</v>
      </c>
    </row>
    <row r="25" spans="1:59">
      <c r="A25" s="6">
        <v>2</v>
      </c>
      <c r="B25" s="6" t="s">
        <v>508</v>
      </c>
      <c r="C25" s="7" t="s">
        <v>243</v>
      </c>
      <c r="D25" s="6" t="s">
        <v>524</v>
      </c>
      <c r="E25" s="6" t="s">
        <v>447</v>
      </c>
      <c r="F25" s="7" t="s">
        <v>640</v>
      </c>
      <c r="G25" s="7" t="s">
        <v>433</v>
      </c>
      <c r="H25" s="10">
        <v>9571383</v>
      </c>
      <c r="I25" s="10">
        <v>9604374</v>
      </c>
      <c r="J25" s="10">
        <v>260068</v>
      </c>
      <c r="K25" s="10">
        <v>4553155</v>
      </c>
      <c r="L25" s="10">
        <v>536408</v>
      </c>
      <c r="M25" s="10">
        <v>2889560</v>
      </c>
      <c r="N25" s="10">
        <v>473868</v>
      </c>
      <c r="O25" s="10">
        <v>0</v>
      </c>
      <c r="P25" s="10">
        <v>0</v>
      </c>
      <c r="Q25" s="10">
        <v>9088641</v>
      </c>
      <c r="R25" s="12">
        <v>0.09</v>
      </c>
      <c r="S25" s="10">
        <v>0</v>
      </c>
      <c r="T25" s="24">
        <f>634764/9088641</f>
        <v>6.9841464747039742E-2</v>
      </c>
      <c r="U25" s="10">
        <v>634970</v>
      </c>
      <c r="V25" s="10">
        <v>0</v>
      </c>
      <c r="W25" s="10">
        <f>32991+1318</f>
        <v>34309</v>
      </c>
      <c r="X25" s="10">
        <v>248731</v>
      </c>
      <c r="Y25" s="10">
        <v>20774</v>
      </c>
      <c r="Z25" s="10">
        <v>41937</v>
      </c>
      <c r="AA25" s="10">
        <f>41201+4981</f>
        <v>46182</v>
      </c>
      <c r="AB25" s="10">
        <v>11691</v>
      </c>
      <c r="AC25" s="10">
        <v>19168</v>
      </c>
      <c r="AD25" s="10">
        <v>520</v>
      </c>
      <c r="AE25" s="10">
        <f>5903+20575+32119</f>
        <v>58597</v>
      </c>
      <c r="AF25" s="10">
        <v>6553</v>
      </c>
      <c r="AG25" s="10">
        <v>1350</v>
      </c>
      <c r="AH25" s="10">
        <v>40023</v>
      </c>
      <c r="AI25" s="10">
        <v>0</v>
      </c>
      <c r="AJ25" s="10">
        <v>550395</v>
      </c>
      <c r="AK25" s="10">
        <v>560538</v>
      </c>
      <c r="AL25" s="10">
        <v>70418</v>
      </c>
      <c r="AM25" s="10">
        <v>0</v>
      </c>
      <c r="AN25" s="10">
        <v>0</v>
      </c>
      <c r="AO25" s="10">
        <v>129052</v>
      </c>
      <c r="AP25" s="10">
        <v>0</v>
      </c>
      <c r="AQ25" s="10">
        <v>60650</v>
      </c>
      <c r="AR25" s="10">
        <v>0</v>
      </c>
      <c r="AS25" s="10">
        <v>0</v>
      </c>
      <c r="AT25" s="10">
        <v>0</v>
      </c>
      <c r="AU25" s="10">
        <v>1726</v>
      </c>
      <c r="AV25" s="10">
        <v>904</v>
      </c>
      <c r="AW25" s="10">
        <v>26</v>
      </c>
      <c r="AX25" s="10">
        <v>-146</v>
      </c>
      <c r="AY25" s="10">
        <v>-189</v>
      </c>
      <c r="AZ25" s="10">
        <v>-251</v>
      </c>
      <c r="BA25" s="10">
        <v>0</v>
      </c>
      <c r="BB25" s="10">
        <f t="shared" si="4"/>
        <v>2070</v>
      </c>
      <c r="BC25" s="6">
        <v>29</v>
      </c>
      <c r="BD25" s="10">
        <v>115</v>
      </c>
      <c r="BE25" s="10">
        <v>22</v>
      </c>
      <c r="BF25" s="10">
        <v>122</v>
      </c>
      <c r="BG25" s="10">
        <v>1</v>
      </c>
    </row>
    <row r="26" spans="1:59">
      <c r="A26" s="6">
        <v>2</v>
      </c>
      <c r="B26" s="6" t="s">
        <v>530</v>
      </c>
      <c r="C26" s="7" t="s">
        <v>247</v>
      </c>
      <c r="D26" s="6" t="s">
        <v>262</v>
      </c>
      <c r="E26" s="6" t="s">
        <v>151</v>
      </c>
      <c r="F26" s="7"/>
      <c r="G26" s="7" t="s">
        <v>141</v>
      </c>
      <c r="H26" s="10">
        <v>5157888</v>
      </c>
      <c r="I26" s="10">
        <v>5162958</v>
      </c>
      <c r="J26" s="10">
        <v>526290</v>
      </c>
      <c r="K26" s="10">
        <v>2975985</v>
      </c>
      <c r="L26" s="10">
        <v>669546</v>
      </c>
      <c r="M26" s="10">
        <v>337465</v>
      </c>
      <c r="N26" s="10">
        <v>129034</v>
      </c>
      <c r="O26" s="10">
        <v>19145</v>
      </c>
      <c r="P26" s="10"/>
      <c r="Q26" s="10">
        <v>4481984</v>
      </c>
      <c r="R26" s="12">
        <v>0.21</v>
      </c>
      <c r="S26" s="10">
        <v>0</v>
      </c>
      <c r="T26" s="24">
        <f>348101/4462839</f>
        <v>7.7999900959904667E-2</v>
      </c>
      <c r="U26" s="10">
        <v>349568</v>
      </c>
      <c r="V26" s="10">
        <v>0</v>
      </c>
      <c r="W26" s="10">
        <f>5070+408</f>
        <v>5478</v>
      </c>
      <c r="X26" s="10">
        <v>134903</v>
      </c>
      <c r="Y26" s="10">
        <v>12427</v>
      </c>
      <c r="Z26" s="10">
        <v>13976</v>
      </c>
      <c r="AA26" s="10">
        <v>36728</v>
      </c>
      <c r="AB26" s="10">
        <v>9851</v>
      </c>
      <c r="AC26" s="10">
        <v>9213</v>
      </c>
      <c r="AD26" s="10">
        <v>3085</v>
      </c>
      <c r="AE26" s="10">
        <f>4642+4079+5687</f>
        <v>14408</v>
      </c>
      <c r="AF26" s="10">
        <v>930</v>
      </c>
      <c r="AG26" s="10">
        <v>247</v>
      </c>
      <c r="AH26" s="10">
        <v>22670</v>
      </c>
      <c r="AI26" s="10">
        <v>0</v>
      </c>
      <c r="AJ26" s="10">
        <v>273101</v>
      </c>
      <c r="AK26" s="10">
        <v>395064</v>
      </c>
      <c r="AL26" s="10">
        <v>54319</v>
      </c>
      <c r="AM26" s="10">
        <v>556</v>
      </c>
      <c r="AN26" s="10">
        <v>0</v>
      </c>
      <c r="AO26" s="10">
        <v>85676</v>
      </c>
      <c r="AP26" s="10">
        <v>0</v>
      </c>
      <c r="AQ26" s="10">
        <v>69177</v>
      </c>
      <c r="AR26" s="10">
        <v>0</v>
      </c>
      <c r="AS26" s="10">
        <v>0</v>
      </c>
      <c r="AT26" s="10">
        <v>0</v>
      </c>
      <c r="AU26" s="10">
        <v>1214</v>
      </c>
      <c r="AV26" s="10">
        <v>779</v>
      </c>
      <c r="AW26" s="10">
        <v>-3</v>
      </c>
      <c r="AX26" s="10">
        <v>-140</v>
      </c>
      <c r="AY26" s="10">
        <v>-517</v>
      </c>
      <c r="AZ26" s="10">
        <v>-93</v>
      </c>
      <c r="BA26" s="10">
        <v>0</v>
      </c>
      <c r="BB26" s="10">
        <f t="shared" si="4"/>
        <v>1240</v>
      </c>
      <c r="BC26" s="6">
        <v>1</v>
      </c>
      <c r="BD26" s="10">
        <v>20</v>
      </c>
      <c r="BE26" s="10">
        <v>3</v>
      </c>
      <c r="BF26" s="10">
        <v>13</v>
      </c>
      <c r="BG26" s="10">
        <v>0</v>
      </c>
    </row>
    <row r="27" spans="1:59">
      <c r="A27" s="6">
        <v>2</v>
      </c>
      <c r="B27" s="6" t="s">
        <v>546</v>
      </c>
      <c r="C27" s="7" t="s">
        <v>305</v>
      </c>
      <c r="D27" s="6" t="s">
        <v>643</v>
      </c>
      <c r="E27" s="6" t="s">
        <v>447</v>
      </c>
      <c r="F27" s="7" t="s">
        <v>569</v>
      </c>
      <c r="G27" s="7" t="s">
        <v>433</v>
      </c>
      <c r="H27" s="10">
        <v>9785894</v>
      </c>
      <c r="I27" s="10">
        <v>9808173</v>
      </c>
      <c r="J27" s="10">
        <v>1845168</v>
      </c>
      <c r="K27" s="10">
        <v>3482483</v>
      </c>
      <c r="L27" s="10">
        <v>1228174</v>
      </c>
      <c r="M27" s="10">
        <v>2455288</v>
      </c>
      <c r="N27" s="10">
        <v>88571</v>
      </c>
      <c r="O27" s="10">
        <v>1410</v>
      </c>
      <c r="P27" s="10">
        <v>0</v>
      </c>
      <c r="Q27" s="10">
        <v>7821394</v>
      </c>
      <c r="R27" s="12">
        <v>0.21299999999999999</v>
      </c>
      <c r="S27" s="10">
        <v>0</v>
      </c>
      <c r="T27" s="24">
        <f>557950/7848323</f>
        <v>7.109162046465213E-2</v>
      </c>
      <c r="U27" s="10">
        <v>558114</v>
      </c>
      <c r="V27" s="10">
        <v>0</v>
      </c>
      <c r="W27" s="10">
        <f>22279+19+1370</f>
        <v>23668</v>
      </c>
      <c r="X27" s="10">
        <v>216645</v>
      </c>
      <c r="Y27" s="10">
        <v>19498</v>
      </c>
      <c r="Z27" s="10">
        <v>6408</v>
      </c>
      <c r="AA27" s="10">
        <v>71443</v>
      </c>
      <c r="AB27" s="10">
        <v>25500</v>
      </c>
      <c r="AC27" s="10">
        <v>6035</v>
      </c>
      <c r="AD27" s="10">
        <v>4740</v>
      </c>
      <c r="AE27" s="10">
        <f>7231+11382+7462</f>
        <v>26075</v>
      </c>
      <c r="AF27" s="10">
        <v>1485</v>
      </c>
      <c r="AG27" s="10">
        <v>325</v>
      </c>
      <c r="AH27" s="10">
        <v>39181</v>
      </c>
      <c r="AI27" s="10">
        <v>350571</v>
      </c>
      <c r="AJ27" s="10">
        <v>453623</v>
      </c>
      <c r="AK27" s="10">
        <v>462525</v>
      </c>
      <c r="AL27" s="10">
        <v>56543</v>
      </c>
      <c r="AM27" s="10">
        <v>0</v>
      </c>
      <c r="AN27" s="10">
        <v>0</v>
      </c>
      <c r="AO27" s="10">
        <v>134180</v>
      </c>
      <c r="AP27" s="10">
        <v>5128</v>
      </c>
      <c r="AQ27" s="10">
        <v>56225</v>
      </c>
      <c r="AR27" s="10">
        <v>0</v>
      </c>
      <c r="AS27" s="10">
        <v>0</v>
      </c>
      <c r="AT27" s="10">
        <v>0</v>
      </c>
      <c r="AU27" s="10">
        <v>1875</v>
      </c>
      <c r="AV27" s="10">
        <v>1699</v>
      </c>
      <c r="AW27" s="10">
        <v>0</v>
      </c>
      <c r="AX27" s="10">
        <v>-133</v>
      </c>
      <c r="AY27" s="10">
        <v>-1301</v>
      </c>
      <c r="AZ27" s="10">
        <v>-160</v>
      </c>
      <c r="BA27" s="10">
        <v>0</v>
      </c>
      <c r="BB27" s="10">
        <f t="shared" si="4"/>
        <v>1980</v>
      </c>
      <c r="BC27" s="6">
        <v>7</v>
      </c>
      <c r="BD27" s="10">
        <v>0</v>
      </c>
      <c r="BE27" s="10">
        <v>0</v>
      </c>
      <c r="BF27" s="10">
        <v>458</v>
      </c>
      <c r="BG27" s="10">
        <v>26</v>
      </c>
    </row>
    <row r="28" spans="1:59">
      <c r="A28" s="6">
        <v>2</v>
      </c>
      <c r="B28" s="6" t="s">
        <v>555</v>
      </c>
      <c r="C28" s="7" t="s">
        <v>304</v>
      </c>
      <c r="D28" s="6" t="s">
        <v>644</v>
      </c>
      <c r="E28" s="6" t="s">
        <v>626</v>
      </c>
      <c r="F28" s="7"/>
      <c r="G28" s="7" t="s">
        <v>624</v>
      </c>
      <c r="H28" s="10">
        <v>1605824</v>
      </c>
      <c r="I28" s="10">
        <v>1609060</v>
      </c>
      <c r="J28" s="10">
        <v>37747</v>
      </c>
      <c r="K28" s="10">
        <v>913236</v>
      </c>
      <c r="L28" s="10">
        <v>263099</v>
      </c>
      <c r="M28" s="10">
        <v>223880</v>
      </c>
      <c r="N28" s="10">
        <v>32537</v>
      </c>
      <c r="O28" s="10">
        <v>100</v>
      </c>
      <c r="P28" s="10">
        <v>0</v>
      </c>
      <c r="Q28" s="10">
        <v>1554098</v>
      </c>
      <c r="R28" s="12">
        <v>0.1</v>
      </c>
      <c r="S28" s="10">
        <v>341640</v>
      </c>
      <c r="T28" s="24">
        <f>121246/1212458</f>
        <v>0.10000016495416748</v>
      </c>
      <c r="U28" s="10">
        <v>121246</v>
      </c>
      <c r="V28" s="10">
        <v>0</v>
      </c>
      <c r="W28" s="10">
        <f>3070+226+96</f>
        <v>3392</v>
      </c>
      <c r="X28" s="10">
        <v>15150</v>
      </c>
      <c r="Y28" s="10">
        <v>1191</v>
      </c>
      <c r="Z28" s="10">
        <v>1761</v>
      </c>
      <c r="AA28" s="10">
        <f>3827+0</f>
        <v>3827</v>
      </c>
      <c r="AB28" s="10">
        <v>0</v>
      </c>
      <c r="AC28" s="10">
        <v>13520</v>
      </c>
      <c r="AD28" s="10">
        <v>0</v>
      </c>
      <c r="AE28" s="10">
        <f>2583+2771+1042</f>
        <v>6396</v>
      </c>
      <c r="AF28" s="10">
        <v>865</v>
      </c>
      <c r="AG28" s="10">
        <v>1921</v>
      </c>
      <c r="AH28" s="10">
        <v>6696</v>
      </c>
      <c r="AI28" s="10">
        <v>23630</v>
      </c>
      <c r="AJ28" s="10">
        <v>59084</v>
      </c>
      <c r="AK28" s="10">
        <v>67353</v>
      </c>
      <c r="AL28" s="10">
        <v>2578</v>
      </c>
      <c r="AM28" s="10">
        <v>0</v>
      </c>
      <c r="AN28" s="10">
        <v>0</v>
      </c>
      <c r="AO28" s="10">
        <v>66693</v>
      </c>
      <c r="AP28" s="10">
        <v>0</v>
      </c>
      <c r="AQ28" s="10">
        <v>1539</v>
      </c>
      <c r="AR28" s="10">
        <v>0</v>
      </c>
      <c r="AS28" s="10">
        <v>0</v>
      </c>
      <c r="AT28" s="10">
        <v>0</v>
      </c>
      <c r="AU28" s="10">
        <v>254</v>
      </c>
      <c r="AV28" s="10">
        <v>155</v>
      </c>
      <c r="AW28" s="10">
        <v>5</v>
      </c>
      <c r="AX28" s="10">
        <v>-27</v>
      </c>
      <c r="AY28" s="10">
        <v>-28</v>
      </c>
      <c r="AZ28" s="10">
        <v>-29</v>
      </c>
      <c r="BA28" s="10">
        <v>-2</v>
      </c>
      <c r="BB28" s="10">
        <f t="shared" si="4"/>
        <v>328</v>
      </c>
      <c r="BC28" s="6">
        <v>3</v>
      </c>
      <c r="BD28" s="10">
        <v>5</v>
      </c>
      <c r="BE28" s="10">
        <v>4</v>
      </c>
      <c r="BF28" s="10">
        <v>11</v>
      </c>
      <c r="BG28" s="10">
        <v>11</v>
      </c>
    </row>
    <row r="29" spans="1:59">
      <c r="A29" s="6">
        <v>2</v>
      </c>
      <c r="B29" s="6" t="s">
        <v>587</v>
      </c>
      <c r="C29" s="7" t="s">
        <v>372</v>
      </c>
      <c r="D29" s="6" t="s">
        <v>589</v>
      </c>
      <c r="E29" s="6" t="s">
        <v>447</v>
      </c>
      <c r="F29" s="7" t="s">
        <v>441</v>
      </c>
      <c r="G29" s="7" t="s">
        <v>433</v>
      </c>
      <c r="H29" s="10">
        <v>7303573</v>
      </c>
      <c r="I29" s="10">
        <v>7316911</v>
      </c>
      <c r="J29" s="10">
        <v>226488</v>
      </c>
      <c r="K29" s="10">
        <v>3076490</v>
      </c>
      <c r="L29" s="10">
        <v>752182</v>
      </c>
      <c r="M29" s="10">
        <v>2160282</v>
      </c>
      <c r="N29" s="10">
        <v>530976</v>
      </c>
      <c r="O29" s="10">
        <v>0</v>
      </c>
      <c r="P29" s="10">
        <v>3925</v>
      </c>
      <c r="Q29" s="10">
        <v>7067770</v>
      </c>
      <c r="R29" s="12">
        <v>0.13</v>
      </c>
      <c r="S29" s="10">
        <v>0</v>
      </c>
      <c r="T29" s="24">
        <f>536079/7067770</f>
        <v>7.5848393481961068E-2</v>
      </c>
      <c r="U29" s="10">
        <v>534688</v>
      </c>
      <c r="V29" s="10">
        <v>0</v>
      </c>
      <c r="W29" s="10">
        <f>13338+1034+1109</f>
        <v>15481</v>
      </c>
      <c r="X29" s="10">
        <v>146555</v>
      </c>
      <c r="Y29" s="10">
        <v>21002</v>
      </c>
      <c r="Z29" s="10">
        <v>49641</v>
      </c>
      <c r="AA29" s="10">
        <v>58796</v>
      </c>
      <c r="AB29" s="10">
        <v>9645</v>
      </c>
      <c r="AC29" s="10">
        <v>89854</v>
      </c>
      <c r="AD29" s="10">
        <v>3160</v>
      </c>
      <c r="AE29" s="10">
        <f>7542+16606+9673</f>
        <v>33821</v>
      </c>
      <c r="AF29" s="10">
        <v>5066</v>
      </c>
      <c r="AG29" s="10">
        <v>0</v>
      </c>
      <c r="AH29" s="10">
        <v>13002</v>
      </c>
      <c r="AI29" s="10">
        <v>0</v>
      </c>
      <c r="AJ29" s="10">
        <v>453141</v>
      </c>
      <c r="AK29" s="10">
        <v>464535</v>
      </c>
      <c r="AL29" s="10">
        <v>61803</v>
      </c>
      <c r="AM29" s="10">
        <v>735</v>
      </c>
      <c r="AN29" s="10">
        <v>0</v>
      </c>
      <c r="AO29" s="10">
        <v>129052</v>
      </c>
      <c r="AP29" s="10">
        <v>0</v>
      </c>
      <c r="AQ29" s="10">
        <v>60688</v>
      </c>
      <c r="AR29" s="10">
        <v>0</v>
      </c>
      <c r="AS29" s="10">
        <v>0</v>
      </c>
      <c r="AT29" s="10">
        <v>0</v>
      </c>
      <c r="AU29" s="10">
        <v>1380</v>
      </c>
      <c r="AV29" s="10">
        <v>971</v>
      </c>
      <c r="AW29" s="10">
        <v>0</v>
      </c>
      <c r="AX29" s="10">
        <v>-168</v>
      </c>
      <c r="AY29" s="10">
        <v>-287</v>
      </c>
      <c r="AZ29" s="10">
        <v>-264</v>
      </c>
      <c r="BA29" s="10">
        <v>-1</v>
      </c>
      <c r="BB29" s="10">
        <f t="shared" si="4"/>
        <v>1631</v>
      </c>
      <c r="BC29" s="6">
        <v>21</v>
      </c>
      <c r="BD29" s="10">
        <v>171</v>
      </c>
      <c r="BE29" s="10">
        <v>18</v>
      </c>
      <c r="BF29" s="10">
        <v>79</v>
      </c>
      <c r="BG29" s="10">
        <v>0</v>
      </c>
    </row>
    <row r="30" spans="1:59">
      <c r="A30" s="6">
        <v>2</v>
      </c>
      <c r="B30" s="6" t="s">
        <v>637</v>
      </c>
      <c r="C30" s="7" t="s">
        <v>544</v>
      </c>
      <c r="D30" s="6" t="s">
        <v>526</v>
      </c>
      <c r="E30" s="6" t="s">
        <v>447</v>
      </c>
      <c r="F30" s="7" t="s">
        <v>192</v>
      </c>
      <c r="G30" s="7" t="s">
        <v>433</v>
      </c>
      <c r="H30" s="10">
        <v>4100778</v>
      </c>
      <c r="I30" s="10">
        <v>4105983</v>
      </c>
      <c r="J30" s="10">
        <v>201546</v>
      </c>
      <c r="K30" s="10">
        <v>2243197</v>
      </c>
      <c r="L30" s="10">
        <v>258175</v>
      </c>
      <c r="M30" s="10">
        <v>716056</v>
      </c>
      <c r="N30" s="10">
        <v>68788</v>
      </c>
      <c r="O30" s="10">
        <v>5350</v>
      </c>
      <c r="P30" s="10">
        <v>0</v>
      </c>
      <c r="Q30" s="10">
        <v>3658051</v>
      </c>
      <c r="R30" s="12">
        <v>0.11</v>
      </c>
      <c r="S30" s="10">
        <v>0</v>
      </c>
      <c r="T30" s="24">
        <f>365270/3652701</f>
        <v>9.9999972622998701E-2</v>
      </c>
      <c r="U30" s="10">
        <v>366485</v>
      </c>
      <c r="V30" s="10">
        <v>0</v>
      </c>
      <c r="W30" s="10">
        <f>5205+96</f>
        <v>5301</v>
      </c>
      <c r="X30" s="10">
        <v>142229</v>
      </c>
      <c r="Y30" s="10">
        <v>0</v>
      </c>
      <c r="Z30" s="10">
        <v>0</v>
      </c>
      <c r="AA30" s="10">
        <v>20600</v>
      </c>
      <c r="AB30" s="10">
        <v>9950</v>
      </c>
      <c r="AC30" s="10">
        <v>2997</v>
      </c>
      <c r="AD30" s="10">
        <v>1580</v>
      </c>
      <c r="AE30" s="10">
        <f>4800+3974+7247</f>
        <v>16021</v>
      </c>
      <c r="AF30" s="10">
        <v>2880</v>
      </c>
      <c r="AG30" s="10">
        <v>8400</v>
      </c>
      <c r="AH30" s="10">
        <v>21476</v>
      </c>
      <c r="AI30" s="10">
        <v>191645</v>
      </c>
      <c r="AJ30" s="10">
        <v>248320</v>
      </c>
      <c r="AK30" s="10">
        <v>265347</v>
      </c>
      <c r="AL30" s="10">
        <v>5668</v>
      </c>
      <c r="AM30" s="10">
        <v>0</v>
      </c>
      <c r="AN30" s="10">
        <v>0</v>
      </c>
      <c r="AO30" s="10">
        <v>127809</v>
      </c>
      <c r="AP30" s="10">
        <v>0</v>
      </c>
      <c r="AQ30" s="10">
        <v>6675</v>
      </c>
      <c r="AR30" s="10">
        <v>0</v>
      </c>
      <c r="AS30" s="10">
        <v>0</v>
      </c>
      <c r="AT30" s="10">
        <v>42286</v>
      </c>
      <c r="AU30" s="10">
        <v>815</v>
      </c>
      <c r="AV30" s="10">
        <v>545</v>
      </c>
      <c r="AW30" s="10">
        <v>-5</v>
      </c>
      <c r="AX30" s="10">
        <v>-8</v>
      </c>
      <c r="AY30" s="10">
        <v>-360</v>
      </c>
      <c r="AZ30" s="10">
        <v>-80</v>
      </c>
      <c r="BA30" s="10">
        <v>-1</v>
      </c>
      <c r="BB30" s="10">
        <f t="shared" si="4"/>
        <v>906</v>
      </c>
      <c r="BC30" s="6">
        <v>6</v>
      </c>
      <c r="BD30" s="10">
        <v>24</v>
      </c>
      <c r="BE30" s="10">
        <v>4</v>
      </c>
      <c r="BF30" s="10">
        <v>41</v>
      </c>
      <c r="BG30" s="10">
        <v>12</v>
      </c>
    </row>
    <row r="31" spans="1:59">
      <c r="A31" s="6">
        <v>3</v>
      </c>
      <c r="B31" s="6" t="s">
        <v>56</v>
      </c>
      <c r="C31" s="7"/>
      <c r="D31" s="6" t="s">
        <v>119</v>
      </c>
      <c r="E31" s="6" t="s">
        <v>436</v>
      </c>
      <c r="F31" s="7"/>
      <c r="G31" s="7" t="s">
        <v>431</v>
      </c>
      <c r="H31" s="10">
        <v>23739288</v>
      </c>
      <c r="I31" s="10">
        <v>26555687</v>
      </c>
      <c r="J31" s="10">
        <v>1144671</v>
      </c>
      <c r="K31" s="10">
        <v>11574067</v>
      </c>
      <c r="L31" s="10">
        <v>2770244</v>
      </c>
      <c r="M31" s="10">
        <v>2904177</v>
      </c>
      <c r="N31" s="10">
        <v>2922690</v>
      </c>
      <c r="O31" s="10">
        <v>0</v>
      </c>
      <c r="P31" s="10">
        <v>0</v>
      </c>
      <c r="Q31" s="10">
        <v>21423306</v>
      </c>
      <c r="R31" s="12">
        <v>0.16</v>
      </c>
      <c r="S31" s="10">
        <v>0</v>
      </c>
      <c r="T31" s="24">
        <f>838337/21016218</f>
        <v>3.9890003044315586E-2</v>
      </c>
      <c r="U31" s="10">
        <v>845040</v>
      </c>
      <c r="V31" s="10">
        <v>0</v>
      </c>
      <c r="W31" s="10">
        <f>106006+1155</f>
        <v>107161</v>
      </c>
      <c r="X31" s="10">
        <v>432838</v>
      </c>
      <c r="Y31" s="10">
        <v>48457</v>
      </c>
      <c r="Z31" s="10">
        <v>35641</v>
      </c>
      <c r="AA31" s="10">
        <f>92585+13000</f>
        <v>105585</v>
      </c>
      <c r="AB31" s="10">
        <v>16058</v>
      </c>
      <c r="AC31" s="10">
        <v>19728</v>
      </c>
      <c r="AD31" s="10">
        <v>3779</v>
      </c>
      <c r="AE31" s="10">
        <f>14235+50750+31020</f>
        <v>96005</v>
      </c>
      <c r="AF31" s="10">
        <v>9435</v>
      </c>
      <c r="AG31" s="10">
        <v>6930</v>
      </c>
      <c r="AH31" s="10">
        <v>40481</v>
      </c>
      <c r="AI31" s="10">
        <v>0</v>
      </c>
      <c r="AJ31" s="10">
        <v>850423</v>
      </c>
      <c r="AK31" s="10">
        <v>855388</v>
      </c>
      <c r="AL31" s="10">
        <v>0</v>
      </c>
      <c r="AM31" s="10">
        <v>0</v>
      </c>
      <c r="AN31" s="10">
        <v>0</v>
      </c>
      <c r="AO31" s="10">
        <v>129052</v>
      </c>
      <c r="AP31" s="10">
        <v>0</v>
      </c>
      <c r="AQ31" s="10">
        <v>97815</v>
      </c>
      <c r="AR31" s="10">
        <v>0</v>
      </c>
      <c r="AS31" s="10">
        <v>0</v>
      </c>
      <c r="AT31" s="10">
        <v>0</v>
      </c>
      <c r="AU31" s="10">
        <v>0</v>
      </c>
      <c r="AV31" s="10">
        <v>5191</v>
      </c>
      <c r="AW31" s="10">
        <f>9002+6-36</f>
        <v>8972</v>
      </c>
      <c r="AX31" s="10">
        <v>-454</v>
      </c>
      <c r="AY31" s="10">
        <v>-3193</v>
      </c>
      <c r="AZ31" s="10">
        <v>-515</v>
      </c>
      <c r="BA31" s="10">
        <v>0</v>
      </c>
      <c r="BB31" s="10">
        <f t="shared" si="4"/>
        <v>10001</v>
      </c>
      <c r="BC31" s="6">
        <v>5</v>
      </c>
      <c r="BD31" s="10">
        <v>54</v>
      </c>
      <c r="BE31" s="10">
        <v>22</v>
      </c>
      <c r="BF31" s="10">
        <v>194</v>
      </c>
      <c r="BG31" s="10">
        <v>245</v>
      </c>
    </row>
    <row r="32" spans="1:59">
      <c r="A32" s="6">
        <v>3</v>
      </c>
      <c r="B32" s="6" t="s">
        <v>167</v>
      </c>
      <c r="C32" s="7" t="s">
        <v>114</v>
      </c>
      <c r="D32" s="6" t="s">
        <v>260</v>
      </c>
      <c r="E32" s="6" t="s">
        <v>466</v>
      </c>
      <c r="F32" s="7" t="s">
        <v>394</v>
      </c>
      <c r="G32" s="7" t="s">
        <v>477</v>
      </c>
      <c r="H32" s="10">
        <v>8941277</v>
      </c>
      <c r="I32" s="10">
        <v>9009248</v>
      </c>
      <c r="J32" s="10">
        <v>589202</v>
      </c>
      <c r="K32" s="10">
        <v>2740818</v>
      </c>
      <c r="L32" s="10">
        <v>2345841</v>
      </c>
      <c r="M32" s="10">
        <v>1834246</v>
      </c>
      <c r="N32" s="10">
        <v>1158282</v>
      </c>
      <c r="O32" s="10">
        <v>29561</v>
      </c>
      <c r="P32" s="10">
        <v>0</v>
      </c>
      <c r="Q32" s="10">
        <v>8520869</v>
      </c>
      <c r="R32" s="12">
        <v>0.29199999999999998</v>
      </c>
      <c r="S32" s="10">
        <v>0</v>
      </c>
      <c r="T32" s="24">
        <f>415387/8491308</f>
        <v>4.8919082902186564E-2</v>
      </c>
      <c r="U32" s="10">
        <v>412121</v>
      </c>
      <c r="V32" s="10">
        <v>0</v>
      </c>
      <c r="W32" s="10">
        <f>62806+5353+1054</f>
        <v>69213</v>
      </c>
      <c r="X32" s="10">
        <v>169387</v>
      </c>
      <c r="Y32" s="10">
        <v>18871</v>
      </c>
      <c r="Z32" s="10">
        <v>30253</v>
      </c>
      <c r="AA32" s="10">
        <f>32944+3787</f>
        <v>36731</v>
      </c>
      <c r="AB32" s="10">
        <v>12272</v>
      </c>
      <c r="AC32" s="10">
        <v>23523</v>
      </c>
      <c r="AD32" s="10">
        <v>5408</v>
      </c>
      <c r="AE32" s="10">
        <f>4507+9778+7970</f>
        <v>22255</v>
      </c>
      <c r="AF32" s="10">
        <v>2861</v>
      </c>
      <c r="AG32" s="10">
        <v>0</v>
      </c>
      <c r="AH32" s="10">
        <v>14249</v>
      </c>
      <c r="AI32" s="10">
        <v>1323</v>
      </c>
      <c r="AJ32" s="10">
        <v>382016</v>
      </c>
      <c r="AK32" s="10">
        <v>398397</v>
      </c>
      <c r="AL32" s="10">
        <v>31469</v>
      </c>
      <c r="AM32" s="10">
        <v>0</v>
      </c>
      <c r="AN32" s="10">
        <v>0</v>
      </c>
      <c r="AO32" s="10">
        <v>129051</v>
      </c>
      <c r="AP32" s="10">
        <v>0</v>
      </c>
      <c r="AQ32" s="10">
        <v>31499</v>
      </c>
      <c r="AR32" s="10">
        <v>0</v>
      </c>
      <c r="AS32" s="10">
        <v>0</v>
      </c>
      <c r="AT32" s="10">
        <v>0</v>
      </c>
      <c r="AU32" s="10">
        <v>2288</v>
      </c>
      <c r="AV32" s="10">
        <v>1553</v>
      </c>
      <c r="AW32" s="10">
        <v>-8</v>
      </c>
      <c r="AX32" s="10">
        <v>-194</v>
      </c>
      <c r="AY32" s="10">
        <v>-628</v>
      </c>
      <c r="AZ32" s="10">
        <v>-366</v>
      </c>
      <c r="BA32" s="10">
        <v>-1</v>
      </c>
      <c r="BB32" s="10">
        <f t="shared" si="4"/>
        <v>2644</v>
      </c>
      <c r="BC32" s="6">
        <v>4</v>
      </c>
      <c r="BD32" s="10">
        <v>125</v>
      </c>
      <c r="BE32" s="10">
        <v>15</v>
      </c>
      <c r="BF32" s="10">
        <v>65</v>
      </c>
      <c r="BG32" s="10">
        <v>159</v>
      </c>
    </row>
    <row r="33" spans="1:59">
      <c r="A33" s="6">
        <v>3</v>
      </c>
      <c r="B33" s="6" t="s">
        <v>237</v>
      </c>
      <c r="C33" s="7" t="s">
        <v>240</v>
      </c>
      <c r="D33" s="6" t="s">
        <v>485</v>
      </c>
      <c r="E33" s="6" t="s">
        <v>466</v>
      </c>
      <c r="F33" s="7" t="s">
        <v>640</v>
      </c>
      <c r="G33" s="7" t="s">
        <v>477</v>
      </c>
      <c r="H33" s="10">
        <v>21489752</v>
      </c>
      <c r="I33" s="10">
        <v>21562929</v>
      </c>
      <c r="J33" s="10">
        <v>719171</v>
      </c>
      <c r="K33" s="10">
        <v>14898553</v>
      </c>
      <c r="L33" s="10">
        <v>1505552</v>
      </c>
      <c r="M33" s="10">
        <v>2621969</v>
      </c>
      <c r="N33" s="10">
        <v>682478</v>
      </c>
      <c r="O33" s="10">
        <v>7168</v>
      </c>
      <c r="P33" s="10">
        <v>0</v>
      </c>
      <c r="Q33" s="10">
        <v>20524791</v>
      </c>
      <c r="R33" s="12">
        <v>0.06</v>
      </c>
      <c r="S33" s="10">
        <v>0</v>
      </c>
      <c r="T33" s="24">
        <f>782338/20454363</f>
        <v>3.8247976727507967E-2</v>
      </c>
      <c r="U33" s="10">
        <v>781192</v>
      </c>
      <c r="V33" s="10">
        <v>0</v>
      </c>
      <c r="W33" s="10">
        <f>73177+3158</f>
        <v>76335</v>
      </c>
      <c r="X33" s="10">
        <v>384386</v>
      </c>
      <c r="Y33" s="10">
        <v>33974</v>
      </c>
      <c r="Z33" s="10">
        <v>49285</v>
      </c>
      <c r="AA33" s="10">
        <f>90771+265</f>
        <v>91036</v>
      </c>
      <c r="AB33" s="10">
        <v>20011</v>
      </c>
      <c r="AC33" s="10">
        <v>16296</v>
      </c>
      <c r="AD33" s="10">
        <v>3780</v>
      </c>
      <c r="AE33" s="10">
        <f>9868+27873+25699</f>
        <v>63440</v>
      </c>
      <c r="AF33" s="10">
        <v>5502</v>
      </c>
      <c r="AG33" s="10">
        <v>1792</v>
      </c>
      <c r="AH33" s="10">
        <v>9641</v>
      </c>
      <c r="AI33" s="10">
        <v>0</v>
      </c>
      <c r="AJ33" s="10">
        <v>730703</v>
      </c>
      <c r="AK33" s="10">
        <v>728583</v>
      </c>
      <c r="AL33" s="10">
        <v>88130</v>
      </c>
      <c r="AM33" s="10">
        <v>0</v>
      </c>
      <c r="AN33" s="10">
        <v>0</v>
      </c>
      <c r="AO33" s="10">
        <v>129052</v>
      </c>
      <c r="AP33" s="10">
        <v>0</v>
      </c>
      <c r="AQ33" s="10">
        <v>102838</v>
      </c>
      <c r="AR33" s="10">
        <v>0</v>
      </c>
      <c r="AS33" s="10">
        <v>0</v>
      </c>
      <c r="AT33" s="10">
        <v>0</v>
      </c>
      <c r="AU33" s="10">
        <v>2206</v>
      </c>
      <c r="AV33" s="10">
        <f>1273-33</f>
        <v>1240</v>
      </c>
      <c r="AW33" s="10">
        <f>56-1</f>
        <v>55</v>
      </c>
      <c r="AX33" s="10">
        <v>-256</v>
      </c>
      <c r="AY33" s="10">
        <v>-577</v>
      </c>
      <c r="AZ33" s="10">
        <v>-319</v>
      </c>
      <c r="BA33" s="10">
        <v>-7</v>
      </c>
      <c r="BB33" s="10">
        <f t="shared" si="4"/>
        <v>2342</v>
      </c>
      <c r="BC33" s="6">
        <v>4</v>
      </c>
      <c r="BD33" s="10">
        <v>125</v>
      </c>
      <c r="BE33" s="10">
        <v>41</v>
      </c>
      <c r="BF33" s="10">
        <v>99</v>
      </c>
      <c r="BG33" s="10">
        <v>54</v>
      </c>
    </row>
    <row r="34" spans="1:59">
      <c r="A34" s="6">
        <v>3</v>
      </c>
      <c r="B34" s="6" t="s">
        <v>311</v>
      </c>
      <c r="C34" s="7" t="s">
        <v>390</v>
      </c>
      <c r="D34" s="6" t="s">
        <v>649</v>
      </c>
      <c r="E34" s="6" t="s">
        <v>161</v>
      </c>
      <c r="F34" s="7"/>
      <c r="G34" s="7" t="s">
        <v>168</v>
      </c>
      <c r="H34" s="10">
        <v>5796627</v>
      </c>
      <c r="I34" s="10">
        <v>5815321</v>
      </c>
      <c r="J34" s="10">
        <v>157364</v>
      </c>
      <c r="K34" s="10">
        <v>2507781</v>
      </c>
      <c r="L34" s="10">
        <v>1321132</v>
      </c>
      <c r="M34" s="10">
        <v>951772</v>
      </c>
      <c r="N34" s="10">
        <v>299567</v>
      </c>
      <c r="O34" s="10">
        <v>3700</v>
      </c>
      <c r="P34" s="10">
        <v>0</v>
      </c>
      <c r="Q34" s="10">
        <v>5461107</v>
      </c>
      <c r="R34" s="12">
        <v>0.14000000000000001</v>
      </c>
      <c r="S34" s="10">
        <v>0</v>
      </c>
      <c r="T34" s="24">
        <f>380934/5457407</f>
        <v>6.9801281084588343E-2</v>
      </c>
      <c r="U34" s="10">
        <v>375263</v>
      </c>
      <c r="V34" s="10">
        <v>0</v>
      </c>
      <c r="W34" s="10">
        <f>18694+471</f>
        <v>19165</v>
      </c>
      <c r="X34" s="10">
        <v>129144</v>
      </c>
      <c r="Y34" s="10">
        <v>6878</v>
      </c>
      <c r="Z34" s="10">
        <v>13408</v>
      </c>
      <c r="AA34" s="10">
        <v>34508</v>
      </c>
      <c r="AB34" s="10">
        <v>15007</v>
      </c>
      <c r="AC34" s="10">
        <v>6774</v>
      </c>
      <c r="AD34" s="10">
        <v>4529</v>
      </c>
      <c r="AE34" s="10">
        <f>3708+7923+8651</f>
        <v>20282</v>
      </c>
      <c r="AF34" s="10">
        <v>2269</v>
      </c>
      <c r="AG34" s="10">
        <v>8150</v>
      </c>
      <c r="AH34" s="10">
        <v>8945</v>
      </c>
      <c r="AI34" s="10">
        <v>0</v>
      </c>
      <c r="AJ34" s="10">
        <v>262400</v>
      </c>
      <c r="AK34" s="10">
        <v>275974</v>
      </c>
      <c r="AL34" s="10">
        <v>18681</v>
      </c>
      <c r="AM34" s="10">
        <v>0</v>
      </c>
      <c r="AN34" s="10">
        <v>0</v>
      </c>
      <c r="AO34" s="10">
        <v>129052</v>
      </c>
      <c r="AP34" s="10">
        <v>0</v>
      </c>
      <c r="AQ34" s="10">
        <v>25357</v>
      </c>
      <c r="AR34" s="10">
        <v>0</v>
      </c>
      <c r="AS34" s="10">
        <v>0</v>
      </c>
      <c r="AT34" s="10">
        <v>0</v>
      </c>
      <c r="AU34" s="10">
        <v>1573</v>
      </c>
      <c r="AV34" s="10">
        <v>766</v>
      </c>
      <c r="AW34" s="10">
        <v>0</v>
      </c>
      <c r="AX34" s="10">
        <v>-104</v>
      </c>
      <c r="AY34" s="10">
        <v>-276</v>
      </c>
      <c r="AZ34" s="10">
        <v>-220</v>
      </c>
      <c r="BA34" s="10">
        <v>-1</v>
      </c>
      <c r="BB34" s="10">
        <f t="shared" si="4"/>
        <v>1738</v>
      </c>
      <c r="BC34" s="6">
        <v>5</v>
      </c>
      <c r="BD34" s="10">
        <v>35</v>
      </c>
      <c r="BE34" s="10">
        <v>6</v>
      </c>
      <c r="BF34" s="10">
        <v>173</v>
      </c>
      <c r="BG34" s="10">
        <v>6</v>
      </c>
    </row>
    <row r="35" spans="1:59">
      <c r="A35" s="6">
        <v>3</v>
      </c>
      <c r="B35" s="6" t="s">
        <v>509</v>
      </c>
      <c r="C35" s="7" t="s">
        <v>232</v>
      </c>
      <c r="D35" s="6" t="s">
        <v>503</v>
      </c>
      <c r="E35" s="6" t="s">
        <v>466</v>
      </c>
      <c r="F35" s="7" t="s">
        <v>192</v>
      </c>
      <c r="G35" s="7" t="s">
        <v>477</v>
      </c>
      <c r="H35" s="10">
        <v>10754354</v>
      </c>
      <c r="I35" s="10">
        <v>10837480</v>
      </c>
      <c r="J35" s="10">
        <v>1024683</v>
      </c>
      <c r="K35" s="10">
        <v>4841376</v>
      </c>
      <c r="L35" s="10">
        <v>1838393</v>
      </c>
      <c r="M35" s="10">
        <v>1632953</v>
      </c>
      <c r="N35" s="10">
        <v>773100</v>
      </c>
      <c r="O35" s="10">
        <v>66412</v>
      </c>
      <c r="P35" s="10">
        <v>19135</v>
      </c>
      <c r="Q35" s="10">
        <v>9804449</v>
      </c>
      <c r="R35" s="12">
        <v>0.2</v>
      </c>
      <c r="S35" s="10">
        <v>0</v>
      </c>
      <c r="T35" s="24">
        <f>635946/9738037</f>
        <v>6.5305358769945115E-2</v>
      </c>
      <c r="U35" s="10">
        <v>634442</v>
      </c>
      <c r="V35" s="10">
        <v>0</v>
      </c>
      <c r="W35" s="10">
        <f>26435+783</f>
        <v>27218</v>
      </c>
      <c r="X35" s="10">
        <v>307012</v>
      </c>
      <c r="Y35" s="10">
        <v>24776</v>
      </c>
      <c r="Z35" s="10">
        <v>43893</v>
      </c>
      <c r="AA35" s="10">
        <f>69213+6838</f>
        <v>76051</v>
      </c>
      <c r="AB35" s="10">
        <v>5782</v>
      </c>
      <c r="AC35" s="10">
        <v>23282</v>
      </c>
      <c r="AD35" s="10">
        <v>7998</v>
      </c>
      <c r="AE35" s="10">
        <f>5660+32420+17664</f>
        <v>55744</v>
      </c>
      <c r="AF35" s="10">
        <v>2000</v>
      </c>
      <c r="AG35" s="10">
        <v>9564</v>
      </c>
      <c r="AH35" s="10">
        <v>2309</v>
      </c>
      <c r="AI35" s="10">
        <v>0</v>
      </c>
      <c r="AJ35" s="10">
        <v>591614</v>
      </c>
      <c r="AK35" s="10">
        <v>612348</v>
      </c>
      <c r="AL35" s="10">
        <v>52189</v>
      </c>
      <c r="AM35" s="10">
        <v>0</v>
      </c>
      <c r="AN35" s="10">
        <v>0</v>
      </c>
      <c r="AO35" s="10">
        <v>129052</v>
      </c>
      <c r="AP35" s="10">
        <v>0</v>
      </c>
      <c r="AQ35" s="10">
        <v>78971</v>
      </c>
      <c r="AR35" s="10">
        <v>0</v>
      </c>
      <c r="AS35" s="10">
        <v>0</v>
      </c>
      <c r="AT35" s="10">
        <v>0</v>
      </c>
      <c r="AU35" s="10">
        <v>3303</v>
      </c>
      <c r="AV35" s="10">
        <v>3157</v>
      </c>
      <c r="AW35" s="10">
        <v>-5</v>
      </c>
      <c r="AX35" s="10">
        <v>-262</v>
      </c>
      <c r="AY35" s="10">
        <v>-1841</v>
      </c>
      <c r="AZ35" s="10">
        <v>-300</v>
      </c>
      <c r="BA35" s="10">
        <v>-4</v>
      </c>
      <c r="BB35" s="10">
        <f t="shared" si="4"/>
        <v>4048</v>
      </c>
      <c r="BC35" s="6">
        <v>7</v>
      </c>
      <c r="BD35" s="10">
        <v>68</v>
      </c>
      <c r="BE35" s="10">
        <v>62</v>
      </c>
      <c r="BF35" s="10">
        <v>153</v>
      </c>
      <c r="BG35" s="10">
        <v>71</v>
      </c>
    </row>
    <row r="36" spans="1:59">
      <c r="A36" s="6">
        <v>3</v>
      </c>
      <c r="B36" s="6" t="s">
        <v>551</v>
      </c>
      <c r="C36" s="7" t="s">
        <v>308</v>
      </c>
      <c r="D36" s="6" t="s">
        <v>212</v>
      </c>
      <c r="E36" s="6" t="s">
        <v>436</v>
      </c>
      <c r="F36" s="7"/>
      <c r="G36" s="7" t="s">
        <v>431</v>
      </c>
      <c r="H36" s="10">
        <v>16070549</v>
      </c>
      <c r="I36" s="10">
        <v>16146060</v>
      </c>
      <c r="J36" s="10">
        <v>1592593</v>
      </c>
      <c r="K36" s="10">
        <v>7725692</v>
      </c>
      <c r="L36" s="10">
        <v>2062887</v>
      </c>
      <c r="M36" s="10">
        <v>2584301</v>
      </c>
      <c r="N36" s="10">
        <v>875422</v>
      </c>
      <c r="O36" s="10">
        <v>15342</v>
      </c>
      <c r="P36" s="10">
        <v>0</v>
      </c>
      <c r="Q36" s="10">
        <v>14040287</v>
      </c>
      <c r="R36" s="12">
        <v>0.19</v>
      </c>
      <c r="S36" s="10">
        <v>0</v>
      </c>
      <c r="T36" s="24">
        <f>776643/14024945</f>
        <v>5.5375832133388043E-2</v>
      </c>
      <c r="U36" s="10">
        <v>776643</v>
      </c>
      <c r="V36" s="10">
        <v>0</v>
      </c>
      <c r="W36" s="10">
        <f>55856+0+1082</f>
        <v>56938</v>
      </c>
      <c r="X36" s="10">
        <v>378726</v>
      </c>
      <c r="Y36" s="10">
        <v>38115</v>
      </c>
      <c r="Z36" s="10">
        <v>39533</v>
      </c>
      <c r="AA36" s="10">
        <f>98581+6576</f>
        <v>105157</v>
      </c>
      <c r="AB36" s="10">
        <v>5901</v>
      </c>
      <c r="AC36" s="10">
        <v>19354</v>
      </c>
      <c r="AD36" s="10">
        <v>4429</v>
      </c>
      <c r="AE36" s="10">
        <f>5811+21914+17938</f>
        <v>45663</v>
      </c>
      <c r="AF36" s="10">
        <v>2605</v>
      </c>
      <c r="AG36" s="10">
        <v>0</v>
      </c>
      <c r="AH36" s="10">
        <v>8444</v>
      </c>
      <c r="AI36" s="10">
        <v>5900</v>
      </c>
      <c r="AJ36" s="10">
        <v>701776</v>
      </c>
      <c r="AK36" s="10">
        <v>716390</v>
      </c>
      <c r="AL36" s="10">
        <v>87980</v>
      </c>
      <c r="AM36" s="10">
        <v>0</v>
      </c>
      <c r="AN36" s="10">
        <v>0</v>
      </c>
      <c r="AO36" s="10">
        <v>129052</v>
      </c>
      <c r="AP36" s="10">
        <v>0</v>
      </c>
      <c r="AQ36" s="10">
        <v>109303</v>
      </c>
      <c r="AR36" s="10">
        <v>0</v>
      </c>
      <c r="AS36" s="10">
        <v>0</v>
      </c>
      <c r="AT36" s="10">
        <v>0</v>
      </c>
      <c r="AU36" s="10">
        <v>4183</v>
      </c>
      <c r="AV36" s="10">
        <v>3227</v>
      </c>
      <c r="AW36" s="10">
        <v>-146</v>
      </c>
      <c r="AX36" s="10">
        <v>-201</v>
      </c>
      <c r="AY36" s="10">
        <v>-2591</v>
      </c>
      <c r="AZ36" s="10">
        <v>-486</v>
      </c>
      <c r="BA36" s="10">
        <v>0</v>
      </c>
      <c r="BB36" s="10">
        <f t="shared" si="4"/>
        <v>3986</v>
      </c>
      <c r="BC36" s="6">
        <v>10</v>
      </c>
      <c r="BD36" s="10">
        <v>151</v>
      </c>
      <c r="BE36" s="10">
        <v>21</v>
      </c>
      <c r="BF36" s="10">
        <v>249</v>
      </c>
      <c r="BG36" s="10">
        <v>28</v>
      </c>
    </row>
    <row r="37" spans="1:59">
      <c r="A37" s="6">
        <v>3</v>
      </c>
      <c r="B37" s="6" t="s">
        <v>571</v>
      </c>
      <c r="C37" s="7" t="s">
        <v>195</v>
      </c>
      <c r="D37" s="6" t="s">
        <v>482</v>
      </c>
      <c r="E37" s="6" t="s">
        <v>466</v>
      </c>
      <c r="F37" s="7" t="s">
        <v>192</v>
      </c>
      <c r="G37" s="7" t="s">
        <v>477</v>
      </c>
      <c r="H37" s="10">
        <v>20195429</v>
      </c>
      <c r="I37" s="10">
        <v>20299735</v>
      </c>
      <c r="J37" s="10">
        <v>2078576</v>
      </c>
      <c r="K37" s="10">
        <v>11720319</v>
      </c>
      <c r="L37" s="10">
        <v>1582070</v>
      </c>
      <c r="M37" s="10">
        <v>2581588</v>
      </c>
      <c r="N37" s="10">
        <v>1742146</v>
      </c>
      <c r="O37" s="10">
        <v>98923</v>
      </c>
      <c r="P37" s="10">
        <v>0</v>
      </c>
      <c r="Q37" s="10">
        <v>18711618</v>
      </c>
      <c r="R37" s="12">
        <v>0.2</v>
      </c>
      <c r="S37" s="10">
        <v>0</v>
      </c>
      <c r="T37" s="24">
        <f>986473/18612695</f>
        <v>5.3000008864917195E-2</v>
      </c>
      <c r="U37" s="10">
        <v>986482</v>
      </c>
      <c r="V37" s="10">
        <v>0</v>
      </c>
      <c r="W37" s="10">
        <f>88627+7590+763</f>
        <v>96980</v>
      </c>
      <c r="X37" s="10">
        <v>522878</v>
      </c>
      <c r="Y37" s="10">
        <v>42830</v>
      </c>
      <c r="Z37" s="10">
        <v>112859</v>
      </c>
      <c r="AA37" s="10">
        <v>75473</v>
      </c>
      <c r="AB37" s="10">
        <v>31499</v>
      </c>
      <c r="AC37" s="10">
        <v>50125</v>
      </c>
      <c r="AD37" s="10">
        <v>3779</v>
      </c>
      <c r="AE37" s="10">
        <f>8104+58328+16632</f>
        <v>83064</v>
      </c>
      <c r="AF37" s="10">
        <v>2206</v>
      </c>
      <c r="AG37" s="10">
        <v>6331</v>
      </c>
      <c r="AH37" s="10">
        <v>18733</v>
      </c>
      <c r="AI37" s="10">
        <v>0</v>
      </c>
      <c r="AJ37" s="10">
        <v>999200</v>
      </c>
      <c r="AK37" s="10">
        <v>989215</v>
      </c>
      <c r="AL37" s="10">
        <v>78031</v>
      </c>
      <c r="AM37" s="10">
        <v>0</v>
      </c>
      <c r="AN37" s="10">
        <v>0</v>
      </c>
      <c r="AO37" s="10">
        <v>129052</v>
      </c>
      <c r="AP37" s="10">
        <v>0</v>
      </c>
      <c r="AQ37" s="10">
        <v>132164</v>
      </c>
      <c r="AR37" s="10">
        <v>0</v>
      </c>
      <c r="AS37" s="10">
        <v>0</v>
      </c>
      <c r="AT37" s="10">
        <v>0</v>
      </c>
      <c r="AU37" s="10">
        <v>6924</v>
      </c>
      <c r="AV37" s="10">
        <v>5401</v>
      </c>
      <c r="AW37" s="10">
        <f>4+77-3</f>
        <v>78</v>
      </c>
      <c r="AX37" s="10">
        <v>-246</v>
      </c>
      <c r="AY37" s="10">
        <v>-3923</v>
      </c>
      <c r="AZ37" s="10">
        <v>-627</v>
      </c>
      <c r="BA37" s="10">
        <v>-4</v>
      </c>
      <c r="BB37" s="10">
        <f t="shared" si="4"/>
        <v>7603</v>
      </c>
      <c r="BC37" s="6">
        <v>0</v>
      </c>
      <c r="BD37" s="10">
        <v>122</v>
      </c>
      <c r="BE37" s="10">
        <v>44</v>
      </c>
      <c r="BF37" s="10">
        <v>317</v>
      </c>
      <c r="BG37" s="10">
        <v>144</v>
      </c>
    </row>
    <row r="38" spans="1:59">
      <c r="A38" s="6">
        <v>3</v>
      </c>
      <c r="B38" s="6" t="s">
        <v>653</v>
      </c>
      <c r="C38" s="7" t="s">
        <v>522</v>
      </c>
      <c r="D38" s="6" t="s">
        <v>368</v>
      </c>
      <c r="E38" s="6" t="s">
        <v>436</v>
      </c>
      <c r="F38" s="7"/>
      <c r="G38" s="7" t="s">
        <v>431</v>
      </c>
      <c r="H38" s="10">
        <v>20796532</v>
      </c>
      <c r="I38" s="10">
        <v>20857931</v>
      </c>
      <c r="J38" s="10">
        <v>1489393</v>
      </c>
      <c r="K38" s="10">
        <v>10766274</v>
      </c>
      <c r="L38" s="10">
        <v>2936815</v>
      </c>
      <c r="M38" s="10">
        <v>3214906</v>
      </c>
      <c r="N38" s="10">
        <v>1398686</v>
      </c>
      <c r="O38" s="10">
        <v>0</v>
      </c>
      <c r="P38" s="10">
        <v>0</v>
      </c>
      <c r="Q38" s="10">
        <v>19171491</v>
      </c>
      <c r="R38" s="12">
        <v>0.16</v>
      </c>
      <c r="S38" s="10">
        <v>0</v>
      </c>
      <c r="T38" s="24">
        <f>852580/18964842</f>
        <v>4.4955818772442188E-2</v>
      </c>
      <c r="U38" s="10">
        <v>854810</v>
      </c>
      <c r="V38" s="10">
        <v>0</v>
      </c>
      <c r="W38" s="10">
        <f>71933+19775+2601</f>
        <v>94309</v>
      </c>
      <c r="X38" s="10">
        <v>448049</v>
      </c>
      <c r="Y38" s="10">
        <v>39041</v>
      </c>
      <c r="Z38" s="10">
        <v>72768</v>
      </c>
      <c r="AA38" s="10">
        <f>68915+12864</f>
        <v>81779</v>
      </c>
      <c r="AB38" s="10">
        <v>8753</v>
      </c>
      <c r="AC38" s="10">
        <v>20491</v>
      </c>
      <c r="AD38" s="10">
        <v>6412</v>
      </c>
      <c r="AE38" s="10">
        <f>8123+33224+30073</f>
        <v>71420</v>
      </c>
      <c r="AF38" s="10">
        <v>4594</v>
      </c>
      <c r="AG38" s="10">
        <v>18974</v>
      </c>
      <c r="AH38" s="10">
        <v>48134</v>
      </c>
      <c r="AI38" s="10">
        <v>0</v>
      </c>
      <c r="AJ38" s="10">
        <v>882863</v>
      </c>
      <c r="AK38" s="10">
        <v>905540</v>
      </c>
      <c r="AL38" s="10">
        <v>178384</v>
      </c>
      <c r="AM38" s="10">
        <v>0</v>
      </c>
      <c r="AN38" s="10">
        <v>0</v>
      </c>
      <c r="AO38" s="10">
        <v>129052</v>
      </c>
      <c r="AP38" s="10">
        <v>0</v>
      </c>
      <c r="AQ38" s="10">
        <v>115588</v>
      </c>
      <c r="AR38" s="10">
        <v>0</v>
      </c>
      <c r="AS38" s="10">
        <v>0</v>
      </c>
      <c r="AT38" s="10">
        <v>0</v>
      </c>
      <c r="AU38" s="10">
        <v>5025</v>
      </c>
      <c r="AV38" s="10">
        <v>4728</v>
      </c>
      <c r="AW38" s="10">
        <f>1+42-8</f>
        <v>35</v>
      </c>
      <c r="AX38" s="10">
        <v>-309</v>
      </c>
      <c r="AY38" s="10">
        <v>-2647</v>
      </c>
      <c r="AZ38" s="10">
        <v>-614</v>
      </c>
      <c r="BA38" s="10">
        <v>0</v>
      </c>
      <c r="BB38" s="10">
        <f t="shared" si="4"/>
        <v>6218</v>
      </c>
      <c r="BC38" s="6">
        <v>11</v>
      </c>
      <c r="BD38" s="10">
        <v>106</v>
      </c>
      <c r="BE38" s="10">
        <v>30</v>
      </c>
      <c r="BF38" s="10">
        <v>175</v>
      </c>
      <c r="BG38" s="10">
        <v>303</v>
      </c>
    </row>
    <row r="39" spans="1:59">
      <c r="A39" s="6">
        <v>4</v>
      </c>
      <c r="B39" s="6" t="s">
        <v>99</v>
      </c>
      <c r="C39" s="7" t="s">
        <v>308</v>
      </c>
      <c r="D39" s="6" t="s">
        <v>134</v>
      </c>
      <c r="E39" s="6" t="s">
        <v>550</v>
      </c>
      <c r="F39" s="7"/>
      <c r="G39" s="7" t="s">
        <v>566</v>
      </c>
      <c r="H39" s="10">
        <v>5189083</v>
      </c>
      <c r="I39" s="10">
        <v>5200515</v>
      </c>
      <c r="J39" s="10">
        <v>109643</v>
      </c>
      <c r="K39" s="10">
        <v>3088823</v>
      </c>
      <c r="L39" s="10">
        <v>123174</v>
      </c>
      <c r="M39" s="10">
        <v>761416</v>
      </c>
      <c r="N39" s="10">
        <v>221505</v>
      </c>
      <c r="O39" s="10">
        <v>3500</v>
      </c>
      <c r="P39" s="10">
        <v>0</v>
      </c>
      <c r="Q39" s="10">
        <v>4558384</v>
      </c>
      <c r="R39" s="12">
        <v>0.2</v>
      </c>
      <c r="S39" s="10">
        <v>0</v>
      </c>
      <c r="T39" s="24">
        <f>360185/4554884</f>
        <v>7.907665705646949E-2</v>
      </c>
      <c r="U39" s="10">
        <v>359786</v>
      </c>
      <c r="V39" s="10">
        <v>0</v>
      </c>
      <c r="W39" s="10">
        <f>11282+766</f>
        <v>12048</v>
      </c>
      <c r="X39" s="10">
        <v>93689</v>
      </c>
      <c r="Y39" s="10">
        <v>8683</v>
      </c>
      <c r="Z39" s="10">
        <v>22234</v>
      </c>
      <c r="AA39" s="10">
        <v>24114</v>
      </c>
      <c r="AB39" s="10">
        <v>2709</v>
      </c>
      <c r="AC39" s="10">
        <v>7473</v>
      </c>
      <c r="AD39" s="10">
        <v>3090</v>
      </c>
      <c r="AE39" s="10">
        <f>5362+9943+13004</f>
        <v>28309</v>
      </c>
      <c r="AF39" s="10">
        <v>4966</v>
      </c>
      <c r="AG39" s="10">
        <v>0</v>
      </c>
      <c r="AH39" s="10">
        <f>15590+456</f>
        <v>16046</v>
      </c>
      <c r="AI39" s="10">
        <v>0</v>
      </c>
      <c r="AJ39" s="10">
        <v>248667</v>
      </c>
      <c r="AK39" s="10">
        <f>245418+5370+20+456</f>
        <v>251264</v>
      </c>
      <c r="AL39" s="10">
        <v>33406</v>
      </c>
      <c r="AM39" s="10">
        <v>0</v>
      </c>
      <c r="AN39" s="10">
        <v>0</v>
      </c>
      <c r="AO39" s="10">
        <v>129008</v>
      </c>
      <c r="AP39" s="10">
        <v>0</v>
      </c>
      <c r="AQ39" s="10">
        <v>31065</v>
      </c>
      <c r="AR39" s="10">
        <v>0</v>
      </c>
      <c r="AS39" s="10">
        <v>0</v>
      </c>
      <c r="AT39" s="10">
        <v>0</v>
      </c>
      <c r="AU39" s="10">
        <v>805</v>
      </c>
      <c r="AV39" s="10">
        <v>816</v>
      </c>
      <c r="AW39" s="10">
        <f>15+12-2</f>
        <v>25</v>
      </c>
      <c r="AX39" s="10">
        <v>-67</v>
      </c>
      <c r="AY39" s="10">
        <v>-190</v>
      </c>
      <c r="AZ39" s="10">
        <v>-90</v>
      </c>
      <c r="BA39" s="10">
        <v>0</v>
      </c>
      <c r="BB39" s="10">
        <f t="shared" si="4"/>
        <v>1299</v>
      </c>
      <c r="BC39" s="6">
        <v>0</v>
      </c>
      <c r="BD39" s="10">
        <v>55</v>
      </c>
      <c r="BE39" s="10">
        <v>11</v>
      </c>
      <c r="BF39" s="10">
        <v>24</v>
      </c>
      <c r="BG39" s="10">
        <v>0</v>
      </c>
    </row>
    <row r="40" spans="1:59">
      <c r="A40" s="6">
        <v>4</v>
      </c>
      <c r="B40" s="6" t="s">
        <v>147</v>
      </c>
      <c r="C40" s="7" t="s">
        <v>198</v>
      </c>
      <c r="D40" s="6" t="s">
        <v>57</v>
      </c>
      <c r="E40" s="6" t="s">
        <v>381</v>
      </c>
      <c r="F40" s="7"/>
      <c r="G40" s="7" t="s">
        <v>374</v>
      </c>
      <c r="H40" s="10">
        <v>20634956</v>
      </c>
      <c r="I40" s="10">
        <v>20691828</v>
      </c>
      <c r="J40" s="10">
        <v>1604511</v>
      </c>
      <c r="K40" s="10">
        <v>8136299</v>
      </c>
      <c r="L40" s="10">
        <v>1798880</v>
      </c>
      <c r="M40" s="10">
        <v>6142387</v>
      </c>
      <c r="N40" s="10">
        <v>1202095</v>
      </c>
      <c r="O40" s="10">
        <v>0</v>
      </c>
      <c r="P40" s="10">
        <v>92193</v>
      </c>
      <c r="Q40" s="10">
        <v>18414843</v>
      </c>
      <c r="R40" s="12">
        <v>0.16</v>
      </c>
      <c r="S40" s="10">
        <v>0</v>
      </c>
      <c r="T40" s="24">
        <f>1040379/18322650</f>
        <v>5.6781033311229544E-2</v>
      </c>
      <c r="U40" s="10">
        <v>1041159</v>
      </c>
      <c r="V40" s="10">
        <v>0</v>
      </c>
      <c r="W40" s="10">
        <f>51672+4230+2342</f>
        <v>58244</v>
      </c>
      <c r="X40" s="10">
        <f>483799+4550</f>
        <v>488349</v>
      </c>
      <c r="Y40" s="10">
        <f>37011+450</f>
        <v>37461</v>
      </c>
      <c r="Z40" s="10">
        <v>73058</v>
      </c>
      <c r="AA40" s="10">
        <v>93864</v>
      </c>
      <c r="AB40" s="10">
        <v>12120</v>
      </c>
      <c r="AC40" s="10">
        <v>163439</v>
      </c>
      <c r="AD40" s="10">
        <v>9014</v>
      </c>
      <c r="AE40" s="10">
        <f>5539+31120+27622</f>
        <v>64281</v>
      </c>
      <c r="AF40" s="10">
        <v>8919</v>
      </c>
      <c r="AG40" s="10">
        <v>11282</v>
      </c>
      <c r="AH40" s="10">
        <v>31415</v>
      </c>
      <c r="AI40" s="10">
        <v>0</v>
      </c>
      <c r="AJ40" s="10">
        <v>1021171</v>
      </c>
      <c r="AK40" s="10">
        <f>1051410+5000</f>
        <v>1056410</v>
      </c>
      <c r="AL40" s="10">
        <v>117124</v>
      </c>
      <c r="AM40" s="10">
        <v>0</v>
      </c>
      <c r="AN40" s="10">
        <v>0</v>
      </c>
      <c r="AO40" s="10">
        <v>129052</v>
      </c>
      <c r="AP40" s="10">
        <v>0</v>
      </c>
      <c r="AQ40" s="10">
        <v>158930</v>
      </c>
      <c r="AR40" s="10">
        <v>0</v>
      </c>
      <c r="AS40" s="10">
        <v>0</v>
      </c>
      <c r="AT40" s="10">
        <v>0</v>
      </c>
      <c r="AU40" s="10">
        <v>5642</v>
      </c>
      <c r="AV40" s="10">
        <v>4389</v>
      </c>
      <c r="AW40" s="10">
        <v>0</v>
      </c>
      <c r="AX40" s="10">
        <v>-752</v>
      </c>
      <c r="AY40" s="10">
        <v>-2046</v>
      </c>
      <c r="AZ40" s="10">
        <v>-630</v>
      </c>
      <c r="BA40" s="10">
        <v>-6</v>
      </c>
      <c r="BB40" s="10">
        <f t="shared" si="4"/>
        <v>6597</v>
      </c>
      <c r="BC40" s="6">
        <v>35</v>
      </c>
      <c r="BD40" s="10">
        <v>264</v>
      </c>
      <c r="BE40" s="10">
        <v>97</v>
      </c>
      <c r="BF40" s="10">
        <v>206</v>
      </c>
      <c r="BG40" s="10">
        <v>1</v>
      </c>
    </row>
    <row r="41" spans="1:59">
      <c r="A41" s="6">
        <v>4</v>
      </c>
      <c r="B41" s="6" t="s">
        <v>283</v>
      </c>
      <c r="C41" s="7" t="s">
        <v>522</v>
      </c>
      <c r="D41" s="6" t="s">
        <v>519</v>
      </c>
      <c r="E41" s="6" t="s">
        <v>622</v>
      </c>
      <c r="F41" s="7" t="s">
        <v>192</v>
      </c>
      <c r="G41" s="7" t="s">
        <v>625</v>
      </c>
      <c r="H41" s="10">
        <v>18266870</v>
      </c>
      <c r="I41" s="10">
        <v>18283850</v>
      </c>
      <c r="J41" s="10">
        <v>571227</v>
      </c>
      <c r="K41" s="10">
        <v>9128370</v>
      </c>
      <c r="L41" s="10">
        <v>1539492</v>
      </c>
      <c r="M41" s="10">
        <v>4022552</v>
      </c>
      <c r="N41" s="10">
        <v>1765520</v>
      </c>
      <c r="O41" s="10">
        <v>6710</v>
      </c>
      <c r="P41" s="10">
        <v>0</v>
      </c>
      <c r="Q41" s="10">
        <v>17119873</v>
      </c>
      <c r="R41" s="12">
        <v>7.3999999999999996E-2</v>
      </c>
      <c r="S41" s="10">
        <v>0</v>
      </c>
      <c r="T41" s="24">
        <f>650300/17113163</f>
        <v>3.7999988663697061E-2</v>
      </c>
      <c r="U41" s="10">
        <v>652191</v>
      </c>
      <c r="V41" s="10">
        <v>0</v>
      </c>
      <c r="W41" s="10">
        <f>16194+1993+968</f>
        <v>19155</v>
      </c>
      <c r="X41" s="10">
        <v>233955</v>
      </c>
      <c r="Y41" s="10">
        <v>19810</v>
      </c>
      <c r="Z41" s="10">
        <v>50518</v>
      </c>
      <c r="AA41" s="10">
        <v>46542</v>
      </c>
      <c r="AB41" s="10">
        <v>14430</v>
      </c>
      <c r="AC41" s="10">
        <v>35688</v>
      </c>
      <c r="AD41" s="2">
        <v>2412</v>
      </c>
      <c r="AE41" s="10">
        <f>8912+26707+29012</f>
        <v>64631</v>
      </c>
      <c r="AF41" s="10">
        <v>3891</v>
      </c>
      <c r="AG41" s="10">
        <v>11601</v>
      </c>
      <c r="AH41" s="10">
        <v>2959</v>
      </c>
      <c r="AI41" s="10">
        <v>36301</v>
      </c>
      <c r="AJ41" s="10">
        <v>515503</v>
      </c>
      <c r="AK41" s="10">
        <v>547933</v>
      </c>
      <c r="AL41" s="10">
        <v>61101</v>
      </c>
      <c r="AM41" s="10">
        <v>1</v>
      </c>
      <c r="AN41" s="10">
        <v>0</v>
      </c>
      <c r="AO41" s="10">
        <v>129052</v>
      </c>
      <c r="AP41" s="10">
        <v>0</v>
      </c>
      <c r="AQ41" s="10">
        <v>94602</v>
      </c>
      <c r="AR41" s="10">
        <v>6966</v>
      </c>
      <c r="AS41" s="10">
        <v>6966</v>
      </c>
      <c r="AT41" s="10">
        <v>0</v>
      </c>
      <c r="AU41" s="10">
        <v>3822</v>
      </c>
      <c r="AV41" s="10">
        <v>2708</v>
      </c>
      <c r="AW41" s="10">
        <f>-53+33</f>
        <v>-20</v>
      </c>
      <c r="AX41" s="10">
        <v>-227</v>
      </c>
      <c r="AY41" s="10">
        <v>-970</v>
      </c>
      <c r="AZ41" s="10">
        <v>-461</v>
      </c>
      <c r="BA41" s="10">
        <v>0</v>
      </c>
      <c r="BB41" s="10">
        <f t="shared" si="4"/>
        <v>4852</v>
      </c>
      <c r="BC41" s="6">
        <v>8</v>
      </c>
      <c r="BD41" s="10">
        <v>88</v>
      </c>
      <c r="BE41" s="10">
        <v>134</v>
      </c>
      <c r="BF41" s="10">
        <v>241</v>
      </c>
      <c r="BG41" s="10">
        <v>0</v>
      </c>
    </row>
    <row r="42" spans="1:59">
      <c r="A42" s="6">
        <v>4</v>
      </c>
      <c r="B42" s="6" t="s">
        <v>332</v>
      </c>
      <c r="C42" s="7" t="s">
        <v>597</v>
      </c>
      <c r="D42" s="6" t="s">
        <v>84</v>
      </c>
      <c r="E42" s="6" t="s">
        <v>381</v>
      </c>
      <c r="F42" s="7"/>
      <c r="G42" s="7" t="s">
        <v>374</v>
      </c>
      <c r="H42" s="10">
        <v>22940940</v>
      </c>
      <c r="I42" s="10">
        <v>23073868</v>
      </c>
      <c r="J42" s="10">
        <v>2180961</v>
      </c>
      <c r="K42" s="10">
        <v>9992783</v>
      </c>
      <c r="L42" s="10">
        <v>3643553</v>
      </c>
      <c r="M42" s="10">
        <v>4557280</v>
      </c>
      <c r="N42" s="10">
        <v>586742</v>
      </c>
      <c r="O42" s="10">
        <v>30450</v>
      </c>
      <c r="P42" s="10">
        <v>0</v>
      </c>
      <c r="Q42" s="10">
        <v>19705532</v>
      </c>
      <c r="R42" s="12">
        <v>0.16</v>
      </c>
      <c r="S42" s="10">
        <v>0</v>
      </c>
      <c r="T42" s="24">
        <f>894324/19675082</f>
        <v>4.5454651726483275E-2</v>
      </c>
      <c r="U42" s="10">
        <v>894724</v>
      </c>
      <c r="V42" s="10">
        <v>0</v>
      </c>
      <c r="W42" s="10">
        <f>121212+10242+1399</f>
        <v>132853</v>
      </c>
      <c r="X42" s="10">
        <v>333031</v>
      </c>
      <c r="Y42" s="10">
        <v>0</v>
      </c>
      <c r="Z42" s="10">
        <v>84818</v>
      </c>
      <c r="AA42" s="10">
        <f>92590+984</f>
        <v>93574</v>
      </c>
      <c r="AB42" s="10">
        <v>29895</v>
      </c>
      <c r="AC42" s="10">
        <v>112857</v>
      </c>
      <c r="AD42" s="10">
        <v>5627</v>
      </c>
      <c r="AE42" s="10">
        <f>5984+64781+33460</f>
        <v>104225</v>
      </c>
      <c r="AF42" s="10">
        <v>6348</v>
      </c>
      <c r="AG42" s="10">
        <v>2195</v>
      </c>
      <c r="AH42" s="10">
        <v>86023</v>
      </c>
      <c r="AI42" s="10">
        <v>4407</v>
      </c>
      <c r="AJ42" s="10">
        <v>893209</v>
      </c>
      <c r="AK42" s="10">
        <v>925017</v>
      </c>
      <c r="AL42" s="10">
        <v>84632</v>
      </c>
      <c r="AM42" s="10">
        <v>1652</v>
      </c>
      <c r="AN42" s="10">
        <v>0</v>
      </c>
      <c r="AO42" s="10">
        <v>129052</v>
      </c>
      <c r="AP42" s="10">
        <v>0</v>
      </c>
      <c r="AQ42" s="10">
        <v>122659</v>
      </c>
      <c r="AR42" s="10">
        <v>0</v>
      </c>
      <c r="AS42" s="10">
        <v>0</v>
      </c>
      <c r="AT42" s="10">
        <v>0</v>
      </c>
      <c r="AU42" s="10">
        <v>5770</v>
      </c>
      <c r="AV42" s="10">
        <v>4302</v>
      </c>
      <c r="AW42" s="10">
        <f>3+24-1</f>
        <v>26</v>
      </c>
      <c r="AX42" s="10">
        <v>-763</v>
      </c>
      <c r="AY42" s="10">
        <v>-1944</v>
      </c>
      <c r="AZ42" s="10">
        <v>-486</v>
      </c>
      <c r="BA42" s="10">
        <v>-2</v>
      </c>
      <c r="BB42" s="10">
        <f t="shared" si="4"/>
        <v>6903</v>
      </c>
      <c r="BC42" s="6">
        <v>22</v>
      </c>
      <c r="BD42" s="10">
        <v>165</v>
      </c>
      <c r="BE42" s="10">
        <v>112</v>
      </c>
      <c r="BF42" s="10">
        <v>201</v>
      </c>
      <c r="BG42" s="10">
        <v>8</v>
      </c>
    </row>
    <row r="43" spans="1:59">
      <c r="A43" s="6">
        <v>4</v>
      </c>
      <c r="B43" s="6" t="s">
        <v>346</v>
      </c>
      <c r="C43" s="7" t="s">
        <v>497</v>
      </c>
      <c r="D43" s="6" t="s">
        <v>134</v>
      </c>
      <c r="E43" s="6" t="s">
        <v>550</v>
      </c>
      <c r="F43" s="7"/>
      <c r="G43" s="7" t="s">
        <v>566</v>
      </c>
      <c r="H43" s="10">
        <v>14745765</v>
      </c>
      <c r="I43" s="10">
        <v>14776157</v>
      </c>
      <c r="J43" s="10">
        <v>164922</v>
      </c>
      <c r="K43" s="10">
        <v>10045673</v>
      </c>
      <c r="L43" s="10">
        <v>725822</v>
      </c>
      <c r="M43" s="10">
        <v>2358163</v>
      </c>
      <c r="N43" s="10">
        <v>700901</v>
      </c>
      <c r="O43" s="10">
        <v>7601</v>
      </c>
      <c r="P43" s="10">
        <v>0</v>
      </c>
      <c r="Q43" s="10">
        <v>14402958</v>
      </c>
      <c r="R43" s="12">
        <v>8.2000000000000003E-2</v>
      </c>
      <c r="S43" s="10">
        <v>0</v>
      </c>
      <c r="T43" s="24">
        <f>562418/14392830</f>
        <v>3.9076262277814716E-2</v>
      </c>
      <c r="U43" s="10">
        <v>562271</v>
      </c>
      <c r="V43" s="10">
        <v>0</v>
      </c>
      <c r="W43" s="10">
        <f>30392+864</f>
        <v>31256</v>
      </c>
      <c r="X43" s="10">
        <v>243942</v>
      </c>
      <c r="Y43" s="10">
        <v>19769</v>
      </c>
      <c r="Z43" s="10">
        <f>92590+984</f>
        <v>93574</v>
      </c>
      <c r="AA43" s="10">
        <f>36600+5467</f>
        <v>42067</v>
      </c>
      <c r="AB43" s="10">
        <v>685</v>
      </c>
      <c r="AC43" s="10">
        <v>17628</v>
      </c>
      <c r="AD43" s="10">
        <v>3300</v>
      </c>
      <c r="AE43" s="10">
        <f>7139+30696+22427</f>
        <v>60262</v>
      </c>
      <c r="AF43" s="10">
        <v>4966</v>
      </c>
      <c r="AG43" s="10">
        <v>0</v>
      </c>
      <c r="AH43" s="10">
        <f>4645+1595</f>
        <v>6240</v>
      </c>
      <c r="AI43" s="10">
        <v>36600</v>
      </c>
      <c r="AJ43" s="10">
        <v>469537</v>
      </c>
      <c r="AK43" s="10">
        <f>481400+70+1595</f>
        <v>483065</v>
      </c>
      <c r="AL43" s="10">
        <v>54752</v>
      </c>
      <c r="AM43" s="10">
        <v>0</v>
      </c>
      <c r="AN43" s="10">
        <v>0</v>
      </c>
      <c r="AO43" s="10">
        <v>129052</v>
      </c>
      <c r="AP43" s="10">
        <v>0</v>
      </c>
      <c r="AQ43" s="10">
        <v>57291</v>
      </c>
      <c r="AR43" s="10">
        <v>0</v>
      </c>
      <c r="AS43" s="10">
        <v>0</v>
      </c>
      <c r="AT43" s="10">
        <v>0</v>
      </c>
      <c r="AU43" s="10">
        <v>3515</v>
      </c>
      <c r="AV43" s="10">
        <v>1933</v>
      </c>
      <c r="AW43" s="10">
        <f>83+17-8</f>
        <v>92</v>
      </c>
      <c r="AX43" s="10">
        <v>-78</v>
      </c>
      <c r="AY43" s="10">
        <v>-889</v>
      </c>
      <c r="AZ43" s="10">
        <v>-420</v>
      </c>
      <c r="BA43" s="10">
        <v>-15</v>
      </c>
      <c r="BB43" s="10">
        <f t="shared" si="4"/>
        <v>4138</v>
      </c>
      <c r="BC43" s="6">
        <v>0</v>
      </c>
      <c r="BD43" s="10">
        <v>119</v>
      </c>
      <c r="BE43" s="10">
        <v>57</v>
      </c>
      <c r="BF43" s="10">
        <v>244</v>
      </c>
      <c r="BG43" s="10">
        <v>0</v>
      </c>
    </row>
    <row r="44" spans="1:59">
      <c r="A44" s="6">
        <v>4</v>
      </c>
      <c r="B44" s="6" t="s">
        <v>409</v>
      </c>
      <c r="C44" s="7" t="s">
        <v>340</v>
      </c>
      <c r="D44" s="6" t="s">
        <v>360</v>
      </c>
      <c r="E44" s="6" t="s">
        <v>622</v>
      </c>
      <c r="F44" s="7" t="s">
        <v>640</v>
      </c>
      <c r="G44" s="7" t="s">
        <v>625</v>
      </c>
      <c r="H44" s="10">
        <v>6871376</v>
      </c>
      <c r="I44" s="10">
        <v>6882708</v>
      </c>
      <c r="J44" s="10">
        <v>169316</v>
      </c>
      <c r="K44" s="10">
        <v>2802962</v>
      </c>
      <c r="L44" s="10">
        <v>326929</v>
      </c>
      <c r="M44" s="10">
        <v>1995491</v>
      </c>
      <c r="N44" s="10">
        <v>1064441</v>
      </c>
      <c r="O44" s="10">
        <v>0</v>
      </c>
      <c r="P44" s="10">
        <v>0</v>
      </c>
      <c r="Q44" s="10">
        <v>6575976</v>
      </c>
      <c r="R44" s="12">
        <v>0.1113</v>
      </c>
      <c r="S44" s="10">
        <v>0</v>
      </c>
      <c r="T44" s="24">
        <f>323606/6513915</f>
        <v>4.9679186787055095E-2</v>
      </c>
      <c r="U44" s="10">
        <v>322741</v>
      </c>
      <c r="V44" s="10">
        <v>0</v>
      </c>
      <c r="W44" s="10">
        <f>9863+797+928</f>
        <v>11588</v>
      </c>
      <c r="X44" s="10">
        <v>61861</v>
      </c>
      <c r="Y44" s="10">
        <v>5961</v>
      </c>
      <c r="Z44" s="10">
        <v>12318</v>
      </c>
      <c r="AA44" s="10">
        <v>12852</v>
      </c>
      <c r="AB44" s="10">
        <v>1621</v>
      </c>
      <c r="AC44" s="10">
        <v>17889</v>
      </c>
      <c r="AD44" s="10">
        <v>8855</v>
      </c>
      <c r="AE44" s="10">
        <f>11775+6128+7933</f>
        <v>25836</v>
      </c>
      <c r="AF44" s="10">
        <v>5000</v>
      </c>
      <c r="AG44" s="10">
        <v>4315</v>
      </c>
      <c r="AH44" s="10">
        <v>11460</v>
      </c>
      <c r="AI44" s="10">
        <v>86850</v>
      </c>
      <c r="AJ44" s="10">
        <v>184148</v>
      </c>
      <c r="AK44" s="10">
        <v>205848</v>
      </c>
      <c r="AL44" s="10">
        <v>23037</v>
      </c>
      <c r="AM44" s="10">
        <v>620</v>
      </c>
      <c r="AN44" s="10">
        <v>0</v>
      </c>
      <c r="AO44" s="10">
        <v>129052</v>
      </c>
      <c r="AP44" s="10">
        <v>0</v>
      </c>
      <c r="AQ44" s="10">
        <v>44166</v>
      </c>
      <c r="AR44" s="10">
        <v>12861</v>
      </c>
      <c r="AS44" s="10">
        <v>12861</v>
      </c>
      <c r="AT44" s="10">
        <v>0</v>
      </c>
      <c r="AU44" s="10">
        <v>1702</v>
      </c>
      <c r="AV44" s="10">
        <v>821</v>
      </c>
      <c r="AW44" s="10">
        <v>0</v>
      </c>
      <c r="AX44" s="10">
        <v>-135</v>
      </c>
      <c r="AY44" s="10">
        <v>-276</v>
      </c>
      <c r="AZ44" s="10">
        <v>-187</v>
      </c>
      <c r="BA44" s="10">
        <v>0</v>
      </c>
      <c r="BB44" s="10">
        <f t="shared" ref="BB44:BB75" si="5">SUM(AU44:BA44)</f>
        <v>1925</v>
      </c>
      <c r="BC44" s="6">
        <v>0</v>
      </c>
      <c r="BD44" s="10">
        <v>78</v>
      </c>
      <c r="BE44" s="10">
        <v>55</v>
      </c>
      <c r="BF44" s="10">
        <v>39</v>
      </c>
      <c r="BG44" s="10">
        <v>12</v>
      </c>
    </row>
    <row r="45" spans="1:59">
      <c r="A45" s="6">
        <v>4</v>
      </c>
      <c r="B45" s="6" t="s">
        <v>410</v>
      </c>
      <c r="C45" s="6" t="s">
        <v>267</v>
      </c>
      <c r="D45" s="6" t="s">
        <v>115</v>
      </c>
      <c r="E45" s="6" t="s">
        <v>656</v>
      </c>
      <c r="F45" s="7" t="s">
        <v>442</v>
      </c>
      <c r="G45" s="7" t="s">
        <v>639</v>
      </c>
      <c r="H45" s="10">
        <v>6086566</v>
      </c>
      <c r="I45" s="10">
        <v>6106840</v>
      </c>
      <c r="J45" s="10">
        <v>143741</v>
      </c>
      <c r="K45" s="10">
        <v>2673510</v>
      </c>
      <c r="L45" s="10">
        <v>1097826</v>
      </c>
      <c r="M45" s="10">
        <v>1301576</v>
      </c>
      <c r="N45" s="10">
        <v>225290</v>
      </c>
      <c r="O45" s="10">
        <v>42</v>
      </c>
      <c r="P45" s="10">
        <v>0</v>
      </c>
      <c r="Q45" s="10">
        <v>5728553</v>
      </c>
      <c r="R45" s="12">
        <v>0.09</v>
      </c>
      <c r="S45" s="10">
        <v>0</v>
      </c>
      <c r="T45" s="24">
        <f>421140/5607575</f>
        <v>7.5101982586055466E-2</v>
      </c>
      <c r="U45" s="10">
        <v>421641</v>
      </c>
      <c r="V45" s="10">
        <v>0</v>
      </c>
      <c r="W45" s="10">
        <f>18163+1541+254</f>
        <v>19958</v>
      </c>
      <c r="X45" s="10">
        <v>110235</v>
      </c>
      <c r="Y45" s="10">
        <v>12838</v>
      </c>
      <c r="Z45" s="10">
        <v>19137</v>
      </c>
      <c r="AA45" s="10">
        <v>21744</v>
      </c>
      <c r="AB45" s="10">
        <f>2681+2000</f>
        <v>4681</v>
      </c>
      <c r="AC45" s="10">
        <v>9230</v>
      </c>
      <c r="AD45" s="10">
        <v>4174</v>
      </c>
      <c r="AE45" s="10">
        <f>7492+20705+15532-2000</f>
        <v>41729</v>
      </c>
      <c r="AF45" s="10">
        <v>4455</v>
      </c>
      <c r="AG45" s="10">
        <v>7819</v>
      </c>
      <c r="AH45" s="10">
        <v>30853</v>
      </c>
      <c r="AI45" s="10">
        <v>0</v>
      </c>
      <c r="AJ45" s="10">
        <v>304142</v>
      </c>
      <c r="AK45" s="10">
        <v>316240</v>
      </c>
      <c r="AL45" s="10">
        <v>21788</v>
      </c>
      <c r="AM45" s="10">
        <v>0</v>
      </c>
      <c r="AN45" s="10">
        <v>0</v>
      </c>
      <c r="AO45" s="10">
        <v>129052</v>
      </c>
      <c r="AP45" s="10">
        <v>0</v>
      </c>
      <c r="AQ45" s="10">
        <v>48543</v>
      </c>
      <c r="AR45" s="10">
        <v>0</v>
      </c>
      <c r="AS45" s="10">
        <v>0</v>
      </c>
      <c r="AT45" s="10">
        <v>0</v>
      </c>
      <c r="AU45" s="10">
        <v>1285</v>
      </c>
      <c r="AV45" s="2">
        <v>489</v>
      </c>
      <c r="AW45" s="2">
        <f>107-89</f>
        <v>18</v>
      </c>
      <c r="AX45" s="10">
        <v>-135</v>
      </c>
      <c r="AY45" s="10">
        <v>-101</v>
      </c>
      <c r="AZ45" s="10">
        <v>-229</v>
      </c>
      <c r="BA45" s="10">
        <v>-24</v>
      </c>
      <c r="BB45" s="10">
        <f t="shared" si="5"/>
        <v>1303</v>
      </c>
      <c r="BC45" s="6">
        <v>15</v>
      </c>
      <c r="BD45" s="10">
        <v>56</v>
      </c>
      <c r="BE45" s="10">
        <v>9</v>
      </c>
      <c r="BF45" s="10">
        <v>0</v>
      </c>
      <c r="BG45" s="10">
        <v>160</v>
      </c>
    </row>
    <row r="46" spans="1:59">
      <c r="A46" s="6">
        <v>4</v>
      </c>
      <c r="B46" s="6" t="s">
        <v>426</v>
      </c>
      <c r="C46" s="6" t="s">
        <v>243</v>
      </c>
      <c r="D46" s="6" t="s">
        <v>489</v>
      </c>
      <c r="E46" s="6" t="s">
        <v>622</v>
      </c>
      <c r="F46" s="7" t="s">
        <v>192</v>
      </c>
      <c r="G46" s="7" t="s">
        <v>625</v>
      </c>
      <c r="H46" s="10">
        <v>9832600</v>
      </c>
      <c r="I46" s="10">
        <v>9846183</v>
      </c>
      <c r="J46" s="10">
        <v>201594</v>
      </c>
      <c r="K46" s="10">
        <v>5026771</v>
      </c>
      <c r="L46" s="10">
        <v>894858</v>
      </c>
      <c r="M46" s="10">
        <v>1812577</v>
      </c>
      <c r="N46" s="10">
        <v>1031214</v>
      </c>
      <c r="O46" s="10">
        <v>0</v>
      </c>
      <c r="P46" s="10">
        <v>0</v>
      </c>
      <c r="Q46" s="10">
        <v>9477292</v>
      </c>
      <c r="R46" s="12">
        <v>4.9000000000000002E-2</v>
      </c>
      <c r="S46" s="10">
        <v>0</v>
      </c>
      <c r="T46" s="24">
        <f>619471/9385925</f>
        <v>6.599999467287454E-2</v>
      </c>
      <c r="U46" s="10">
        <v>620468</v>
      </c>
      <c r="V46" s="10">
        <v>0</v>
      </c>
      <c r="W46" s="10">
        <f>12362+1115+845</f>
        <v>14322</v>
      </c>
      <c r="X46" s="10">
        <v>222720</v>
      </c>
      <c r="Y46" s="10">
        <v>17714</v>
      </c>
      <c r="Z46" s="10">
        <v>25940</v>
      </c>
      <c r="AA46" s="10">
        <v>27156</v>
      </c>
      <c r="AB46" s="10">
        <v>10244</v>
      </c>
      <c r="AC46" s="10">
        <v>32610</v>
      </c>
      <c r="AD46" s="10">
        <v>7674</v>
      </c>
      <c r="AE46" s="10">
        <f>6290+16282+15842</f>
        <v>38414</v>
      </c>
      <c r="AF46" s="10">
        <v>6149</v>
      </c>
      <c r="AG46" s="10">
        <v>119</v>
      </c>
      <c r="AH46" s="10">
        <v>38136</v>
      </c>
      <c r="AI46" s="10">
        <v>0</v>
      </c>
      <c r="AJ46" s="10">
        <v>442652</v>
      </c>
      <c r="AK46" s="10">
        <f>456674+200</f>
        <v>456874</v>
      </c>
      <c r="AL46" s="10">
        <v>58750</v>
      </c>
      <c r="AM46" s="10">
        <v>0</v>
      </c>
      <c r="AN46" s="10">
        <v>0</v>
      </c>
      <c r="AO46" s="10">
        <v>129052</v>
      </c>
      <c r="AP46" s="10">
        <v>0</v>
      </c>
      <c r="AQ46" s="10">
        <v>121836</v>
      </c>
      <c r="AR46" s="10">
        <v>46585</v>
      </c>
      <c r="AS46" s="10">
        <v>46585</v>
      </c>
      <c r="AT46" s="10">
        <v>0</v>
      </c>
      <c r="AU46" s="10">
        <v>2326</v>
      </c>
      <c r="AV46" s="10">
        <v>1441</v>
      </c>
      <c r="AW46" s="10">
        <v>0</v>
      </c>
      <c r="AX46" s="10">
        <v>-187</v>
      </c>
      <c r="AY46" s="10">
        <v>-524</v>
      </c>
      <c r="AZ46" s="10">
        <v>-291</v>
      </c>
      <c r="BA46" s="10">
        <v>0</v>
      </c>
      <c r="BB46" s="10">
        <f t="shared" si="5"/>
        <v>2765</v>
      </c>
      <c r="BC46" s="6">
        <v>1</v>
      </c>
      <c r="BD46" s="10">
        <v>66</v>
      </c>
      <c r="BE46" s="10">
        <v>23</v>
      </c>
      <c r="BF46" s="10">
        <v>198</v>
      </c>
      <c r="BG46" s="10">
        <v>0</v>
      </c>
    </row>
    <row r="47" spans="1:59">
      <c r="A47" s="6">
        <v>4</v>
      </c>
      <c r="B47" s="6" t="s">
        <v>435</v>
      </c>
      <c r="C47" s="7" t="s">
        <v>153</v>
      </c>
      <c r="D47" s="6" t="s">
        <v>631</v>
      </c>
      <c r="E47" s="6" t="s">
        <v>160</v>
      </c>
      <c r="F47" s="7"/>
      <c r="G47" s="7" t="s">
        <v>185</v>
      </c>
      <c r="H47" s="10">
        <v>4550412</v>
      </c>
      <c r="I47" s="10">
        <v>4564795</v>
      </c>
      <c r="J47" s="10">
        <v>302024</v>
      </c>
      <c r="K47" s="10">
        <v>1922384</v>
      </c>
      <c r="L47" s="10">
        <v>666264</v>
      </c>
      <c r="M47" s="10">
        <v>882220</v>
      </c>
      <c r="N47" s="10">
        <v>141803</v>
      </c>
      <c r="O47" s="10">
        <v>0</v>
      </c>
      <c r="P47" s="10">
        <v>0</v>
      </c>
      <c r="Q47" s="10">
        <v>3999746</v>
      </c>
      <c r="R47" s="12">
        <v>0.1502</v>
      </c>
      <c r="S47" s="10">
        <v>0</v>
      </c>
      <c r="T47" s="24">
        <f>386306/3999746</f>
        <v>9.6582632997195328E-2</v>
      </c>
      <c r="U47" s="10">
        <v>387075</v>
      </c>
      <c r="V47" s="10">
        <v>0</v>
      </c>
      <c r="W47" s="10">
        <f>14383+538</f>
        <v>14921</v>
      </c>
      <c r="X47" s="10">
        <v>79868</v>
      </c>
      <c r="Y47" s="10">
        <v>8205</v>
      </c>
      <c r="Z47" s="10">
        <v>7170</v>
      </c>
      <c r="AA47" s="10">
        <f>36780+1993</f>
        <v>38773</v>
      </c>
      <c r="AB47" s="10">
        <v>9679</v>
      </c>
      <c r="AC47" s="10">
        <v>66051</v>
      </c>
      <c r="AD47" s="10">
        <v>1089</v>
      </c>
      <c r="AE47" s="10">
        <f>5817+8206+13423</f>
        <v>27446</v>
      </c>
      <c r="AF47" s="10">
        <v>475</v>
      </c>
      <c r="AG47" s="10">
        <v>1173</v>
      </c>
      <c r="AH47" s="10">
        <v>7352</v>
      </c>
      <c r="AI47" s="10">
        <v>0</v>
      </c>
      <c r="AJ47" s="10">
        <v>271664</v>
      </c>
      <c r="AK47" s="10">
        <v>296664</v>
      </c>
      <c r="AL47" s="10">
        <v>32926</v>
      </c>
      <c r="AM47" s="10">
        <v>0</v>
      </c>
      <c r="AN47" s="10">
        <v>0</v>
      </c>
      <c r="AO47" s="10">
        <v>129052</v>
      </c>
      <c r="AP47" s="10">
        <v>0</v>
      </c>
      <c r="AQ47" s="10">
        <v>33976</v>
      </c>
      <c r="AR47" s="10">
        <v>0</v>
      </c>
      <c r="AS47" s="10">
        <v>0</v>
      </c>
      <c r="AT47" s="10">
        <v>0</v>
      </c>
      <c r="AU47" s="10">
        <v>1156</v>
      </c>
      <c r="AV47" s="10">
        <v>1070</v>
      </c>
      <c r="AW47" s="10">
        <f>20-11</f>
        <v>9</v>
      </c>
      <c r="AX47" s="10">
        <v>-133</v>
      </c>
      <c r="AY47" s="10">
        <v>-505</v>
      </c>
      <c r="AZ47" s="10">
        <v>-122</v>
      </c>
      <c r="BA47" s="10">
        <v>0</v>
      </c>
      <c r="BB47" s="10">
        <f t="shared" si="5"/>
        <v>1475</v>
      </c>
      <c r="BC47" s="6">
        <v>0</v>
      </c>
      <c r="BD47" s="10">
        <v>72</v>
      </c>
      <c r="BE47" s="10">
        <v>12</v>
      </c>
      <c r="BF47" s="10">
        <v>36</v>
      </c>
      <c r="BG47" s="10">
        <v>2</v>
      </c>
    </row>
    <row r="48" spans="1:59">
      <c r="A48" s="6">
        <v>4</v>
      </c>
      <c r="B48" s="6" t="s">
        <v>450</v>
      </c>
      <c r="C48" s="7" t="s">
        <v>245</v>
      </c>
      <c r="D48" s="6" t="s">
        <v>29</v>
      </c>
      <c r="E48" s="6" t="s">
        <v>622</v>
      </c>
      <c r="F48" s="7" t="s">
        <v>192</v>
      </c>
      <c r="G48" s="7" t="s">
        <v>625</v>
      </c>
      <c r="H48" s="10">
        <v>9195322</v>
      </c>
      <c r="I48" s="10">
        <v>9230344</v>
      </c>
      <c r="J48" s="10">
        <v>598066</v>
      </c>
      <c r="K48" s="10">
        <v>4079469</v>
      </c>
      <c r="L48" s="10">
        <v>1087896</v>
      </c>
      <c r="M48" s="10">
        <v>2686870</v>
      </c>
      <c r="N48" s="10">
        <v>342288</v>
      </c>
      <c r="O48" s="10">
        <v>0</v>
      </c>
      <c r="P48" s="10">
        <v>0</v>
      </c>
      <c r="Q48" s="10">
        <v>8593655</v>
      </c>
      <c r="R48" s="12">
        <v>0.12</v>
      </c>
      <c r="S48" s="10">
        <v>0</v>
      </c>
      <c r="T48" s="24">
        <f>404416/8593655</f>
        <v>4.7059836588739017E-2</v>
      </c>
      <c r="U48" s="10">
        <v>397132</v>
      </c>
      <c r="V48" s="10">
        <v>0</v>
      </c>
      <c r="W48" s="10">
        <f>35022+2894+899</f>
        <v>38815</v>
      </c>
      <c r="X48" s="10">
        <v>139894</v>
      </c>
      <c r="Y48" s="10">
        <v>11843</v>
      </c>
      <c r="Z48" s="10">
        <v>29508</v>
      </c>
      <c r="AA48" s="10">
        <v>33597</v>
      </c>
      <c r="AB48" s="10">
        <v>8058</v>
      </c>
      <c r="AC48" s="10">
        <v>11181</v>
      </c>
      <c r="AD48" s="10">
        <v>1792</v>
      </c>
      <c r="AE48" s="10">
        <f>6613+12991+11397</f>
        <v>31001</v>
      </c>
      <c r="AF48" s="10">
        <v>6418</v>
      </c>
      <c r="AG48" s="10">
        <v>0</v>
      </c>
      <c r="AH48" s="10">
        <f>13974+16000</f>
        <v>29974</v>
      </c>
      <c r="AI48" s="10">
        <v>85611</v>
      </c>
      <c r="AJ48" s="10">
        <v>311916</v>
      </c>
      <c r="AK48" s="10">
        <f>319187+16000</f>
        <v>335187</v>
      </c>
      <c r="AL48" s="10">
        <v>45271</v>
      </c>
      <c r="AM48" s="10">
        <v>0</v>
      </c>
      <c r="AN48" s="10">
        <v>0</v>
      </c>
      <c r="AO48" s="10">
        <v>129052</v>
      </c>
      <c r="AP48" s="10">
        <v>0</v>
      </c>
      <c r="AQ48" s="10">
        <v>42423</v>
      </c>
      <c r="AR48" s="10">
        <v>0</v>
      </c>
      <c r="AS48" s="10">
        <v>0</v>
      </c>
      <c r="AT48" s="10">
        <v>0</v>
      </c>
      <c r="AU48" s="10">
        <v>1576</v>
      </c>
      <c r="AV48" s="10">
        <v>1155</v>
      </c>
      <c r="AW48" s="10">
        <v>5</v>
      </c>
      <c r="AX48" s="10">
        <v>-249</v>
      </c>
      <c r="AY48" s="10">
        <v>-655</v>
      </c>
      <c r="AZ48" s="10">
        <v>-197</v>
      </c>
      <c r="BA48" s="10"/>
      <c r="BB48" s="10">
        <f t="shared" si="5"/>
        <v>1635</v>
      </c>
      <c r="BC48" s="6">
        <v>20</v>
      </c>
      <c r="BD48" s="10">
        <v>130</v>
      </c>
      <c r="BE48" s="10">
        <v>18</v>
      </c>
      <c r="BF48" s="10">
        <v>23</v>
      </c>
      <c r="BG48" s="10">
        <v>0</v>
      </c>
    </row>
    <row r="49" spans="1:59">
      <c r="A49" s="6">
        <v>4</v>
      </c>
      <c r="B49" s="6" t="s">
        <v>469</v>
      </c>
      <c r="C49" s="7" t="s">
        <v>267</v>
      </c>
      <c r="D49" s="6" t="s">
        <v>116</v>
      </c>
      <c r="E49" s="6" t="s">
        <v>622</v>
      </c>
      <c r="F49" s="7" t="s">
        <v>640</v>
      </c>
      <c r="G49" s="7" t="s">
        <v>625</v>
      </c>
      <c r="H49" s="10">
        <v>2624577</v>
      </c>
      <c r="I49" s="10">
        <v>2633445</v>
      </c>
      <c r="J49" s="10">
        <v>125817</v>
      </c>
      <c r="K49" s="10">
        <v>830355</v>
      </c>
      <c r="L49" s="10">
        <v>287551</v>
      </c>
      <c r="M49" s="10">
        <v>802533</v>
      </c>
      <c r="N49" s="10">
        <v>167458</v>
      </c>
      <c r="O49" s="10">
        <v>0</v>
      </c>
      <c r="P49" s="10">
        <v>0</v>
      </c>
      <c r="Q49" s="10">
        <v>2320239</v>
      </c>
      <c r="R49" s="12">
        <v>0.19</v>
      </c>
      <c r="S49" s="10">
        <v>0</v>
      </c>
      <c r="T49" s="24">
        <f>231729/2317289</f>
        <v>0.10000004315387506</v>
      </c>
      <c r="U49" s="10">
        <v>231681</v>
      </c>
      <c r="V49" s="10">
        <v>0</v>
      </c>
      <c r="W49" s="10">
        <f>8155+655+353</f>
        <v>9163</v>
      </c>
      <c r="X49" s="10">
        <v>49537</v>
      </c>
      <c r="Y49" s="10">
        <v>3986</v>
      </c>
      <c r="Z49" s="10">
        <v>7570</v>
      </c>
      <c r="AA49" s="10">
        <f>13060+1481</f>
        <v>14541</v>
      </c>
      <c r="AB49" s="10">
        <v>0</v>
      </c>
      <c r="AC49" s="10">
        <v>8371</v>
      </c>
      <c r="AD49" s="10">
        <v>0</v>
      </c>
      <c r="AE49" s="10">
        <f>3139+4486+2934</f>
        <v>10559</v>
      </c>
      <c r="AF49" s="10">
        <v>770</v>
      </c>
      <c r="AG49" s="10">
        <v>0</v>
      </c>
      <c r="AH49" s="10">
        <v>6702</v>
      </c>
      <c r="AI49" s="10">
        <v>4400</v>
      </c>
      <c r="AJ49" s="10">
        <v>114421</v>
      </c>
      <c r="AK49" s="10">
        <v>117218</v>
      </c>
      <c r="AL49" s="10">
        <v>13739</v>
      </c>
      <c r="AM49" s="10">
        <v>0</v>
      </c>
      <c r="AN49" s="10">
        <v>0</v>
      </c>
      <c r="AO49" s="10">
        <v>124756</v>
      </c>
      <c r="AP49" s="10">
        <v>0</v>
      </c>
      <c r="AQ49" s="10">
        <v>25440</v>
      </c>
      <c r="AR49" s="10">
        <v>5989</v>
      </c>
      <c r="AS49" s="10">
        <v>5989</v>
      </c>
      <c r="AT49" s="10">
        <v>0</v>
      </c>
      <c r="AU49" s="10">
        <v>548</v>
      </c>
      <c r="AV49" s="10">
        <v>240</v>
      </c>
      <c r="AW49" s="10">
        <f>13-2</f>
        <v>11</v>
      </c>
      <c r="AX49" s="10">
        <v>-48</v>
      </c>
      <c r="AY49" s="10">
        <v>-79</v>
      </c>
      <c r="AZ49" s="10">
        <v>-65</v>
      </c>
      <c r="BA49" s="10">
        <v>-2</v>
      </c>
      <c r="BB49" s="10">
        <f t="shared" si="5"/>
        <v>605</v>
      </c>
      <c r="BC49" s="6">
        <v>2</v>
      </c>
      <c r="BD49" s="10">
        <v>35</v>
      </c>
      <c r="BE49" s="10">
        <v>11</v>
      </c>
      <c r="BF49" s="10">
        <v>17</v>
      </c>
      <c r="BG49" s="10">
        <v>2</v>
      </c>
    </row>
    <row r="50" spans="1:59">
      <c r="A50" s="6">
        <v>4</v>
      </c>
      <c r="B50" s="6" t="s">
        <v>545</v>
      </c>
      <c r="C50" s="7" t="s">
        <v>230</v>
      </c>
      <c r="D50" s="6" t="s">
        <v>489</v>
      </c>
      <c r="E50" s="6" t="s">
        <v>622</v>
      </c>
      <c r="F50" s="7" t="s">
        <v>192</v>
      </c>
      <c r="G50" s="7" t="s">
        <v>625</v>
      </c>
      <c r="H50" s="10">
        <v>26380058</v>
      </c>
      <c r="I50" s="10">
        <v>26441246</v>
      </c>
      <c r="J50" s="10">
        <v>888800</v>
      </c>
      <c r="K50" s="10">
        <v>14453678</v>
      </c>
      <c r="L50" s="10">
        <v>2581632</v>
      </c>
      <c r="M50" s="10">
        <v>4864895</v>
      </c>
      <c r="N50" s="10">
        <v>2426178</v>
      </c>
      <c r="O50" s="10">
        <v>0</v>
      </c>
      <c r="P50" s="10">
        <v>0</v>
      </c>
      <c r="Q50" s="10">
        <v>25395679</v>
      </c>
      <c r="R50" s="12">
        <v>2.5000000000000001E-2</v>
      </c>
      <c r="S50" s="10">
        <v>0</v>
      </c>
      <c r="T50" s="24">
        <f>1071977/25300446</f>
        <v>4.2369885495299173E-2</v>
      </c>
      <c r="U50" s="10">
        <v>1069296</v>
      </c>
      <c r="V50" s="10">
        <v>0</v>
      </c>
      <c r="W50" s="10">
        <f>58535+3247+2214</f>
        <v>63996</v>
      </c>
      <c r="X50" s="10">
        <v>473070</v>
      </c>
      <c r="Y50" s="10">
        <v>33497</v>
      </c>
      <c r="Z50" s="10">
        <v>65480</v>
      </c>
      <c r="AA50" s="10">
        <v>57949</v>
      </c>
      <c r="AB50" s="10">
        <v>1590</v>
      </c>
      <c r="AC50" s="10">
        <v>16597</v>
      </c>
      <c r="AD50" s="10">
        <v>11033</v>
      </c>
      <c r="AE50" s="10">
        <f>14838+52529+49119</f>
        <v>116486</v>
      </c>
      <c r="AF50" s="10">
        <v>11801</v>
      </c>
      <c r="AG50" s="10">
        <v>21260</v>
      </c>
      <c r="AH50" s="10">
        <v>125274</v>
      </c>
      <c r="AI50" s="10">
        <v>0</v>
      </c>
      <c r="AJ50" s="10">
        <v>976226</v>
      </c>
      <c r="AK50" s="10">
        <v>1013024</v>
      </c>
      <c r="AL50" s="10">
        <v>110692</v>
      </c>
      <c r="AM50" s="10">
        <v>0</v>
      </c>
      <c r="AN50" s="10">
        <v>0</v>
      </c>
      <c r="AO50" s="10">
        <v>129052</v>
      </c>
      <c r="AP50" s="10">
        <v>0</v>
      </c>
      <c r="AQ50" s="10">
        <v>153730</v>
      </c>
      <c r="AR50" s="10">
        <v>0</v>
      </c>
      <c r="AS50" s="10">
        <v>0</v>
      </c>
      <c r="AT50" s="10">
        <v>0</v>
      </c>
      <c r="AU50" s="10">
        <v>6054</v>
      </c>
      <c r="AV50" s="10">
        <v>3126</v>
      </c>
      <c r="AW50" s="10">
        <v>-11</v>
      </c>
      <c r="AX50" s="10">
        <v>-498</v>
      </c>
      <c r="AY50" s="10">
        <v>-1042</v>
      </c>
      <c r="AZ50" s="10">
        <v>-880</v>
      </c>
      <c r="BA50" s="10">
        <v>-6</v>
      </c>
      <c r="BB50" s="10">
        <f t="shared" si="5"/>
        <v>6743</v>
      </c>
      <c r="BC50" s="6">
        <v>9</v>
      </c>
      <c r="BD50" s="10">
        <v>222</v>
      </c>
      <c r="BE50" s="10">
        <v>88</v>
      </c>
      <c r="BF50" s="10">
        <v>535</v>
      </c>
      <c r="BG50" s="10">
        <v>35</v>
      </c>
    </row>
    <row r="51" spans="1:59">
      <c r="A51" s="6">
        <v>4</v>
      </c>
      <c r="B51" s="6" t="s">
        <v>577</v>
      </c>
      <c r="C51" s="7" t="s">
        <v>648</v>
      </c>
      <c r="D51" s="6" t="s">
        <v>134</v>
      </c>
      <c r="E51" s="6" t="s">
        <v>550</v>
      </c>
      <c r="F51" s="7"/>
      <c r="G51" s="7" t="s">
        <v>566</v>
      </c>
      <c r="H51" s="10">
        <v>24719896</v>
      </c>
      <c r="I51" s="10">
        <v>24860016</v>
      </c>
      <c r="J51" s="10">
        <v>664895</v>
      </c>
      <c r="K51" s="10">
        <v>16333995</v>
      </c>
      <c r="L51" s="10">
        <v>895052</v>
      </c>
      <c r="M51" s="10">
        <v>5299576</v>
      </c>
      <c r="N51" s="10">
        <v>1136826</v>
      </c>
      <c r="O51" s="10">
        <v>0</v>
      </c>
      <c r="P51" s="10">
        <v>0</v>
      </c>
      <c r="Q51" s="10">
        <v>24472995</v>
      </c>
      <c r="R51" s="12">
        <v>0.12</v>
      </c>
      <c r="S51" s="10">
        <v>0</v>
      </c>
      <c r="T51" s="24">
        <f>799776/24464920</f>
        <v>3.269072614993223E-2</v>
      </c>
      <c r="U51" s="10">
        <v>799471</v>
      </c>
      <c r="V51" s="10">
        <v>0</v>
      </c>
      <c r="W51" s="10">
        <f>140120+1580</f>
        <v>141700</v>
      </c>
      <c r="X51" s="10">
        <v>447309</v>
      </c>
      <c r="Y51" s="10">
        <v>36243</v>
      </c>
      <c r="Z51" s="10">
        <v>61284</v>
      </c>
      <c r="AA51" s="10">
        <f>42506+6797</f>
        <v>49303</v>
      </c>
      <c r="AB51" s="10">
        <v>0</v>
      </c>
      <c r="AC51" s="10">
        <v>17628</v>
      </c>
      <c r="AD51" s="10">
        <v>9122</v>
      </c>
      <c r="AE51" s="10">
        <f>12195+41988+35283</f>
        <v>89466</v>
      </c>
      <c r="AF51" s="10">
        <v>6279</v>
      </c>
      <c r="AG51" s="10">
        <v>0</v>
      </c>
      <c r="AH51" s="10">
        <f>31794+2508</f>
        <v>34302</v>
      </c>
      <c r="AI51" s="10">
        <v>0</v>
      </c>
      <c r="AJ51" s="10">
        <v>794083</v>
      </c>
      <c r="AK51" s="10">
        <f>834172+110+2508</f>
        <v>836790</v>
      </c>
      <c r="AL51" s="10">
        <v>77682</v>
      </c>
      <c r="AM51" s="10">
        <v>0</v>
      </c>
      <c r="AN51" s="10">
        <v>0</v>
      </c>
      <c r="AO51" s="10">
        <v>129052</v>
      </c>
      <c r="AP51" s="10">
        <v>0</v>
      </c>
      <c r="AQ51" s="10">
        <v>95718</v>
      </c>
      <c r="AR51" s="10">
        <v>0</v>
      </c>
      <c r="AS51" s="10">
        <v>0</v>
      </c>
      <c r="AT51" s="10">
        <v>0</v>
      </c>
      <c r="AU51" s="10">
        <v>5628</v>
      </c>
      <c r="AV51" s="10">
        <v>2374</v>
      </c>
      <c r="AW51" s="10">
        <v>19</v>
      </c>
      <c r="AX51" s="10">
        <v>-193</v>
      </c>
      <c r="AY51" s="10">
        <v>-1242</v>
      </c>
      <c r="AZ51" s="10">
        <v>-786</v>
      </c>
      <c r="BA51" s="10">
        <v>-8</v>
      </c>
      <c r="BB51" s="10">
        <f t="shared" si="5"/>
        <v>5792</v>
      </c>
      <c r="BC51" s="6">
        <v>0</v>
      </c>
      <c r="BD51" s="10">
        <v>480</v>
      </c>
      <c r="BE51" s="10">
        <v>94</v>
      </c>
      <c r="BF51" s="10">
        <v>212</v>
      </c>
      <c r="BG51" s="10">
        <v>0</v>
      </c>
    </row>
    <row r="52" spans="1:59">
      <c r="A52" s="6">
        <v>4</v>
      </c>
      <c r="B52" s="6" t="s">
        <v>582</v>
      </c>
      <c r="C52" s="7" t="s">
        <v>297</v>
      </c>
      <c r="D52" s="6" t="s">
        <v>521</v>
      </c>
      <c r="E52" s="6" t="s">
        <v>622</v>
      </c>
      <c r="F52" s="7" t="s">
        <v>640</v>
      </c>
      <c r="G52" s="7" t="s">
        <v>625</v>
      </c>
      <c r="H52" s="10">
        <v>3403051</v>
      </c>
      <c r="I52" s="10">
        <v>3408247</v>
      </c>
      <c r="J52" s="10">
        <v>94723</v>
      </c>
      <c r="K52" s="10">
        <v>1434308</v>
      </c>
      <c r="L52" s="10">
        <v>211730</v>
      </c>
      <c r="M52" s="10">
        <v>959695</v>
      </c>
      <c r="N52" s="10">
        <v>233849</v>
      </c>
      <c r="O52" s="10">
        <v>0</v>
      </c>
      <c r="P52" s="10">
        <v>0</v>
      </c>
      <c r="Q52" s="10">
        <v>3122329</v>
      </c>
      <c r="R52" s="12">
        <v>0.18</v>
      </c>
      <c r="S52" s="10">
        <v>0</v>
      </c>
      <c r="T52" s="24">
        <f>259395/3111008</f>
        <v>8.3379727728118982E-2</v>
      </c>
      <c r="U52" s="10">
        <v>259319</v>
      </c>
      <c r="V52" s="10">
        <v>0</v>
      </c>
      <c r="W52" s="10">
        <f>4771+441+395</f>
        <v>5607</v>
      </c>
      <c r="X52" s="10">
        <v>65963</v>
      </c>
      <c r="Y52" s="10">
        <v>5247</v>
      </c>
      <c r="Z52" s="10">
        <v>9210</v>
      </c>
      <c r="AA52" s="10">
        <v>11173</v>
      </c>
      <c r="AB52" s="10">
        <v>0</v>
      </c>
      <c r="AC52" s="10">
        <v>9232</v>
      </c>
      <c r="AD52" s="10">
        <v>2056</v>
      </c>
      <c r="AE52" s="10">
        <f>2599+3688+3576</f>
        <v>9863</v>
      </c>
      <c r="AF52" s="10">
        <v>2323</v>
      </c>
      <c r="AG52" s="10">
        <v>0</v>
      </c>
      <c r="AH52" s="10">
        <f>8854+2320</f>
        <v>11174</v>
      </c>
      <c r="AI52" s="10">
        <v>0</v>
      </c>
      <c r="AJ52" s="10">
        <v>133233</v>
      </c>
      <c r="AK52" s="10">
        <f>145415+2320</f>
        <v>147735</v>
      </c>
      <c r="AL52" s="10">
        <v>18794</v>
      </c>
      <c r="AM52" s="10">
        <v>0</v>
      </c>
      <c r="AN52" s="10">
        <v>0</v>
      </c>
      <c r="AO52" s="10">
        <v>129052</v>
      </c>
      <c r="AP52" s="10">
        <v>0</v>
      </c>
      <c r="AQ52" s="10">
        <v>21435</v>
      </c>
      <c r="AR52" s="10">
        <v>0</v>
      </c>
      <c r="AS52" s="10">
        <v>0</v>
      </c>
      <c r="AT52" s="10">
        <v>0</v>
      </c>
      <c r="AU52" s="10">
        <v>1032</v>
      </c>
      <c r="AV52" s="10">
        <v>538</v>
      </c>
      <c r="AW52" s="10">
        <v>0</v>
      </c>
      <c r="AX52" s="10">
        <v>-98</v>
      </c>
      <c r="AY52" s="10">
        <v>-161</v>
      </c>
      <c r="AZ52" s="10">
        <v>-138</v>
      </c>
      <c r="BA52" s="10">
        <v>-21</v>
      </c>
      <c r="BB52" s="10">
        <f t="shared" si="5"/>
        <v>1152</v>
      </c>
      <c r="BC52" s="6">
        <v>2</v>
      </c>
      <c r="BD52" s="10">
        <v>34</v>
      </c>
      <c r="BE52" s="10">
        <v>17</v>
      </c>
      <c r="BF52" s="10">
        <v>71</v>
      </c>
      <c r="BG52" s="10">
        <v>12</v>
      </c>
    </row>
    <row r="53" spans="1:59">
      <c r="A53" s="6">
        <v>4</v>
      </c>
      <c r="B53" s="6" t="s">
        <v>647</v>
      </c>
      <c r="C53" s="7" t="s">
        <v>307</v>
      </c>
      <c r="D53" s="6" t="s">
        <v>89</v>
      </c>
      <c r="E53" s="6" t="s">
        <v>622</v>
      </c>
      <c r="F53" s="7" t="s">
        <v>640</v>
      </c>
      <c r="G53" s="7" t="s">
        <v>625</v>
      </c>
      <c r="H53" s="10">
        <v>3367801</v>
      </c>
      <c r="I53" s="10">
        <v>3388092</v>
      </c>
      <c r="J53" s="10">
        <v>86665</v>
      </c>
      <c r="K53" s="10">
        <v>2488678</v>
      </c>
      <c r="L53" s="10">
        <v>221085</v>
      </c>
      <c r="M53" s="10">
        <v>267194</v>
      </c>
      <c r="N53" s="10">
        <v>57164</v>
      </c>
      <c r="O53" s="10">
        <v>0</v>
      </c>
      <c r="P53" s="10">
        <v>0</v>
      </c>
      <c r="Q53" s="10">
        <v>3240959</v>
      </c>
      <c r="R53" s="12">
        <v>0.26</v>
      </c>
      <c r="S53" s="10">
        <v>0</v>
      </c>
      <c r="T53" s="24">
        <f>206677/3240959</f>
        <v>6.377032230275051E-2</v>
      </c>
      <c r="U53" s="10">
        <v>206672</v>
      </c>
      <c r="V53" s="10">
        <v>0</v>
      </c>
      <c r="W53" s="10">
        <f>20291+517</f>
        <v>20808</v>
      </c>
      <c r="X53" s="10">
        <v>45877</v>
      </c>
      <c r="Y53" s="10">
        <v>3343</v>
      </c>
      <c r="Z53" s="10">
        <v>4490</v>
      </c>
      <c r="AA53" s="10">
        <f>7680+3276</f>
        <v>10956</v>
      </c>
      <c r="AB53" s="10">
        <v>0</v>
      </c>
      <c r="AC53" s="10">
        <v>0</v>
      </c>
      <c r="AD53" s="10">
        <v>500</v>
      </c>
      <c r="AE53" s="10">
        <f>3573+3453+4289</f>
        <v>11315</v>
      </c>
      <c r="AF53" s="10">
        <v>5512</v>
      </c>
      <c r="AG53" s="10">
        <v>0</v>
      </c>
      <c r="AH53" s="10">
        <v>5945</v>
      </c>
      <c r="AI53" s="10">
        <v>12562</v>
      </c>
      <c r="AJ53" s="10">
        <v>101605</v>
      </c>
      <c r="AK53" s="10">
        <v>104516</v>
      </c>
      <c r="AL53" s="10">
        <v>13948</v>
      </c>
      <c r="AM53" s="10">
        <v>0</v>
      </c>
      <c r="AN53" s="10">
        <v>0</v>
      </c>
      <c r="AO53" s="10">
        <v>129052</v>
      </c>
      <c r="AP53" s="10">
        <v>0</v>
      </c>
      <c r="AQ53" s="10">
        <v>14771</v>
      </c>
      <c r="AR53" s="10">
        <v>0</v>
      </c>
      <c r="AS53" s="10">
        <v>0</v>
      </c>
      <c r="AT53" s="10">
        <v>0</v>
      </c>
      <c r="AU53" s="10">
        <v>576</v>
      </c>
      <c r="AV53" s="10">
        <v>279</v>
      </c>
      <c r="AW53" s="10">
        <v>0</v>
      </c>
      <c r="AX53" s="10">
        <v>-66</v>
      </c>
      <c r="AY53" s="10">
        <v>-74</v>
      </c>
      <c r="AZ53" s="10">
        <v>-71</v>
      </c>
      <c r="BA53" s="10">
        <v>-2</v>
      </c>
      <c r="BB53" s="10">
        <f t="shared" si="5"/>
        <v>642</v>
      </c>
      <c r="BC53" s="6">
        <v>5</v>
      </c>
      <c r="BD53" s="10">
        <v>13</v>
      </c>
      <c r="BE53" s="10">
        <v>11</v>
      </c>
      <c r="BF53" s="10">
        <v>20</v>
      </c>
      <c r="BG53" s="10">
        <v>29</v>
      </c>
    </row>
    <row r="54" spans="1:59">
      <c r="A54" s="6">
        <v>5</v>
      </c>
      <c r="B54" s="6" t="s">
        <v>58</v>
      </c>
      <c r="C54" s="7"/>
      <c r="D54" s="6" t="s">
        <v>29</v>
      </c>
      <c r="E54" s="6" t="s">
        <v>330</v>
      </c>
      <c r="F54" s="7" t="s">
        <v>640</v>
      </c>
      <c r="G54" s="7" t="s">
        <v>355</v>
      </c>
      <c r="H54" s="10">
        <v>4798953</v>
      </c>
      <c r="I54" s="10">
        <v>4818777</v>
      </c>
      <c r="J54" s="10">
        <v>79344</v>
      </c>
      <c r="K54" s="10">
        <v>2719775</v>
      </c>
      <c r="L54" s="10">
        <v>259150</v>
      </c>
      <c r="M54" s="10">
        <v>819225</v>
      </c>
      <c r="N54" s="10">
        <v>629868</v>
      </c>
      <c r="O54" s="10">
        <v>700</v>
      </c>
      <c r="P54" s="10">
        <v>0</v>
      </c>
      <c r="Q54" s="10">
        <v>4713822</v>
      </c>
      <c r="R54" s="12">
        <v>7.0000000000000007E-2</v>
      </c>
      <c r="S54" s="10">
        <v>0</v>
      </c>
      <c r="T54" s="24">
        <f>285125/4715493</f>
        <v>6.0465575921754097E-2</v>
      </c>
      <c r="U54" s="10">
        <v>285104</v>
      </c>
      <c r="V54" s="10">
        <v>0</v>
      </c>
      <c r="W54" s="10">
        <f>19824+601</f>
        <v>20425</v>
      </c>
      <c r="X54" s="10">
        <v>118271</v>
      </c>
      <c r="Y54" s="10">
        <v>10451</v>
      </c>
      <c r="Z54" s="10">
        <v>8487</v>
      </c>
      <c r="AA54" s="10">
        <v>10200</v>
      </c>
      <c r="AB54" s="10">
        <v>568</v>
      </c>
      <c r="AC54" s="10">
        <v>8148</v>
      </c>
      <c r="AD54" s="10">
        <v>4496</v>
      </c>
      <c r="AE54" s="10">
        <f>3748+13802+14708</f>
        <v>32258</v>
      </c>
      <c r="AF54" s="10">
        <v>10915</v>
      </c>
      <c r="AG54" s="10">
        <v>3986</v>
      </c>
      <c r="AH54" s="10">
        <v>12970</v>
      </c>
      <c r="AI54" s="10">
        <v>0</v>
      </c>
      <c r="AJ54" s="10">
        <v>236029</v>
      </c>
      <c r="AK54" s="10">
        <v>244582</v>
      </c>
      <c r="AL54" s="10">
        <v>25105</v>
      </c>
      <c r="AM54" s="10">
        <v>0</v>
      </c>
      <c r="AN54" s="10">
        <v>0</v>
      </c>
      <c r="AO54" s="10">
        <v>65088</v>
      </c>
      <c r="AP54" s="10">
        <v>0</v>
      </c>
      <c r="AQ54" s="10">
        <v>40217</v>
      </c>
      <c r="AR54" s="10">
        <v>0</v>
      </c>
      <c r="AS54" s="10">
        <v>0</v>
      </c>
      <c r="AT54" s="10">
        <v>0</v>
      </c>
      <c r="AU54" s="10">
        <v>2524</v>
      </c>
      <c r="AV54" s="10">
        <v>622</v>
      </c>
      <c r="AW54" s="10">
        <v>0</v>
      </c>
      <c r="AX54" s="10">
        <v>-17</v>
      </c>
      <c r="AY54" s="10">
        <v>-46</v>
      </c>
      <c r="AZ54" s="10">
        <v>-5</v>
      </c>
      <c r="BA54" s="10">
        <v>-1</v>
      </c>
      <c r="BB54" s="10">
        <f t="shared" si="5"/>
        <v>3077</v>
      </c>
      <c r="BC54" s="6">
        <v>0</v>
      </c>
      <c r="BD54" s="10">
        <v>4</v>
      </c>
      <c r="BE54" s="10">
        <v>0</v>
      </c>
      <c r="BF54" s="10">
        <v>1</v>
      </c>
      <c r="BG54" s="10">
        <v>0</v>
      </c>
    </row>
    <row r="55" spans="1:59">
      <c r="A55" s="6">
        <v>5</v>
      </c>
      <c r="B55" s="6" t="s">
        <v>60</v>
      </c>
      <c r="C55" s="7" t="s">
        <v>348</v>
      </c>
      <c r="D55" s="6" t="s">
        <v>301</v>
      </c>
      <c r="E55" s="6" t="s">
        <v>412</v>
      </c>
      <c r="F55" s="7" t="s">
        <v>441</v>
      </c>
      <c r="G55" s="7" t="s">
        <v>402</v>
      </c>
      <c r="H55" s="10">
        <v>25999579</v>
      </c>
      <c r="I55" s="10">
        <v>26152492</v>
      </c>
      <c r="J55" s="10">
        <v>641671</v>
      </c>
      <c r="K55" s="10">
        <f>11145865+8184705</f>
        <v>19330570</v>
      </c>
      <c r="L55" s="10">
        <v>773567</v>
      </c>
      <c r="M55" s="10">
        <v>2259241</v>
      </c>
      <c r="N55" s="10">
        <v>1400916</v>
      </c>
      <c r="O55" s="10">
        <v>0</v>
      </c>
      <c r="P55" s="10">
        <v>0</v>
      </c>
      <c r="Q55" s="10">
        <v>25042018</v>
      </c>
      <c r="R55" s="12">
        <v>0.1072</v>
      </c>
      <c r="S55" s="10">
        <v>8519926</v>
      </c>
      <c r="T55" s="24">
        <f>1078402/16521543</f>
        <v>6.5272474852984375E-2</v>
      </c>
      <c r="U55" s="10">
        <v>1072421</v>
      </c>
      <c r="V55" s="10">
        <v>2685</v>
      </c>
      <c r="W55" s="10">
        <f>134688+3933+3376</f>
        <v>141997</v>
      </c>
      <c r="X55" s="10">
        <v>426374</v>
      </c>
      <c r="Y55" s="10">
        <v>36935</v>
      </c>
      <c r="Z55" s="10">
        <v>63340</v>
      </c>
      <c r="AA55" s="10">
        <f>45942+13114</f>
        <v>59056</v>
      </c>
      <c r="AB55" s="10">
        <v>24756</v>
      </c>
      <c r="AC55" s="10">
        <v>213410</v>
      </c>
      <c r="AD55" s="10">
        <v>5117</v>
      </c>
      <c r="AE55" s="10">
        <f>13555+87204+25790</f>
        <v>126549</v>
      </c>
      <c r="AF55" s="10">
        <v>5663</v>
      </c>
      <c r="AG55" s="10">
        <v>15740</v>
      </c>
      <c r="AH55" s="10">
        <v>41564</v>
      </c>
      <c r="AI55" s="10">
        <v>0</v>
      </c>
      <c r="AJ55" s="10">
        <v>1075523</v>
      </c>
      <c r="AK55" s="10">
        <v>1109696</v>
      </c>
      <c r="AL55" s="10">
        <v>106063</v>
      </c>
      <c r="AM55" s="10">
        <v>0</v>
      </c>
      <c r="AN55" s="10">
        <v>0</v>
      </c>
      <c r="AO55" s="10">
        <v>129052</v>
      </c>
      <c r="AP55" s="10">
        <v>0</v>
      </c>
      <c r="AQ55" s="10">
        <v>119140</v>
      </c>
      <c r="AR55" s="10">
        <v>0</v>
      </c>
      <c r="AS55" s="10">
        <v>0</v>
      </c>
      <c r="AT55" s="10">
        <v>0</v>
      </c>
      <c r="AU55" s="10">
        <v>4809</v>
      </c>
      <c r="AV55" s="10">
        <v>2516</v>
      </c>
      <c r="AW55" s="10">
        <v>367</v>
      </c>
      <c r="AX55" s="10">
        <v>-398</v>
      </c>
      <c r="AY55" s="10">
        <v>-1179</v>
      </c>
      <c r="AZ55" s="10">
        <v>-641</v>
      </c>
      <c r="BA55" s="10">
        <v>-1</v>
      </c>
      <c r="BB55" s="10">
        <f t="shared" si="5"/>
        <v>5473</v>
      </c>
      <c r="BC55" s="6">
        <v>25</v>
      </c>
      <c r="BD55" s="10">
        <v>63</v>
      </c>
      <c r="BE55" s="10">
        <v>23</v>
      </c>
      <c r="BF55" s="10">
        <v>210</v>
      </c>
      <c r="BG55" s="10">
        <v>265</v>
      </c>
    </row>
    <row r="56" spans="1:59">
      <c r="A56" s="6">
        <v>5</v>
      </c>
      <c r="B56" s="6" t="s">
        <v>61</v>
      </c>
      <c r="C56" s="7" t="s">
        <v>259</v>
      </c>
      <c r="D56" s="6" t="s">
        <v>301</v>
      </c>
      <c r="E56" s="6" t="s">
        <v>412</v>
      </c>
      <c r="F56" s="7" t="s">
        <v>569</v>
      </c>
      <c r="G56" s="7" t="s">
        <v>402</v>
      </c>
      <c r="H56" s="10">
        <v>30967766</v>
      </c>
      <c r="I56" s="10">
        <v>31129802</v>
      </c>
      <c r="J56" s="10">
        <v>910460</v>
      </c>
      <c r="K56" s="10">
        <f>12341364+3866293</f>
        <v>16207657</v>
      </c>
      <c r="L56" s="10">
        <v>1167573</v>
      </c>
      <c r="M56" s="10">
        <v>9299524</v>
      </c>
      <c r="N56" s="10">
        <v>2349495</v>
      </c>
      <c r="O56" s="10">
        <v>0</v>
      </c>
      <c r="P56" s="10">
        <v>0</v>
      </c>
      <c r="Q56" s="10">
        <v>30295028</v>
      </c>
      <c r="R56" s="12">
        <v>0.08</v>
      </c>
      <c r="S56" s="10">
        <v>9257346</v>
      </c>
      <c r="T56" s="24">
        <f>1145176/21033026</f>
        <v>5.4446564179590706E-2</v>
      </c>
      <c r="U56" s="10">
        <v>1142184</v>
      </c>
      <c r="V56" s="10">
        <v>0</v>
      </c>
      <c r="W56" s="10">
        <f>141455+5729+5644</f>
        <v>152828</v>
      </c>
      <c r="X56" s="10">
        <v>460117</v>
      </c>
      <c r="Y56" s="10">
        <v>39640</v>
      </c>
      <c r="Z56" s="10">
        <v>69284</v>
      </c>
      <c r="AA56" s="10">
        <f>50205+14449</f>
        <v>64654</v>
      </c>
      <c r="AB56" s="10">
        <v>24756</v>
      </c>
      <c r="AC56" s="10">
        <v>255582</v>
      </c>
      <c r="AD56" s="10">
        <v>1351</v>
      </c>
      <c r="AE56" s="10">
        <f>10804+93004+22411</f>
        <v>126219</v>
      </c>
      <c r="AF56" s="10">
        <v>5588</v>
      </c>
      <c r="AG56" s="10">
        <v>17149</v>
      </c>
      <c r="AH56" s="10">
        <v>41659</v>
      </c>
      <c r="AI56" s="10">
        <v>0</v>
      </c>
      <c r="AJ56" s="10">
        <v>1163984</v>
      </c>
      <c r="AK56" s="10">
        <v>1219257</v>
      </c>
      <c r="AL56" s="10">
        <v>136424</v>
      </c>
      <c r="AM56" s="10">
        <v>0</v>
      </c>
      <c r="AN56" s="10">
        <v>0</v>
      </c>
      <c r="AO56" s="10">
        <v>129052</v>
      </c>
      <c r="AP56" s="10">
        <v>0</v>
      </c>
      <c r="AQ56" s="10">
        <v>143056</v>
      </c>
      <c r="AR56" s="10">
        <v>0</v>
      </c>
      <c r="AS56" s="10">
        <v>0</v>
      </c>
      <c r="AT56" s="10">
        <v>0</v>
      </c>
      <c r="AU56" s="10">
        <v>5486</v>
      </c>
      <c r="AV56" s="10">
        <v>3233</v>
      </c>
      <c r="AW56" s="10">
        <f>383-2</f>
        <v>381</v>
      </c>
      <c r="AX56" s="10">
        <v>-555</v>
      </c>
      <c r="AY56" s="10">
        <v>-1786</v>
      </c>
      <c r="AZ56" s="10">
        <v>-719</v>
      </c>
      <c r="BA56" s="10">
        <v>0</v>
      </c>
      <c r="BB56" s="10">
        <f t="shared" si="5"/>
        <v>6040</v>
      </c>
      <c r="BC56" s="6">
        <v>41</v>
      </c>
      <c r="BD56" s="10">
        <v>173</v>
      </c>
      <c r="BE56" s="10">
        <v>46</v>
      </c>
      <c r="BF56" s="10">
        <v>245</v>
      </c>
      <c r="BG56" s="10">
        <v>214</v>
      </c>
    </row>
    <row r="57" spans="1:59">
      <c r="A57" s="6">
        <v>5</v>
      </c>
      <c r="B57" s="6" t="s">
        <v>66</v>
      </c>
      <c r="C57" s="7" t="s">
        <v>578</v>
      </c>
      <c r="D57" s="6" t="s">
        <v>386</v>
      </c>
      <c r="E57" s="6" t="s">
        <v>330</v>
      </c>
      <c r="F57" s="7" t="s">
        <v>192</v>
      </c>
      <c r="G57" s="7" t="s">
        <v>355</v>
      </c>
      <c r="H57" s="10">
        <v>14504787</v>
      </c>
      <c r="I57" s="10">
        <v>14564744</v>
      </c>
      <c r="J57" s="10">
        <v>470531</v>
      </c>
      <c r="K57" s="10">
        <v>5338782</v>
      </c>
      <c r="L57" s="10">
        <v>1038208</v>
      </c>
      <c r="M57" s="10">
        <v>5889664</v>
      </c>
      <c r="N57" s="10">
        <v>1159304</v>
      </c>
      <c r="O57" s="10">
        <v>0</v>
      </c>
      <c r="P57" s="10">
        <v>0</v>
      </c>
      <c r="Q57" s="10">
        <v>14058591</v>
      </c>
      <c r="R57" s="12">
        <v>0.1196</v>
      </c>
      <c r="S57" s="10">
        <v>0</v>
      </c>
      <c r="T57" s="24">
        <f>632637/14058591</f>
        <v>4.5000028808007859E-2</v>
      </c>
      <c r="U57" s="10">
        <v>632633</v>
      </c>
      <c r="V57" s="10">
        <v>0</v>
      </c>
      <c r="W57" s="10">
        <f>59957+1258</f>
        <v>61215</v>
      </c>
      <c r="X57" s="10">
        <v>307536</v>
      </c>
      <c r="Y57" s="10">
        <v>24102</v>
      </c>
      <c r="Z57" s="10">
        <v>82480</v>
      </c>
      <c r="AA57" s="10">
        <v>41887</v>
      </c>
      <c r="AB57" s="10">
        <v>1415</v>
      </c>
      <c r="AC57" s="10">
        <v>17034</v>
      </c>
      <c r="AD57" s="10">
        <v>929</v>
      </c>
      <c r="AE57" s="10">
        <f>8582+32584+16260</f>
        <v>57426</v>
      </c>
      <c r="AF57" s="10">
        <v>6620</v>
      </c>
      <c r="AG57" s="10">
        <v>0</v>
      </c>
      <c r="AH57" s="10">
        <v>14514</v>
      </c>
      <c r="AI57" s="10">
        <v>43688</v>
      </c>
      <c r="AJ57" s="10">
        <v>596677</v>
      </c>
      <c r="AK57" s="10">
        <v>608850</v>
      </c>
      <c r="AL57" s="10">
        <v>66736</v>
      </c>
      <c r="AM57" s="10">
        <v>0</v>
      </c>
      <c r="AN57" s="10">
        <v>0</v>
      </c>
      <c r="AO57" s="10">
        <v>129052</v>
      </c>
      <c r="AP57" s="10">
        <v>0</v>
      </c>
      <c r="AQ57" s="10">
        <v>34296</v>
      </c>
      <c r="AR57" s="10">
        <v>0</v>
      </c>
      <c r="AS57" s="10">
        <v>0</v>
      </c>
      <c r="AT57" s="10">
        <v>0</v>
      </c>
      <c r="AU57" s="10">
        <v>3992</v>
      </c>
      <c r="AV57" s="10">
        <v>2250</v>
      </c>
      <c r="AW57" s="10">
        <v>18</v>
      </c>
      <c r="AX57" s="10">
        <v>-253</v>
      </c>
      <c r="AY57" s="10">
        <v>-1426</v>
      </c>
      <c r="AZ57" s="10">
        <v>-582</v>
      </c>
      <c r="BA57" s="10">
        <v>0</v>
      </c>
      <c r="BB57" s="10">
        <f t="shared" si="5"/>
        <v>3999</v>
      </c>
      <c r="BC57" s="6">
        <v>0</v>
      </c>
      <c r="BD57" s="10">
        <v>484</v>
      </c>
      <c r="BE57" s="10">
        <v>17</v>
      </c>
      <c r="BF57" s="10">
        <v>80</v>
      </c>
      <c r="BG57" s="10">
        <v>1</v>
      </c>
    </row>
    <row r="58" spans="1:59">
      <c r="A58" s="6">
        <v>5</v>
      </c>
      <c r="B58" s="6" t="s">
        <v>69</v>
      </c>
      <c r="C58" s="7" t="s">
        <v>298</v>
      </c>
      <c r="D58" s="6" t="s">
        <v>263</v>
      </c>
      <c r="E58" s="6" t="s">
        <v>412</v>
      </c>
      <c r="F58" s="7" t="s">
        <v>568</v>
      </c>
      <c r="G58" s="7" t="s">
        <v>402</v>
      </c>
      <c r="H58" s="10">
        <v>9865263</v>
      </c>
      <c r="I58" s="10">
        <v>9877419</v>
      </c>
      <c r="J58" s="10">
        <v>215246</v>
      </c>
      <c r="K58" s="10">
        <v>6707685</v>
      </c>
      <c r="L58" s="10">
        <v>311118</v>
      </c>
      <c r="M58" s="10">
        <v>1413107</v>
      </c>
      <c r="N58" s="10">
        <v>812802</v>
      </c>
      <c r="O58" s="10">
        <v>0</v>
      </c>
      <c r="P58" s="10">
        <v>0</v>
      </c>
      <c r="Q58" s="10">
        <v>9799199</v>
      </c>
      <c r="R58" s="12">
        <v>0.05</v>
      </c>
      <c r="S58" s="10">
        <v>0</v>
      </c>
      <c r="T58" s="24">
        <f>554486/9828706</f>
        <v>5.6414954318503373E-2</v>
      </c>
      <c r="U58" s="10">
        <v>554487</v>
      </c>
      <c r="V58" s="10">
        <v>0</v>
      </c>
      <c r="W58" s="10">
        <f>11163+977+1862</f>
        <v>14002</v>
      </c>
      <c r="X58" s="10">
        <v>194411</v>
      </c>
      <c r="Y58" s="10">
        <v>14872</v>
      </c>
      <c r="Z58" s="10">
        <v>34813</v>
      </c>
      <c r="AA58" s="10">
        <v>34224</v>
      </c>
      <c r="AB58" s="10">
        <v>4950</v>
      </c>
      <c r="AC58" s="10">
        <v>12981</v>
      </c>
      <c r="AD58" s="10">
        <v>10525</v>
      </c>
      <c r="AE58" s="10">
        <f>10927+25000+14719</f>
        <v>50646</v>
      </c>
      <c r="AF58" s="10">
        <v>5599</v>
      </c>
      <c r="AG58" s="10">
        <v>0</v>
      </c>
      <c r="AH58" s="10">
        <v>20478</v>
      </c>
      <c r="AI58" s="10">
        <v>244096</v>
      </c>
      <c r="AJ58" s="10">
        <v>429248</v>
      </c>
      <c r="AK58" s="10">
        <v>439644</v>
      </c>
      <c r="AL58" s="10">
        <v>53851</v>
      </c>
      <c r="AM58" s="10">
        <v>0</v>
      </c>
      <c r="AN58" s="10">
        <v>0</v>
      </c>
      <c r="AO58" s="10">
        <v>129052</v>
      </c>
      <c r="AP58" s="10">
        <v>0</v>
      </c>
      <c r="AQ58" s="10">
        <v>64040</v>
      </c>
      <c r="AR58" s="10">
        <v>0</v>
      </c>
      <c r="AS58" s="10">
        <v>0</v>
      </c>
      <c r="AT58" s="10">
        <v>0</v>
      </c>
      <c r="AU58" s="10">
        <v>2430</v>
      </c>
      <c r="AV58" s="10">
        <v>1139</v>
      </c>
      <c r="AW58" s="10">
        <v>12</v>
      </c>
      <c r="AX58" s="10">
        <v>-159</v>
      </c>
      <c r="AY58" s="10">
        <v>-488</v>
      </c>
      <c r="AZ58" s="10">
        <v>-260</v>
      </c>
      <c r="BA58" s="10">
        <v>-2</v>
      </c>
      <c r="BB58" s="10">
        <f t="shared" si="5"/>
        <v>2672</v>
      </c>
      <c r="BC58" s="6">
        <v>5</v>
      </c>
      <c r="BD58" s="10">
        <v>45</v>
      </c>
      <c r="BE58" s="10">
        <v>11</v>
      </c>
      <c r="BF58" s="10">
        <v>162</v>
      </c>
      <c r="BG58" s="10">
        <v>13</v>
      </c>
    </row>
    <row r="59" spans="1:59">
      <c r="A59" s="6">
        <v>5</v>
      </c>
      <c r="B59" s="6" t="s">
        <v>149</v>
      </c>
      <c r="C59" s="7" t="s">
        <v>40</v>
      </c>
      <c r="D59" s="7" t="s">
        <v>64</v>
      </c>
      <c r="E59" s="7" t="s">
        <v>330</v>
      </c>
      <c r="F59" s="7" t="s">
        <v>394</v>
      </c>
      <c r="G59" s="7" t="s">
        <v>355</v>
      </c>
      <c r="H59" s="10">
        <v>10041623</v>
      </c>
      <c r="I59" s="10">
        <v>10007661</v>
      </c>
      <c r="J59" s="10">
        <v>560474</v>
      </c>
      <c r="K59" s="10">
        <v>4584353</v>
      </c>
      <c r="L59" s="10">
        <v>670556</v>
      </c>
      <c r="M59" s="10">
        <v>2867421</v>
      </c>
      <c r="N59" s="10">
        <v>777885</v>
      </c>
      <c r="O59" s="10">
        <v>36039</v>
      </c>
      <c r="P59" s="10">
        <v>0</v>
      </c>
      <c r="Q59" s="10">
        <v>9487130</v>
      </c>
      <c r="R59" s="12">
        <v>0.03</v>
      </c>
      <c r="S59" s="10">
        <v>0</v>
      </c>
      <c r="T59" s="24">
        <f>542783/9081746</f>
        <v>5.9766370915900972E-2</v>
      </c>
      <c r="U59" s="10">
        <v>544204</v>
      </c>
      <c r="V59" s="10">
        <v>0</v>
      </c>
      <c r="W59" s="10">
        <f>37869+251</f>
        <v>38120</v>
      </c>
      <c r="X59" s="10">
        <v>219736</v>
      </c>
      <c r="Y59" s="10">
        <v>18667</v>
      </c>
      <c r="Z59" s="10">
        <v>22092</v>
      </c>
      <c r="AA59" s="10">
        <f>47597+5687</f>
        <v>53284</v>
      </c>
      <c r="AB59" s="10">
        <v>500</v>
      </c>
      <c r="AC59" s="10">
        <v>18636</v>
      </c>
      <c r="AD59" s="10">
        <v>3541</v>
      </c>
      <c r="AE59" s="10">
        <f>10271+21977+31280</f>
        <v>63528</v>
      </c>
      <c r="AF59" s="10">
        <v>5055</v>
      </c>
      <c r="AG59" s="10">
        <v>3041</v>
      </c>
      <c r="AH59" s="10">
        <v>16779</v>
      </c>
      <c r="AI59" s="10">
        <v>22739</v>
      </c>
      <c r="AJ59" s="10">
        <v>457187</v>
      </c>
      <c r="AK59" s="10">
        <v>469334</v>
      </c>
      <c r="AL59" s="10">
        <v>44530</v>
      </c>
      <c r="AM59" s="10">
        <v>0</v>
      </c>
      <c r="AN59" s="10">
        <v>0</v>
      </c>
      <c r="AO59" s="10">
        <v>129052</v>
      </c>
      <c r="AP59" s="10">
        <v>0</v>
      </c>
      <c r="AQ59" s="10">
        <v>77609</v>
      </c>
      <c r="AR59" s="10">
        <v>0</v>
      </c>
      <c r="AS59" s="10">
        <v>0</v>
      </c>
      <c r="AT59" s="10">
        <v>0</v>
      </c>
      <c r="AU59" s="10">
        <v>1639</v>
      </c>
      <c r="AV59" s="10">
        <v>881</v>
      </c>
      <c r="AW59" s="10">
        <v>14</v>
      </c>
      <c r="AX59" s="10">
        <v>-263</v>
      </c>
      <c r="AY59" s="10">
        <v>-202</v>
      </c>
      <c r="AZ59" s="10">
        <v>-224</v>
      </c>
      <c r="BA59" s="10">
        <v>0</v>
      </c>
      <c r="BB59" s="10">
        <f t="shared" si="5"/>
        <v>1845</v>
      </c>
      <c r="BC59" s="6">
        <v>0</v>
      </c>
      <c r="BD59" s="10">
        <v>108</v>
      </c>
      <c r="BE59" s="10">
        <v>28</v>
      </c>
      <c r="BF59" s="10">
        <v>85</v>
      </c>
      <c r="BG59" s="10">
        <v>16</v>
      </c>
    </row>
    <row r="60" spans="1:59">
      <c r="A60" s="6">
        <v>5</v>
      </c>
      <c r="B60" s="6" t="s">
        <v>158</v>
      </c>
      <c r="C60" s="7" t="s">
        <v>470</v>
      </c>
      <c r="D60" s="6" t="s">
        <v>559</v>
      </c>
      <c r="E60" s="6" t="s">
        <v>330</v>
      </c>
      <c r="F60" s="7" t="s">
        <v>640</v>
      </c>
      <c r="G60" s="7" t="s">
        <v>355</v>
      </c>
      <c r="H60" s="10">
        <v>44986075</v>
      </c>
      <c r="I60" s="10">
        <v>45100466</v>
      </c>
      <c r="J60" s="10">
        <v>1242204</v>
      </c>
      <c r="K60" s="10">
        <v>27881083</v>
      </c>
      <c r="L60" s="10">
        <v>2910018</v>
      </c>
      <c r="M60" s="10">
        <v>5956887</v>
      </c>
      <c r="N60" s="10">
        <v>5698389</v>
      </c>
      <c r="O60" s="10">
        <v>8110</v>
      </c>
      <c r="P60" s="10">
        <v>0</v>
      </c>
      <c r="Q60" s="10">
        <v>44140659</v>
      </c>
      <c r="R60" s="12">
        <v>1.7999999999999999E-2</v>
      </c>
      <c r="S60" s="10">
        <v>0</v>
      </c>
      <c r="T60" s="24">
        <f>1686033/44132549</f>
        <v>3.8203843607583145E-2</v>
      </c>
      <c r="U60" s="10">
        <v>1686172</v>
      </c>
      <c r="V60" s="10">
        <v>0</v>
      </c>
      <c r="W60" s="10">
        <f>113470+4548</f>
        <v>118018</v>
      </c>
      <c r="X60" s="10">
        <v>762845</v>
      </c>
      <c r="Y60" s="10">
        <v>60384</v>
      </c>
      <c r="Z60" s="10">
        <v>159474</v>
      </c>
      <c r="AA60" s="10">
        <f>84763+4614</f>
        <v>89377</v>
      </c>
      <c r="AB60" s="10">
        <v>0</v>
      </c>
      <c r="AC60" s="10">
        <v>16659</v>
      </c>
      <c r="AD60" s="10">
        <v>2534</v>
      </c>
      <c r="AE60" s="10">
        <f>13605+124362+52371</f>
        <v>190338</v>
      </c>
      <c r="AF60" s="10">
        <v>9616</v>
      </c>
      <c r="AG60" s="10">
        <v>0</v>
      </c>
      <c r="AH60" s="10">
        <v>96253</v>
      </c>
      <c r="AI60" s="10">
        <v>73733</v>
      </c>
      <c r="AJ60" s="10">
        <v>1657071</v>
      </c>
      <c r="AK60" s="10">
        <v>1705423</v>
      </c>
      <c r="AL60" s="10">
        <v>230489</v>
      </c>
      <c r="AM60" s="10">
        <v>0</v>
      </c>
      <c r="AN60" s="10">
        <v>0</v>
      </c>
      <c r="AO60" s="10">
        <v>129052</v>
      </c>
      <c r="AP60" s="10">
        <v>0</v>
      </c>
      <c r="AQ60" s="10">
        <v>256666</v>
      </c>
      <c r="AR60" s="10">
        <v>0</v>
      </c>
      <c r="AS60" s="10">
        <v>0</v>
      </c>
      <c r="AT60" s="10">
        <v>0</v>
      </c>
      <c r="AU60" s="10">
        <v>11095</v>
      </c>
      <c r="AV60" s="10">
        <v>4943</v>
      </c>
      <c r="AW60" s="10">
        <f>0+31-2525</f>
        <v>-2494</v>
      </c>
      <c r="AX60" s="10">
        <v>-569</v>
      </c>
      <c r="AY60" s="10">
        <v>-1767</v>
      </c>
      <c r="AZ60" s="10">
        <v>-1077</v>
      </c>
      <c r="BA60" s="10">
        <v>-23</v>
      </c>
      <c r="BB60" s="10">
        <f t="shared" si="5"/>
        <v>10108</v>
      </c>
      <c r="BC60" s="6">
        <v>13</v>
      </c>
      <c r="BD60" s="10">
        <v>461</v>
      </c>
      <c r="BE60" s="10">
        <v>152</v>
      </c>
      <c r="BF60" s="10">
        <v>424</v>
      </c>
      <c r="BG60" s="10">
        <v>40</v>
      </c>
    </row>
    <row r="61" spans="1:59">
      <c r="A61" s="6">
        <v>5</v>
      </c>
      <c r="B61" s="6" t="s">
        <v>528</v>
      </c>
      <c r="C61" s="7" t="s">
        <v>318</v>
      </c>
      <c r="D61" s="6" t="s">
        <v>333</v>
      </c>
      <c r="E61" s="6" t="s">
        <v>330</v>
      </c>
      <c r="F61" s="7" t="s">
        <v>640</v>
      </c>
      <c r="G61" s="7" t="s">
        <v>355</v>
      </c>
      <c r="H61" s="10">
        <v>12289620</v>
      </c>
      <c r="I61" s="10">
        <v>12333606</v>
      </c>
      <c r="J61" s="10">
        <v>246281</v>
      </c>
      <c r="K61" s="10">
        <v>7269599</v>
      </c>
      <c r="L61" s="10">
        <v>525718</v>
      </c>
      <c r="M61" s="10">
        <v>2190855</v>
      </c>
      <c r="N61" s="10">
        <v>1089632</v>
      </c>
      <c r="O61" s="10">
        <v>0</v>
      </c>
      <c r="P61" s="10">
        <v>0</v>
      </c>
      <c r="Q61" s="10">
        <v>11787146</v>
      </c>
      <c r="R61" s="12">
        <v>0.09</v>
      </c>
      <c r="S61" s="10">
        <v>252299</v>
      </c>
      <c r="T61" s="24">
        <f>710783/11534847</f>
        <v>6.1620496570088883E-2</v>
      </c>
      <c r="U61" s="10">
        <v>711342</v>
      </c>
      <c r="V61" s="10">
        <v>0</v>
      </c>
      <c r="W61" s="10">
        <f>43986+1977</f>
        <v>45963</v>
      </c>
      <c r="X61" s="10">
        <v>246329</v>
      </c>
      <c r="Y61" s="10">
        <v>20678</v>
      </c>
      <c r="Z61" s="10">
        <v>35960</v>
      </c>
      <c r="AA61" s="10">
        <v>32210</v>
      </c>
      <c r="AB61" s="10">
        <v>6600</v>
      </c>
      <c r="AC61" s="10">
        <v>101508</v>
      </c>
      <c r="AD61" s="10">
        <v>37617</v>
      </c>
      <c r="AE61" s="10">
        <f>9596+29898+13322</f>
        <v>52816</v>
      </c>
      <c r="AF61" s="10">
        <v>7065</v>
      </c>
      <c r="AG61" s="10">
        <v>8558</v>
      </c>
      <c r="AH61" s="10">
        <v>32987</v>
      </c>
      <c r="AI61" s="10">
        <v>0</v>
      </c>
      <c r="AJ61" s="10">
        <v>615092</v>
      </c>
      <c r="AK61" s="10">
        <v>615126</v>
      </c>
      <c r="AL61" s="10">
        <v>68973</v>
      </c>
      <c r="AM61" s="10">
        <v>0</v>
      </c>
      <c r="AN61" s="10">
        <v>0</v>
      </c>
      <c r="AO61" s="10">
        <v>129052</v>
      </c>
      <c r="AP61" s="10">
        <v>0</v>
      </c>
      <c r="AQ61" s="10">
        <v>82134</v>
      </c>
      <c r="AR61" s="10">
        <v>0</v>
      </c>
      <c r="AS61" s="10">
        <v>0</v>
      </c>
      <c r="AT61" s="10">
        <v>0</v>
      </c>
      <c r="AU61" s="10">
        <v>3135</v>
      </c>
      <c r="AV61" s="10">
        <v>1569</v>
      </c>
      <c r="AW61" s="10">
        <v>0</v>
      </c>
      <c r="AX61" s="10">
        <v>-194</v>
      </c>
      <c r="AY61" s="10">
        <v>-673</v>
      </c>
      <c r="AZ61" s="10">
        <v>-303</v>
      </c>
      <c r="BA61" s="10">
        <v>-4</v>
      </c>
      <c r="BB61" s="10">
        <f t="shared" si="5"/>
        <v>3530</v>
      </c>
      <c r="BC61" s="6">
        <v>8</v>
      </c>
      <c r="BD61" s="10">
        <v>116</v>
      </c>
      <c r="BE61" s="10">
        <v>58</v>
      </c>
      <c r="BF61" s="10">
        <v>158</v>
      </c>
      <c r="BG61" s="10">
        <v>0</v>
      </c>
    </row>
    <row r="62" spans="1:59">
      <c r="A62" s="6">
        <v>5</v>
      </c>
      <c r="B62" s="6" t="s">
        <v>561</v>
      </c>
      <c r="C62" s="7" t="s">
        <v>186</v>
      </c>
      <c r="D62" s="6" t="s">
        <v>253</v>
      </c>
      <c r="E62" s="6" t="s">
        <v>412</v>
      </c>
      <c r="F62" s="7" t="s">
        <v>568</v>
      </c>
      <c r="G62" s="7" t="s">
        <v>402</v>
      </c>
      <c r="H62" s="10">
        <v>6503122</v>
      </c>
      <c r="I62" s="10">
        <v>6515328</v>
      </c>
      <c r="J62" s="10">
        <v>119893</v>
      </c>
      <c r="K62" s="10">
        <v>4167735</v>
      </c>
      <c r="L62" s="10">
        <v>486089</v>
      </c>
      <c r="M62" s="10">
        <v>870596</v>
      </c>
      <c r="N62" s="10">
        <v>607688</v>
      </c>
      <c r="O62" s="10">
        <v>0</v>
      </c>
      <c r="P62" s="10">
        <v>0</v>
      </c>
      <c r="Q62" s="10">
        <v>6567806</v>
      </c>
      <c r="R62" s="12">
        <v>0.06</v>
      </c>
      <c r="S62" s="10">
        <v>31306</v>
      </c>
      <c r="T62" s="24">
        <f>435920/6536500</f>
        <v>6.6690124684464169E-2</v>
      </c>
      <c r="U62" s="10">
        <v>435698</v>
      </c>
      <c r="V62" s="10">
        <v>0</v>
      </c>
      <c r="W62" s="10">
        <f>12206+2827</f>
        <v>15033</v>
      </c>
      <c r="X62" s="10">
        <v>138604</v>
      </c>
      <c r="Y62" s="10">
        <v>13418</v>
      </c>
      <c r="Z62" s="10">
        <v>6939</v>
      </c>
      <c r="AA62" s="10">
        <f>15600+2717</f>
        <v>18317</v>
      </c>
      <c r="AB62" s="10">
        <v>9100</v>
      </c>
      <c r="AC62" s="10">
        <v>81846</v>
      </c>
      <c r="AD62" s="10">
        <v>438</v>
      </c>
      <c r="AE62" s="10">
        <f>6821+16013+7815</f>
        <v>30649</v>
      </c>
      <c r="AF62" s="10">
        <v>953</v>
      </c>
      <c r="AG62" s="10">
        <v>0</v>
      </c>
      <c r="AH62" s="10">
        <v>471</v>
      </c>
      <c r="AI62" s="10">
        <v>15600</v>
      </c>
      <c r="AJ62" s="10">
        <v>321100</v>
      </c>
      <c r="AK62" s="10">
        <v>330563</v>
      </c>
      <c r="AL62" s="10">
        <v>51412</v>
      </c>
      <c r="AM62" s="10">
        <v>0</v>
      </c>
      <c r="AN62" s="10">
        <v>0</v>
      </c>
      <c r="AO62" s="10">
        <v>129052</v>
      </c>
      <c r="AP62" s="10">
        <v>0</v>
      </c>
      <c r="AQ62" s="10">
        <v>57708</v>
      </c>
      <c r="AR62" s="10">
        <v>3121</v>
      </c>
      <c r="AS62" s="10">
        <v>3121</v>
      </c>
      <c r="AT62" s="10">
        <v>0</v>
      </c>
      <c r="AU62" s="10">
        <v>1640</v>
      </c>
      <c r="AV62" s="10">
        <v>938</v>
      </c>
      <c r="AW62" s="10">
        <v>-12</v>
      </c>
      <c r="AX62" s="10">
        <v>-180</v>
      </c>
      <c r="AY62" s="10">
        <v>-271</v>
      </c>
      <c r="AZ62" s="10">
        <v>-246</v>
      </c>
      <c r="BA62" s="10">
        <v>0</v>
      </c>
      <c r="BB62" s="10">
        <f t="shared" si="5"/>
        <v>1869</v>
      </c>
      <c r="BC62" s="6">
        <v>11</v>
      </c>
      <c r="BD62" s="10">
        <v>48</v>
      </c>
      <c r="BE62" s="10">
        <v>18</v>
      </c>
      <c r="BF62" s="10">
        <v>127</v>
      </c>
      <c r="BG62" s="10">
        <v>7</v>
      </c>
    </row>
    <row r="63" spans="1:59">
      <c r="A63" s="6">
        <v>6</v>
      </c>
      <c r="B63" s="6" t="s">
        <v>251</v>
      </c>
      <c r="C63" s="7" t="s">
        <v>256</v>
      </c>
      <c r="D63" s="6" t="s">
        <v>617</v>
      </c>
      <c r="E63" s="6" t="s">
        <v>616</v>
      </c>
      <c r="F63" s="7" t="s">
        <v>192</v>
      </c>
      <c r="G63" s="7" t="s">
        <v>596</v>
      </c>
      <c r="H63" s="10">
        <v>48833203</v>
      </c>
      <c r="I63" s="10">
        <v>49135860</v>
      </c>
      <c r="J63" s="10">
        <v>1739636</v>
      </c>
      <c r="K63" s="10">
        <v>26612719</v>
      </c>
      <c r="L63" s="10">
        <v>5965782</v>
      </c>
      <c r="M63" s="10">
        <v>5555185</v>
      </c>
      <c r="N63" s="10">
        <v>6940235</v>
      </c>
      <c r="O63" s="10">
        <v>89626</v>
      </c>
      <c r="P63" s="10">
        <v>0</v>
      </c>
      <c r="Q63" s="10">
        <v>47218811</v>
      </c>
      <c r="R63" s="12">
        <v>0.13619999999999999</v>
      </c>
      <c r="S63" s="10">
        <v>0</v>
      </c>
      <c r="T63" s="24">
        <f>2063438/47129185</f>
        <v>4.3782594585499407E-2</v>
      </c>
      <c r="U63" s="10">
        <v>2054625</v>
      </c>
      <c r="V63" s="10">
        <v>0</v>
      </c>
      <c r="W63" s="10">
        <f>271467+20384+16915</f>
        <v>308766</v>
      </c>
      <c r="X63" s="10">
        <v>711225</v>
      </c>
      <c r="Y63" s="10">
        <v>55456</v>
      </c>
      <c r="Z63" s="10">
        <v>119018</v>
      </c>
      <c r="AA63" s="10">
        <v>168961</v>
      </c>
      <c r="AB63" s="10">
        <v>40928</v>
      </c>
      <c r="AC63" s="10">
        <v>269571</v>
      </c>
      <c r="AD63" s="10">
        <v>149905</v>
      </c>
      <c r="AE63" s="10">
        <f>35425+155908+221063</f>
        <v>412396</v>
      </c>
      <c r="AF63" s="10">
        <v>12964</v>
      </c>
      <c r="AG63" s="10">
        <v>86494</v>
      </c>
      <c r="AH63" s="10">
        <v>24850</v>
      </c>
      <c r="AI63" s="10">
        <v>29883</v>
      </c>
      <c r="AJ63" s="10">
        <v>2283732</v>
      </c>
      <c r="AK63" s="10">
        <v>2440683</v>
      </c>
      <c r="AL63" s="10">
        <v>334444</v>
      </c>
      <c r="AM63" s="10">
        <v>26535</v>
      </c>
      <c r="AN63" s="10">
        <v>0</v>
      </c>
      <c r="AO63" s="10">
        <v>129052</v>
      </c>
      <c r="AP63" s="10">
        <v>0</v>
      </c>
      <c r="AQ63" s="10">
        <v>406610</v>
      </c>
      <c r="AR63" s="10">
        <v>18376</v>
      </c>
      <c r="AS63" s="10">
        <v>18376</v>
      </c>
      <c r="AT63" s="10">
        <v>0</v>
      </c>
      <c r="AU63" s="10">
        <v>10766</v>
      </c>
      <c r="AV63" s="10">
        <v>7006</v>
      </c>
      <c r="AW63" s="10">
        <v>0</v>
      </c>
      <c r="AX63" s="10">
        <v>-407</v>
      </c>
      <c r="AY63" s="10">
        <f>-2538-149</f>
        <v>-2687</v>
      </c>
      <c r="AZ63" s="10">
        <v>-2647</v>
      </c>
      <c r="BA63" s="10">
        <v>0</v>
      </c>
      <c r="BB63" s="10">
        <f t="shared" si="5"/>
        <v>12031</v>
      </c>
      <c r="BC63" s="6">
        <v>32</v>
      </c>
      <c r="BD63" s="10">
        <v>715</v>
      </c>
      <c r="BE63" s="10">
        <v>353</v>
      </c>
      <c r="BF63" s="10">
        <v>1488</v>
      </c>
      <c r="BG63" s="10">
        <v>91</v>
      </c>
    </row>
    <row r="64" spans="1:59">
      <c r="A64" s="6">
        <v>6</v>
      </c>
      <c r="B64" s="6" t="s">
        <v>448</v>
      </c>
      <c r="C64" s="7" t="s">
        <v>629</v>
      </c>
      <c r="D64" s="6" t="s">
        <v>358</v>
      </c>
      <c r="E64" s="6" t="s">
        <v>616</v>
      </c>
      <c r="F64" s="7" t="s">
        <v>441</v>
      </c>
      <c r="G64" s="7" t="s">
        <v>596</v>
      </c>
      <c r="H64" s="10">
        <v>18762766</v>
      </c>
      <c r="I64" s="10">
        <v>18825326</v>
      </c>
      <c r="J64" s="10">
        <v>361483</v>
      </c>
      <c r="K64" s="10">
        <v>10256393</v>
      </c>
      <c r="L64" s="10">
        <v>1095993</v>
      </c>
      <c r="M64" s="10">
        <v>2817027</v>
      </c>
      <c r="N64" s="10">
        <v>2378274</v>
      </c>
      <c r="O64" s="10">
        <v>0</v>
      </c>
      <c r="P64" s="10">
        <v>129248</v>
      </c>
      <c r="Q64" s="10">
        <v>17820295</v>
      </c>
      <c r="R64" s="12">
        <v>0.1071</v>
      </c>
      <c r="S64" s="10">
        <v>13146</v>
      </c>
      <c r="T64" s="24">
        <f>1142805/17677341</f>
        <v>6.4648014653335029E-2</v>
      </c>
      <c r="U64" s="10">
        <v>1142800</v>
      </c>
      <c r="V64" s="10">
        <v>0</v>
      </c>
      <c r="W64" s="10">
        <f>56288+4652+4714</f>
        <v>65654</v>
      </c>
      <c r="X64" s="10">
        <v>553091</v>
      </c>
      <c r="Y64" s="10">
        <v>43657</v>
      </c>
      <c r="Z64" s="10">
        <v>97043</v>
      </c>
      <c r="AA64" s="10">
        <v>75783</v>
      </c>
      <c r="AB64" s="10">
        <v>40283</v>
      </c>
      <c r="AC64" s="10">
        <v>27011</v>
      </c>
      <c r="AD64" s="10">
        <v>100</v>
      </c>
      <c r="AE64" s="10">
        <f>20620+68216+44488</f>
        <v>133324</v>
      </c>
      <c r="AF64" s="10">
        <v>18204</v>
      </c>
      <c r="AG64" s="10">
        <v>24831</v>
      </c>
      <c r="AH64" s="10">
        <v>126424</v>
      </c>
      <c r="AI64" s="10">
        <v>0</v>
      </c>
      <c r="AJ64" s="10">
        <v>1233620</v>
      </c>
      <c r="AK64" s="10">
        <v>1248413</v>
      </c>
      <c r="AL64" s="10">
        <v>164621</v>
      </c>
      <c r="AM64" s="10">
        <v>313</v>
      </c>
      <c r="AN64" s="10">
        <v>0</v>
      </c>
      <c r="AO64" s="10">
        <v>129052</v>
      </c>
      <c r="AP64" s="10">
        <v>0</v>
      </c>
      <c r="AQ64" s="10">
        <v>148245</v>
      </c>
      <c r="AR64" s="10">
        <v>0</v>
      </c>
      <c r="AS64" s="10">
        <v>0</v>
      </c>
      <c r="AT64" s="10">
        <v>0</v>
      </c>
      <c r="AU64" s="10">
        <v>3978</v>
      </c>
      <c r="AV64" s="10">
        <v>1902</v>
      </c>
      <c r="AW64" s="10">
        <f>2-1-2</f>
        <v>-1</v>
      </c>
      <c r="AX64" s="10">
        <v>-252</v>
      </c>
      <c r="AY64" s="10">
        <v>-680</v>
      </c>
      <c r="AZ64" s="10">
        <v>-287</v>
      </c>
      <c r="BA64" s="10">
        <v>-3</v>
      </c>
      <c r="BB64" s="10">
        <f t="shared" si="5"/>
        <v>4657</v>
      </c>
      <c r="BC64" s="6">
        <v>3</v>
      </c>
      <c r="BD64" s="10">
        <v>110</v>
      </c>
      <c r="BE64" s="10">
        <v>32</v>
      </c>
      <c r="BF64" s="10">
        <v>141</v>
      </c>
      <c r="BG64" s="10">
        <v>4</v>
      </c>
    </row>
    <row r="65" spans="1:59">
      <c r="A65" s="6">
        <v>6</v>
      </c>
      <c r="B65" s="6" t="s">
        <v>491</v>
      </c>
      <c r="C65" s="6" t="s">
        <v>597</v>
      </c>
      <c r="D65" s="6" t="s">
        <v>154</v>
      </c>
      <c r="E65" s="6" t="s">
        <v>616</v>
      </c>
      <c r="F65" s="7" t="s">
        <v>441</v>
      </c>
      <c r="G65" s="7" t="s">
        <v>596</v>
      </c>
      <c r="H65" s="10">
        <v>48699335</v>
      </c>
      <c r="I65" s="10">
        <v>48957361</v>
      </c>
      <c r="J65" s="10">
        <v>2018354</v>
      </c>
      <c r="K65" s="10">
        <v>22289577</v>
      </c>
      <c r="L65" s="10">
        <v>9001144</v>
      </c>
      <c r="M65" s="10">
        <v>4939426</v>
      </c>
      <c r="N65" s="10">
        <v>5958065</v>
      </c>
      <c r="O65" s="10">
        <v>0</v>
      </c>
      <c r="P65" s="10">
        <v>208546</v>
      </c>
      <c r="Q65" s="10">
        <v>45153998</v>
      </c>
      <c r="R65" s="12">
        <v>0.14000000000000001</v>
      </c>
      <c r="S65" s="10">
        <v>19708</v>
      </c>
      <c r="T65" s="24">
        <f>2749783/44925704</f>
        <v>6.1207343573291585E-2</v>
      </c>
      <c r="U65" s="10">
        <v>2757200</v>
      </c>
      <c r="V65" s="10">
        <v>0</v>
      </c>
      <c r="W65" s="10">
        <f>258026+6247</f>
        <v>264273</v>
      </c>
      <c r="X65" s="10">
        <v>1263211</v>
      </c>
      <c r="Y65" s="10">
        <v>99794</v>
      </c>
      <c r="Z65" s="10">
        <v>215148</v>
      </c>
      <c r="AA65" s="10">
        <f>300561+33027</f>
        <v>333588</v>
      </c>
      <c r="AB65" s="10">
        <v>69800</v>
      </c>
      <c r="AC65" s="10">
        <v>3037</v>
      </c>
      <c r="AD65" s="10">
        <v>13386</v>
      </c>
      <c r="AE65" s="10">
        <f>31435+185000+153533</f>
        <v>369968</v>
      </c>
      <c r="AF65" s="10">
        <v>36090</v>
      </c>
      <c r="AG65" s="10">
        <v>1525</v>
      </c>
      <c r="AH65" s="10">
        <v>315560</v>
      </c>
      <c r="AI65" s="10">
        <v>0</v>
      </c>
      <c r="AJ65" s="10">
        <v>3096588</v>
      </c>
      <c r="AK65" s="10">
        <v>3153492</v>
      </c>
      <c r="AL65" s="10">
        <v>427269</v>
      </c>
      <c r="AM65" s="10">
        <v>27128</v>
      </c>
      <c r="AN65" s="10">
        <v>0</v>
      </c>
      <c r="AO65" s="10">
        <v>129052</v>
      </c>
      <c r="AP65" s="10">
        <v>0</v>
      </c>
      <c r="AQ65" s="10">
        <v>432008</v>
      </c>
      <c r="AR65" s="10">
        <v>0</v>
      </c>
      <c r="AS65" s="10">
        <v>0</v>
      </c>
      <c r="AT65" s="10">
        <v>0</v>
      </c>
      <c r="AU65" s="10">
        <v>10144</v>
      </c>
      <c r="AV65" s="10">
        <v>5687</v>
      </c>
      <c r="AW65" s="10">
        <f>29-33</f>
        <v>-4</v>
      </c>
      <c r="AX65" s="10">
        <v>-452</v>
      </c>
      <c r="AY65" s="10">
        <v>-3364</v>
      </c>
      <c r="AZ65" s="10">
        <v>-1190</v>
      </c>
      <c r="BA65" s="10">
        <v>0</v>
      </c>
      <c r="BB65" s="10">
        <f t="shared" si="5"/>
        <v>10821</v>
      </c>
      <c r="BC65" s="6">
        <v>26</v>
      </c>
      <c r="BD65" s="10">
        <v>351</v>
      </c>
      <c r="BE65" s="10">
        <v>60</v>
      </c>
      <c r="BF65" s="10">
        <v>606</v>
      </c>
      <c r="BG65" s="10">
        <v>173</v>
      </c>
    </row>
    <row r="66" spans="1:59">
      <c r="A66" s="6">
        <v>6</v>
      </c>
      <c r="B66" s="6" t="s">
        <v>611</v>
      </c>
      <c r="C66" s="7" t="s">
        <v>598</v>
      </c>
      <c r="D66" s="6" t="s">
        <v>228</v>
      </c>
      <c r="E66" s="6" t="s">
        <v>616</v>
      </c>
      <c r="F66" s="7" t="s">
        <v>441</v>
      </c>
      <c r="G66" s="7" t="s">
        <v>596</v>
      </c>
      <c r="H66" s="10">
        <v>30823256</v>
      </c>
      <c r="I66" s="10">
        <v>30959082</v>
      </c>
      <c r="J66" s="10">
        <v>483025</v>
      </c>
      <c r="K66" s="10">
        <v>14611577</v>
      </c>
      <c r="L66" s="10">
        <v>5813304</v>
      </c>
      <c r="M66" s="10">
        <v>3488790</v>
      </c>
      <c r="N66" s="10">
        <v>4028991</v>
      </c>
      <c r="O66" s="10">
        <v>0</v>
      </c>
      <c r="P66" s="10">
        <v>165820</v>
      </c>
      <c r="Q66" s="10">
        <v>30265947</v>
      </c>
      <c r="R66" s="12">
        <v>6.3E-2</v>
      </c>
      <c r="S66" s="10">
        <v>0</v>
      </c>
      <c r="T66" s="24">
        <f>2157642/30100127</f>
        <v>7.1682156025454649E-2</v>
      </c>
      <c r="U66" s="10">
        <v>2157465</v>
      </c>
      <c r="V66" s="10">
        <v>0</v>
      </c>
      <c r="W66" s="10">
        <f>132967+4526</f>
        <v>137493</v>
      </c>
      <c r="X66" s="10">
        <v>873182</v>
      </c>
      <c r="Y66" s="10">
        <v>80033</v>
      </c>
      <c r="Z66" s="10">
        <v>287041</v>
      </c>
      <c r="AA66" s="10">
        <v>210435</v>
      </c>
      <c r="AB66" s="10">
        <v>44000</v>
      </c>
      <c r="AC66" s="10">
        <v>27035</v>
      </c>
      <c r="AD66" s="10">
        <v>50752</v>
      </c>
      <c r="AE66" s="10">
        <f>52357+130000+85593</f>
        <v>267950</v>
      </c>
      <c r="AF66" s="10">
        <v>17387</v>
      </c>
      <c r="AG66" s="10">
        <v>35391</v>
      </c>
      <c r="AH66" s="10">
        <v>80274</v>
      </c>
      <c r="AI66" s="10">
        <v>120887</v>
      </c>
      <c r="AJ66" s="10">
        <v>2253526</v>
      </c>
      <c r="AK66" s="10">
        <v>2294510</v>
      </c>
      <c r="AL66" s="10">
        <v>317525</v>
      </c>
      <c r="AM66" s="10">
        <v>2220</v>
      </c>
      <c r="AN66" s="10">
        <v>0</v>
      </c>
      <c r="AO66" s="10">
        <v>129052</v>
      </c>
      <c r="AP66" s="10">
        <v>0</v>
      </c>
      <c r="AQ66" s="10">
        <v>396910</v>
      </c>
      <c r="AR66" s="10">
        <v>13811</v>
      </c>
      <c r="AS66" s="10">
        <v>13811</v>
      </c>
      <c r="AT66" s="10">
        <v>0</v>
      </c>
      <c r="AU66" s="10">
        <v>6642</v>
      </c>
      <c r="AV66" s="10">
        <v>3513</v>
      </c>
      <c r="AW66" s="10">
        <f>4+38-8-137</f>
        <v>-103</v>
      </c>
      <c r="AX66" s="10">
        <v>-201</v>
      </c>
      <c r="AY66" s="10">
        <v>-1789</v>
      </c>
      <c r="AZ66" s="10">
        <v>-775</v>
      </c>
      <c r="BA66" s="10">
        <v>-3</v>
      </c>
      <c r="BB66" s="10">
        <f t="shared" si="5"/>
        <v>7284</v>
      </c>
      <c r="BC66" s="6">
        <v>17</v>
      </c>
      <c r="BD66" s="10">
        <v>252</v>
      </c>
      <c r="BE66" s="10">
        <v>46</v>
      </c>
      <c r="BF66" s="10">
        <v>388</v>
      </c>
      <c r="BG66" s="10">
        <v>92</v>
      </c>
    </row>
    <row r="67" spans="1:59">
      <c r="A67" s="6">
        <v>6</v>
      </c>
      <c r="B67" s="6" t="s">
        <v>650</v>
      </c>
      <c r="C67" s="7" t="s">
        <v>522</v>
      </c>
      <c r="D67" s="6" t="s">
        <v>358</v>
      </c>
      <c r="E67" s="6" t="s">
        <v>616</v>
      </c>
      <c r="F67" s="7" t="s">
        <v>441</v>
      </c>
      <c r="G67" s="7" t="s">
        <v>596</v>
      </c>
      <c r="H67" s="10">
        <v>8284338</v>
      </c>
      <c r="I67" s="10">
        <v>8301064</v>
      </c>
      <c r="J67" s="10">
        <v>161463</v>
      </c>
      <c r="K67" s="10">
        <v>4624952</v>
      </c>
      <c r="L67" s="10">
        <v>432425</v>
      </c>
      <c r="M67" s="10">
        <v>1702586</v>
      </c>
      <c r="N67" s="10">
        <v>684048</v>
      </c>
      <c r="O67" s="10">
        <v>0</v>
      </c>
      <c r="P67" s="10">
        <v>34500</v>
      </c>
      <c r="Q67" s="10">
        <v>8143918</v>
      </c>
      <c r="R67" s="12">
        <v>3.4632999999999997E-2</v>
      </c>
      <c r="S67" s="10">
        <v>0</v>
      </c>
      <c r="T67" s="24">
        <f>665408/8109418</f>
        <v>8.2053730612973705E-2</v>
      </c>
      <c r="U67" s="10">
        <v>665407</v>
      </c>
      <c r="V67" s="10">
        <v>0</v>
      </c>
      <c r="W67" s="10">
        <f>15360+1506+2210</f>
        <v>19076</v>
      </c>
      <c r="X67" s="10">
        <v>178623</v>
      </c>
      <c r="Y67" s="10">
        <v>14692</v>
      </c>
      <c r="Z67" s="10">
        <v>19494</v>
      </c>
      <c r="AA67" s="10">
        <v>42527</v>
      </c>
      <c r="AB67" s="10">
        <v>32695</v>
      </c>
      <c r="AC67" s="10">
        <v>15230</v>
      </c>
      <c r="AD67" s="10">
        <v>0</v>
      </c>
      <c r="AE67" s="10">
        <f>4978+34143+24530</f>
        <v>63651</v>
      </c>
      <c r="AF67" s="10">
        <v>11102</v>
      </c>
      <c r="AG67" s="10">
        <v>1074</v>
      </c>
      <c r="AH67" s="10">
        <v>75876</v>
      </c>
      <c r="AI67" s="10">
        <v>31551</v>
      </c>
      <c r="AJ67" s="10">
        <v>599427</v>
      </c>
      <c r="AK67" s="10">
        <v>686904</v>
      </c>
      <c r="AL67" s="10">
        <v>79461</v>
      </c>
      <c r="AM67" s="10">
        <v>315</v>
      </c>
      <c r="AN67" s="10">
        <v>0</v>
      </c>
      <c r="AO67" s="10">
        <v>129052</v>
      </c>
      <c r="AP67" s="10">
        <v>0</v>
      </c>
      <c r="AQ67" s="10">
        <v>70016</v>
      </c>
      <c r="AR67" s="10">
        <v>0</v>
      </c>
      <c r="AS67" s="10">
        <v>0</v>
      </c>
      <c r="AT67" s="10">
        <v>0</v>
      </c>
      <c r="AU67" s="10">
        <v>1809</v>
      </c>
      <c r="AV67" s="10">
        <v>509</v>
      </c>
      <c r="AW67" s="10">
        <f>4+4-7</f>
        <v>1</v>
      </c>
      <c r="AX67" s="10">
        <v>-90</v>
      </c>
      <c r="AY67" s="10">
        <v>-215</v>
      </c>
      <c r="AZ67" s="10">
        <v>-144</v>
      </c>
      <c r="BA67" s="10">
        <v>-2</v>
      </c>
      <c r="BB67" s="10">
        <f t="shared" si="5"/>
        <v>1868</v>
      </c>
      <c r="BC67" s="6">
        <v>0</v>
      </c>
      <c r="BD67" s="10">
        <v>111</v>
      </c>
      <c r="BE67" s="10">
        <v>11</v>
      </c>
      <c r="BF67" s="10">
        <v>22</v>
      </c>
      <c r="BG67" s="10">
        <v>0</v>
      </c>
    </row>
    <row r="68" spans="1:59">
      <c r="A68" s="6">
        <v>7</v>
      </c>
      <c r="B68" s="6" t="s">
        <v>82</v>
      </c>
      <c r="C68" s="7" t="s">
        <v>125</v>
      </c>
      <c r="D68" s="6" t="s">
        <v>146</v>
      </c>
      <c r="E68" s="6" t="s">
        <v>616</v>
      </c>
      <c r="F68" s="7" t="s">
        <v>568</v>
      </c>
      <c r="G68" s="7" t="s">
        <v>596</v>
      </c>
      <c r="H68" s="10">
        <v>25783834</v>
      </c>
      <c r="I68" s="10">
        <v>25941948</v>
      </c>
      <c r="J68" s="10">
        <v>496837</v>
      </c>
      <c r="K68" s="10">
        <v>15642431</v>
      </c>
      <c r="L68" s="10">
        <v>2058643</v>
      </c>
      <c r="M68" s="10">
        <v>2323579</v>
      </c>
      <c r="N68" s="10">
        <v>3721946</v>
      </c>
      <c r="O68" s="10">
        <v>0</v>
      </c>
      <c r="P68" s="10">
        <v>0</v>
      </c>
      <c r="Q68" s="10">
        <v>25798951</v>
      </c>
      <c r="R68" s="12">
        <v>0.08</v>
      </c>
      <c r="S68" s="10">
        <v>0</v>
      </c>
      <c r="T68" s="24">
        <f>1650248/25388424</f>
        <v>6.5000017330733087E-2</v>
      </c>
      <c r="U68" s="10">
        <v>1641810</v>
      </c>
      <c r="V68" s="10">
        <v>0</v>
      </c>
      <c r="W68" s="10">
        <f>145468+10399+9076</f>
        <v>164943</v>
      </c>
      <c r="X68" s="10">
        <v>732138</v>
      </c>
      <c r="Y68" s="10">
        <v>51387</v>
      </c>
      <c r="Z68" s="10">
        <v>211499</v>
      </c>
      <c r="AA68" s="10">
        <v>101560</v>
      </c>
      <c r="AB68" s="10">
        <v>33300</v>
      </c>
      <c r="AC68" s="10">
        <v>15429</v>
      </c>
      <c r="AD68" s="10">
        <v>44282</v>
      </c>
      <c r="AE68" s="10">
        <f>21437+96481+69251</f>
        <v>187169</v>
      </c>
      <c r="AF68" s="10">
        <v>15857</v>
      </c>
      <c r="AG68" s="10">
        <v>1742</v>
      </c>
      <c r="AH68" s="10">
        <v>29104</v>
      </c>
      <c r="AI68" s="10">
        <v>50844</v>
      </c>
      <c r="AJ68" s="10">
        <v>1637607</v>
      </c>
      <c r="AK68" s="10">
        <v>1709086</v>
      </c>
      <c r="AL68" s="10">
        <v>197801</v>
      </c>
      <c r="AM68" s="10">
        <f>98+0</f>
        <v>98</v>
      </c>
      <c r="AN68" s="10">
        <v>0</v>
      </c>
      <c r="AO68" s="10">
        <v>129052</v>
      </c>
      <c r="AP68" s="10">
        <v>0</v>
      </c>
      <c r="AQ68" s="10">
        <v>237797</v>
      </c>
      <c r="AR68" s="10">
        <v>0</v>
      </c>
      <c r="AS68" s="10">
        <v>0</v>
      </c>
      <c r="AT68" s="10">
        <v>0</v>
      </c>
      <c r="AU68" s="10">
        <v>7107</v>
      </c>
      <c r="AV68" s="10">
        <v>2762</v>
      </c>
      <c r="AW68" s="10">
        <f>1+1-1019</f>
        <v>-1017</v>
      </c>
      <c r="AX68" s="10">
        <v>-337</v>
      </c>
      <c r="AY68" s="10">
        <v>-1525</v>
      </c>
      <c r="AZ68" s="10">
        <v>-513</v>
      </c>
      <c r="BA68" s="10">
        <v>0</v>
      </c>
      <c r="BB68" s="10">
        <f t="shared" si="5"/>
        <v>6477</v>
      </c>
      <c r="BC68" s="6">
        <v>27</v>
      </c>
      <c r="BD68" s="10">
        <v>131</v>
      </c>
      <c r="BE68" s="10">
        <v>62</v>
      </c>
      <c r="BF68" s="10">
        <v>284</v>
      </c>
      <c r="BG68" s="10">
        <v>36</v>
      </c>
    </row>
    <row r="69" spans="1:59">
      <c r="A69" s="6">
        <v>7</v>
      </c>
      <c r="B69" s="6" t="s">
        <v>86</v>
      </c>
      <c r="C69" s="7" t="s">
        <v>484</v>
      </c>
      <c r="D69" s="6" t="s">
        <v>197</v>
      </c>
      <c r="E69" s="6" t="s">
        <v>616</v>
      </c>
      <c r="F69" s="7" t="s">
        <v>640</v>
      </c>
      <c r="G69" s="7" t="s">
        <v>596</v>
      </c>
      <c r="H69" s="10">
        <v>18406180</v>
      </c>
      <c r="I69" s="10">
        <v>18445372</v>
      </c>
      <c r="J69" s="10">
        <v>322317</v>
      </c>
      <c r="K69" s="10">
        <v>8447422</v>
      </c>
      <c r="L69" s="10">
        <v>1728597</v>
      </c>
      <c r="M69" s="10">
        <v>4595117</v>
      </c>
      <c r="N69" s="10">
        <v>2146155</v>
      </c>
      <c r="O69" s="10">
        <v>120847</v>
      </c>
      <c r="P69" s="10">
        <v>0</v>
      </c>
      <c r="Q69" s="10">
        <v>18061965</v>
      </c>
      <c r="R69" s="12">
        <v>0.03</v>
      </c>
      <c r="S69" s="10">
        <v>0</v>
      </c>
      <c r="T69" s="24">
        <f>886905/17941118</f>
        <v>4.9434210287229594E-2</v>
      </c>
      <c r="U69" s="10">
        <v>885134</v>
      </c>
      <c r="V69" s="10">
        <v>0</v>
      </c>
      <c r="W69" s="10">
        <f>39192+3654</f>
        <v>42846</v>
      </c>
      <c r="X69" s="10">
        <v>385098</v>
      </c>
      <c r="Y69" s="10">
        <v>32159</v>
      </c>
      <c r="Z69" s="10">
        <v>139245</v>
      </c>
      <c r="AA69" s="10">
        <f>53243+10627</f>
        <v>63870</v>
      </c>
      <c r="AB69" s="10">
        <v>3265</v>
      </c>
      <c r="AC69" s="10">
        <v>77704</v>
      </c>
      <c r="AD69" s="10">
        <v>7249</v>
      </c>
      <c r="AE69" s="10">
        <f>11137+76992+34366</f>
        <v>122495</v>
      </c>
      <c r="AF69" s="10">
        <v>18155</v>
      </c>
      <c r="AG69" s="10">
        <v>5427</v>
      </c>
      <c r="AH69" s="10">
        <v>29533</v>
      </c>
      <c r="AI69" s="10">
        <v>97564</v>
      </c>
      <c r="AJ69" s="10">
        <v>973570</v>
      </c>
      <c r="AK69" s="10">
        <v>994074</v>
      </c>
      <c r="AL69" s="10">
        <v>181214</v>
      </c>
      <c r="AM69" s="10">
        <v>0</v>
      </c>
      <c r="AN69" s="10">
        <v>0</v>
      </c>
      <c r="AO69" s="10">
        <v>129052</v>
      </c>
      <c r="AP69" s="10">
        <v>0</v>
      </c>
      <c r="AQ69" s="10">
        <v>109454</v>
      </c>
      <c r="AR69" s="10">
        <v>0</v>
      </c>
      <c r="AS69" s="10">
        <v>0</v>
      </c>
      <c r="AT69" s="10">
        <v>0</v>
      </c>
      <c r="AU69" s="10">
        <v>4994</v>
      </c>
      <c r="AV69" s="10">
        <v>1556</v>
      </c>
      <c r="AW69" s="10">
        <v>-7</v>
      </c>
      <c r="AX69" s="10">
        <v>-154</v>
      </c>
      <c r="AY69" s="10">
        <v>-825</v>
      </c>
      <c r="AZ69" s="10">
        <v>-572</v>
      </c>
      <c r="BA69" s="10">
        <v>0</v>
      </c>
      <c r="BB69" s="10">
        <f t="shared" si="5"/>
        <v>4992</v>
      </c>
      <c r="BC69" s="6">
        <v>0</v>
      </c>
      <c r="BD69" s="10">
        <v>242</v>
      </c>
      <c r="BE69" s="10">
        <v>118</v>
      </c>
      <c r="BF69" s="10">
        <v>211</v>
      </c>
      <c r="BG69" s="10">
        <v>1</v>
      </c>
    </row>
    <row r="70" spans="1:59">
      <c r="A70" s="6">
        <v>7</v>
      </c>
      <c r="B70" s="6" t="s">
        <v>266</v>
      </c>
      <c r="C70" s="7" t="s">
        <v>648</v>
      </c>
      <c r="D70" s="6" t="s">
        <v>277</v>
      </c>
      <c r="E70" s="6" t="s">
        <v>616</v>
      </c>
      <c r="F70" s="7" t="s">
        <v>568</v>
      </c>
      <c r="G70" s="7" t="s">
        <v>596</v>
      </c>
      <c r="H70" s="10">
        <v>22975756</v>
      </c>
      <c r="I70" s="10">
        <v>23071901</v>
      </c>
      <c r="J70" s="10">
        <v>1194401</v>
      </c>
      <c r="K70" s="10">
        <v>12419439</v>
      </c>
      <c r="L70" s="10">
        <v>3951906</v>
      </c>
      <c r="M70" s="10">
        <v>2317439</v>
      </c>
      <c r="N70" s="10">
        <v>1882461</v>
      </c>
      <c r="O70" s="10">
        <v>3630</v>
      </c>
      <c r="P70" s="10">
        <v>0</v>
      </c>
      <c r="Q70" s="10">
        <v>22138681</v>
      </c>
      <c r="R70" s="12">
        <v>7.0000000000000007E-2</v>
      </c>
      <c r="S70" s="10">
        <v>48129</v>
      </c>
      <c r="T70" s="24">
        <f>1546085/22086922</f>
        <v>7.0000020826804205E-2</v>
      </c>
      <c r="U70" s="10">
        <v>1546966</v>
      </c>
      <c r="V70" s="10">
        <v>0</v>
      </c>
      <c r="W70" s="10">
        <f>96145+2049</f>
        <v>98194</v>
      </c>
      <c r="X70" s="10">
        <v>687294</v>
      </c>
      <c r="Y70" s="10">
        <v>54682</v>
      </c>
      <c r="Z70" s="10">
        <v>127440</v>
      </c>
      <c r="AA70" s="10">
        <v>133322</v>
      </c>
      <c r="AB70" s="10">
        <v>0</v>
      </c>
      <c r="AC70" s="10">
        <v>24460</v>
      </c>
      <c r="AD70" s="10">
        <v>83350</v>
      </c>
      <c r="AE70" s="10">
        <f>16760+90992+50011</f>
        <v>157763</v>
      </c>
      <c r="AF70" s="10">
        <v>12875</v>
      </c>
      <c r="AG70" s="10">
        <v>0</v>
      </c>
      <c r="AH70" s="10">
        <v>46348</v>
      </c>
      <c r="AI70" s="10">
        <v>66130</v>
      </c>
      <c r="AJ70" s="10">
        <v>1562364</v>
      </c>
      <c r="AK70" s="10">
        <v>1599164</v>
      </c>
      <c r="AL70" s="10">
        <v>166295</v>
      </c>
      <c r="AM70" s="10">
        <v>0</v>
      </c>
      <c r="AN70" s="10">
        <v>0</v>
      </c>
      <c r="AO70" s="10">
        <v>126901</v>
      </c>
      <c r="AP70" s="10">
        <v>0</v>
      </c>
      <c r="AQ70" s="10">
        <v>179644</v>
      </c>
      <c r="AR70" s="10">
        <v>0</v>
      </c>
      <c r="AS70" s="10">
        <v>0</v>
      </c>
      <c r="AT70" s="10">
        <v>0</v>
      </c>
      <c r="AU70" s="10">
        <v>5137</v>
      </c>
      <c r="AV70" s="10">
        <v>2452</v>
      </c>
      <c r="AW70" s="10">
        <v>-833</v>
      </c>
      <c r="AX70" s="10">
        <v>-268</v>
      </c>
      <c r="AY70" s="10">
        <v>-1478</v>
      </c>
      <c r="AZ70" s="10">
        <v>-618</v>
      </c>
      <c r="BA70" s="10">
        <v>0</v>
      </c>
      <c r="BB70" s="10">
        <f t="shared" si="5"/>
        <v>4392</v>
      </c>
      <c r="BC70" s="6">
        <v>18</v>
      </c>
      <c r="BD70" s="10">
        <v>113</v>
      </c>
      <c r="BE70" s="10">
        <v>62</v>
      </c>
      <c r="BF70" s="10">
        <v>429</v>
      </c>
      <c r="BG70" s="10">
        <v>14</v>
      </c>
    </row>
    <row r="71" spans="1:59">
      <c r="A71" s="6">
        <v>7</v>
      </c>
      <c r="B71" s="6" t="s">
        <v>268</v>
      </c>
      <c r="C71" s="7" t="s">
        <v>501</v>
      </c>
      <c r="D71" s="6" t="s">
        <v>52</v>
      </c>
      <c r="E71" s="6" t="s">
        <v>616</v>
      </c>
      <c r="F71" s="7" t="s">
        <v>640</v>
      </c>
      <c r="G71" s="7" t="s">
        <v>596</v>
      </c>
      <c r="H71" s="10">
        <v>35161261</v>
      </c>
      <c r="I71" s="10">
        <v>35204534</v>
      </c>
      <c r="J71" s="10">
        <v>1211938</v>
      </c>
      <c r="K71" s="10">
        <v>19719028</v>
      </c>
      <c r="L71" s="10">
        <v>3784096</v>
      </c>
      <c r="M71" s="10">
        <v>5887040</v>
      </c>
      <c r="N71" s="10">
        <v>3034420</v>
      </c>
      <c r="O71" s="10">
        <v>4939</v>
      </c>
      <c r="P71" s="10">
        <v>109927</v>
      </c>
      <c r="Q71" s="10">
        <v>34104372</v>
      </c>
      <c r="R71" s="12">
        <v>4.4299999999999999E-2</v>
      </c>
      <c r="S71" s="10">
        <v>0</v>
      </c>
      <c r="T71" s="24">
        <f>1566384/33989506</f>
        <v>4.608434144350318E-2</v>
      </c>
      <c r="U71" s="10">
        <v>1564802</v>
      </c>
      <c r="V71" s="10">
        <v>0</v>
      </c>
      <c r="W71" s="10">
        <f>43273+14231</f>
        <v>57504</v>
      </c>
      <c r="X71" s="10">
        <v>677156</v>
      </c>
      <c r="Y71" s="10">
        <v>55120</v>
      </c>
      <c r="Z71" s="10">
        <v>184383</v>
      </c>
      <c r="AA71" s="10">
        <f>154712+0</f>
        <v>154712</v>
      </c>
      <c r="AB71" s="10">
        <v>0</v>
      </c>
      <c r="AC71" s="10">
        <v>101697</v>
      </c>
      <c r="AD71" s="10">
        <v>16869</v>
      </c>
      <c r="AE71" s="10">
        <f>21086+97114+49170</f>
        <v>167370</v>
      </c>
      <c r="AF71" s="10">
        <v>13675</v>
      </c>
      <c r="AG71" s="10">
        <v>41</v>
      </c>
      <c r="AH71" s="10">
        <v>63179</v>
      </c>
      <c r="AI71" s="10">
        <v>0</v>
      </c>
      <c r="AJ71" s="10">
        <v>1622667</v>
      </c>
      <c r="AK71" s="10">
        <v>1655361</v>
      </c>
      <c r="AL71" s="10">
        <v>216368</v>
      </c>
      <c r="AM71" s="10">
        <v>0</v>
      </c>
      <c r="AN71" s="10">
        <v>0</v>
      </c>
      <c r="AO71" s="10">
        <v>129052</v>
      </c>
      <c r="AP71" s="10">
        <v>0</v>
      </c>
      <c r="AQ71" s="10">
        <v>207821</v>
      </c>
      <c r="AR71" s="10">
        <v>0</v>
      </c>
      <c r="AS71" s="10">
        <v>0</v>
      </c>
      <c r="AT71" s="10">
        <v>0</v>
      </c>
      <c r="AU71" s="10">
        <v>5853</v>
      </c>
      <c r="AV71" s="10">
        <v>3138</v>
      </c>
      <c r="AW71" s="10">
        <f>5+25-2</f>
        <v>28</v>
      </c>
      <c r="AX71" s="10">
        <v>-383</v>
      </c>
      <c r="AY71" s="10">
        <v>-1231</v>
      </c>
      <c r="AZ71" s="10">
        <v>-742</v>
      </c>
      <c r="BA71" s="10">
        <v>-10</v>
      </c>
      <c r="BB71" s="10">
        <f t="shared" si="5"/>
        <v>6653</v>
      </c>
      <c r="BC71" s="6">
        <v>4</v>
      </c>
      <c r="BD71" s="10">
        <v>397</v>
      </c>
      <c r="BE71" s="10">
        <v>116</v>
      </c>
      <c r="BF71" s="10">
        <v>211</v>
      </c>
      <c r="BG71" s="10">
        <v>18</v>
      </c>
    </row>
    <row r="72" spans="1:59">
      <c r="A72" s="6">
        <v>7</v>
      </c>
      <c r="B72" s="6" t="s">
        <v>443</v>
      </c>
      <c r="C72" s="7" t="s">
        <v>240</v>
      </c>
      <c r="D72" s="6" t="s">
        <v>395</v>
      </c>
      <c r="E72" s="6" t="s">
        <v>616</v>
      </c>
      <c r="F72" s="7" t="s">
        <v>640</v>
      </c>
      <c r="G72" s="7" t="s">
        <v>596</v>
      </c>
      <c r="H72" s="10">
        <v>1910004</v>
      </c>
      <c r="I72" s="10">
        <v>1911484</v>
      </c>
      <c r="J72" s="10">
        <v>20927</v>
      </c>
      <c r="K72" s="10">
        <v>1042963</v>
      </c>
      <c r="L72" s="10">
        <v>279368</v>
      </c>
      <c r="M72" s="10">
        <v>214888</v>
      </c>
      <c r="N72" s="10">
        <v>149269</v>
      </c>
      <c r="O72" s="10">
        <v>4723</v>
      </c>
      <c r="P72" s="10">
        <v>0</v>
      </c>
      <c r="Q72" s="10">
        <v>1878661</v>
      </c>
      <c r="R72" s="12">
        <v>0.01</v>
      </c>
      <c r="S72" s="10">
        <v>0</v>
      </c>
      <c r="T72" s="24">
        <f>187394/1873938</f>
        <v>0.1000001067271169</v>
      </c>
      <c r="U72" s="10">
        <v>187450</v>
      </c>
      <c r="V72" s="10">
        <v>0</v>
      </c>
      <c r="W72" s="10">
        <f>1480+118</f>
        <v>1598</v>
      </c>
      <c r="X72" s="10">
        <v>24700</v>
      </c>
      <c r="Y72" s="10">
        <v>0</v>
      </c>
      <c r="Z72" s="10">
        <v>0</v>
      </c>
      <c r="AA72" s="10">
        <v>10140</v>
      </c>
      <c r="AB72" s="10">
        <v>0</v>
      </c>
      <c r="AC72" s="10">
        <v>10001</v>
      </c>
      <c r="AD72" s="10">
        <v>910</v>
      </c>
      <c r="AE72" s="10">
        <f>2468+5279+2153</f>
        <v>9900</v>
      </c>
      <c r="AF72" s="10">
        <v>3352</v>
      </c>
      <c r="AG72" s="10">
        <v>3883</v>
      </c>
      <c r="AH72" s="10">
        <v>19734</v>
      </c>
      <c r="AI72" s="10">
        <v>38624</v>
      </c>
      <c r="AJ72" s="10">
        <v>99128</v>
      </c>
      <c r="AK72" s="10">
        <v>110000</v>
      </c>
      <c r="AL72" s="10">
        <v>6947</v>
      </c>
      <c r="AM72" s="10">
        <v>0</v>
      </c>
      <c r="AN72" s="10">
        <v>0</v>
      </c>
      <c r="AO72" s="10">
        <v>93575</v>
      </c>
      <c r="AP72" s="10">
        <v>0</v>
      </c>
      <c r="AQ72" s="10">
        <v>8015</v>
      </c>
      <c r="AR72" s="10">
        <v>0</v>
      </c>
      <c r="AS72" s="10">
        <v>0</v>
      </c>
      <c r="AT72" s="10">
        <v>0</v>
      </c>
      <c r="AU72" s="10">
        <v>228</v>
      </c>
      <c r="AV72" s="10">
        <v>105</v>
      </c>
      <c r="AW72" s="10">
        <v>4</v>
      </c>
      <c r="AX72" s="10">
        <v>-20</v>
      </c>
      <c r="AY72" s="10">
        <v>-40</v>
      </c>
      <c r="AZ72" s="10">
        <v>-19</v>
      </c>
      <c r="BA72" s="10">
        <v>0</v>
      </c>
      <c r="BB72" s="10">
        <f t="shared" si="5"/>
        <v>258</v>
      </c>
      <c r="BC72" s="6">
        <v>0</v>
      </c>
      <c r="BD72" s="10">
        <v>12</v>
      </c>
      <c r="BE72" s="10">
        <v>2</v>
      </c>
      <c r="BF72" s="10">
        <v>5</v>
      </c>
      <c r="BG72" s="10">
        <v>0</v>
      </c>
    </row>
    <row r="73" spans="1:59">
      <c r="A73" s="6">
        <v>7</v>
      </c>
      <c r="B73" s="6" t="s">
        <v>449</v>
      </c>
      <c r="C73" s="7" t="s">
        <v>156</v>
      </c>
      <c r="D73" s="6" t="s">
        <v>335</v>
      </c>
      <c r="E73" s="6" t="s">
        <v>616</v>
      </c>
      <c r="F73" s="7" t="s">
        <v>568</v>
      </c>
      <c r="G73" s="7" t="s">
        <v>596</v>
      </c>
      <c r="H73" s="10">
        <v>22185951</v>
      </c>
      <c r="I73" s="10">
        <v>22245752</v>
      </c>
      <c r="J73" s="10">
        <v>865082</v>
      </c>
      <c r="K73" s="10">
        <v>11838889</v>
      </c>
      <c r="L73" s="10">
        <v>3578689</v>
      </c>
      <c r="M73" s="10">
        <v>2397547</v>
      </c>
      <c r="N73" s="10">
        <v>1971079</v>
      </c>
      <c r="O73" s="10">
        <v>19625</v>
      </c>
      <c r="P73" s="10">
        <v>0</v>
      </c>
      <c r="Q73" s="10">
        <v>21589172</v>
      </c>
      <c r="R73" s="12">
        <v>0.15</v>
      </c>
      <c r="S73" s="10">
        <v>0</v>
      </c>
      <c r="T73" s="24">
        <f>1781107/21589172</f>
        <v>8.2500014359049995E-2</v>
      </c>
      <c r="U73" s="10">
        <v>1783343</v>
      </c>
      <c r="V73" s="10">
        <v>0</v>
      </c>
      <c r="W73" s="10">
        <f>59801+3637</f>
        <v>63438</v>
      </c>
      <c r="X73" s="10">
        <v>517170</v>
      </c>
      <c r="Y73" s="10">
        <v>46645</v>
      </c>
      <c r="Z73" s="10">
        <v>160121</v>
      </c>
      <c r="AA73" s="10">
        <v>128330</v>
      </c>
      <c r="AB73" s="10">
        <v>49483</v>
      </c>
      <c r="AC73" s="10">
        <v>226043</v>
      </c>
      <c r="AD73" s="10">
        <v>144174</v>
      </c>
      <c r="AE73" s="10">
        <f>18690+117244+54256</f>
        <v>190190</v>
      </c>
      <c r="AF73" s="10">
        <v>9893</v>
      </c>
      <c r="AG73" s="10">
        <v>21498</v>
      </c>
      <c r="AH73" s="10">
        <v>65708</v>
      </c>
      <c r="AI73" s="10">
        <v>0</v>
      </c>
      <c r="AJ73" s="10">
        <v>1763231</v>
      </c>
      <c r="AK73" s="10">
        <v>1720600</v>
      </c>
      <c r="AL73" s="10">
        <v>223315</v>
      </c>
      <c r="AM73" s="10">
        <v>10</v>
      </c>
      <c r="AN73" s="10">
        <v>0</v>
      </c>
      <c r="AO73" s="10">
        <v>129052</v>
      </c>
      <c r="AP73" s="10">
        <v>0</v>
      </c>
      <c r="AQ73" s="10">
        <v>197437</v>
      </c>
      <c r="AR73" s="10">
        <v>0</v>
      </c>
      <c r="AS73" s="10">
        <v>0</v>
      </c>
      <c r="AT73" s="10">
        <v>0</v>
      </c>
      <c r="AU73" s="10">
        <v>5153</v>
      </c>
      <c r="AV73" s="10">
        <v>2888</v>
      </c>
      <c r="AW73" s="10">
        <v>-866</v>
      </c>
      <c r="AX73" s="10">
        <v>-328</v>
      </c>
      <c r="AY73" s="10">
        <v>-1666</v>
      </c>
      <c r="AZ73" s="10">
        <v>-641</v>
      </c>
      <c r="BA73" s="10">
        <v>-44</v>
      </c>
      <c r="BB73" s="10">
        <f t="shared" si="5"/>
        <v>4496</v>
      </c>
      <c r="BC73" s="6">
        <v>27</v>
      </c>
      <c r="BD73" s="10">
        <v>72</v>
      </c>
      <c r="BE73" s="10">
        <v>57</v>
      </c>
      <c r="BF73" s="10">
        <v>485</v>
      </c>
      <c r="BG73" s="10">
        <v>3</v>
      </c>
    </row>
    <row r="74" spans="1:59">
      <c r="A74" s="6">
        <v>7</v>
      </c>
      <c r="B74" s="6" t="s">
        <v>458</v>
      </c>
      <c r="C74" s="7" t="s">
        <v>3</v>
      </c>
      <c r="D74" s="6" t="s">
        <v>541</v>
      </c>
      <c r="E74" s="6" t="s">
        <v>616</v>
      </c>
      <c r="F74" s="7" t="s">
        <v>640</v>
      </c>
      <c r="G74" s="7" t="s">
        <v>596</v>
      </c>
      <c r="H74" s="10">
        <v>40132854</v>
      </c>
      <c r="I74" s="10">
        <v>40317757</v>
      </c>
      <c r="J74" s="10">
        <v>1825272</v>
      </c>
      <c r="K74" s="10">
        <v>22100769</v>
      </c>
      <c r="L74" s="10">
        <v>2303390</v>
      </c>
      <c r="M74" s="10">
        <v>7037639</v>
      </c>
      <c r="N74" s="10">
        <v>4387224</v>
      </c>
      <c r="O74" s="10">
        <v>11250</v>
      </c>
      <c r="P74" s="10">
        <v>154340</v>
      </c>
      <c r="Q74" s="10">
        <v>38035375</v>
      </c>
      <c r="R74" s="12">
        <v>6.0999999999999999E-2</v>
      </c>
      <c r="S74" s="10">
        <v>0</v>
      </c>
      <c r="T74" s="24">
        <f>2042590/37410134</f>
        <v>5.4599911350223983E-2</v>
      </c>
      <c r="U74" s="10">
        <v>2040763</v>
      </c>
      <c r="V74" s="10">
        <v>0</v>
      </c>
      <c r="W74" s="10">
        <f>184903+6388</f>
        <v>191291</v>
      </c>
      <c r="X74" s="10">
        <v>1074800</v>
      </c>
      <c r="Y74" s="10">
        <v>84742</v>
      </c>
      <c r="Z74" s="10">
        <v>233684</v>
      </c>
      <c r="AA74" s="10">
        <f>202663+1914</f>
        <v>204577</v>
      </c>
      <c r="AB74" s="10">
        <v>0</v>
      </c>
      <c r="AC74" s="10">
        <v>65619</v>
      </c>
      <c r="AD74" s="10">
        <v>92483</v>
      </c>
      <c r="AE74" s="10">
        <f>54958+150327+73695</f>
        <v>278980</v>
      </c>
      <c r="AF74" s="10">
        <v>21230</v>
      </c>
      <c r="AG74" s="10">
        <v>0</v>
      </c>
      <c r="AH74" s="10">
        <v>70604</v>
      </c>
      <c r="AI74" s="10">
        <v>0</v>
      </c>
      <c r="AJ74" s="10">
        <v>2294181</v>
      </c>
      <c r="AK74" s="10">
        <v>2406099</v>
      </c>
      <c r="AL74" s="10">
        <v>250384</v>
      </c>
      <c r="AM74" s="10">
        <v>0</v>
      </c>
      <c r="AN74" s="10">
        <v>0</v>
      </c>
      <c r="AO74" s="10">
        <v>129052</v>
      </c>
      <c r="AP74" s="10">
        <v>0</v>
      </c>
      <c r="AQ74" s="10">
        <v>224794</v>
      </c>
      <c r="AR74" s="10">
        <v>0</v>
      </c>
      <c r="AS74" s="10">
        <v>0</v>
      </c>
      <c r="AT74" s="10">
        <v>0</v>
      </c>
      <c r="AU74" s="10">
        <v>7026</v>
      </c>
      <c r="AV74" s="10">
        <v>2715</v>
      </c>
      <c r="AW74" s="10">
        <f>6-3</f>
        <v>3</v>
      </c>
      <c r="AX74" s="10">
        <v>-333</v>
      </c>
      <c r="AY74" s="10">
        <v>-1227</v>
      </c>
      <c r="AZ74" s="10">
        <v>-847</v>
      </c>
      <c r="BA74" s="10">
        <v>-20</v>
      </c>
      <c r="BB74" s="10">
        <f t="shared" si="5"/>
        <v>7317</v>
      </c>
      <c r="BC74" s="6">
        <v>24</v>
      </c>
      <c r="BD74" s="10">
        <v>583</v>
      </c>
      <c r="BE74" s="10">
        <v>108</v>
      </c>
      <c r="BF74" s="10">
        <v>176</v>
      </c>
      <c r="BG74" s="10">
        <v>0</v>
      </c>
    </row>
    <row r="75" spans="1:59">
      <c r="A75" s="6">
        <v>7</v>
      </c>
      <c r="B75" s="6" t="s">
        <v>474</v>
      </c>
      <c r="C75" s="7" t="s">
        <v>157</v>
      </c>
      <c r="D75" s="6" t="s">
        <v>277</v>
      </c>
      <c r="E75" s="6" t="s">
        <v>616</v>
      </c>
      <c r="F75" s="7" t="s">
        <v>568</v>
      </c>
      <c r="G75" s="7" t="s">
        <v>596</v>
      </c>
      <c r="H75" s="10">
        <v>2985377</v>
      </c>
      <c r="I75" s="10">
        <v>3914254</v>
      </c>
      <c r="J75" s="10">
        <v>129971</v>
      </c>
      <c r="K75" s="10">
        <v>1894700</v>
      </c>
      <c r="L75" s="10">
        <v>530453</v>
      </c>
      <c r="M75" s="10">
        <v>450293</v>
      </c>
      <c r="N75" s="10">
        <v>169161</v>
      </c>
      <c r="O75" s="10">
        <v>0</v>
      </c>
      <c r="P75" s="10">
        <v>0</v>
      </c>
      <c r="Q75" s="10">
        <v>3378044</v>
      </c>
      <c r="R75" s="12">
        <v>0.13</v>
      </c>
      <c r="S75" s="10">
        <v>0</v>
      </c>
      <c r="T75" s="24">
        <f>337782/3377824</f>
        <v>9.9999881580567843E-2</v>
      </c>
      <c r="U75" s="10">
        <v>333217</v>
      </c>
      <c r="V75" s="10">
        <v>0</v>
      </c>
      <c r="W75" s="10">
        <f>5801+504</f>
        <v>6305</v>
      </c>
      <c r="X75" s="10">
        <v>69110</v>
      </c>
      <c r="Y75" s="10">
        <v>5286</v>
      </c>
      <c r="Z75" s="10">
        <v>9122</v>
      </c>
      <c r="AA75" s="10">
        <v>0</v>
      </c>
      <c r="AB75" s="10">
        <v>2442</v>
      </c>
      <c r="AC75" s="10">
        <v>6907</v>
      </c>
      <c r="AD75" s="10">
        <v>325</v>
      </c>
      <c r="AE75" s="10">
        <f>3740+4206+19037</f>
        <v>26983</v>
      </c>
      <c r="AF75" s="10">
        <v>2782</v>
      </c>
      <c r="AG75" s="10">
        <v>5516</v>
      </c>
      <c r="AH75" s="10">
        <v>104408</v>
      </c>
      <c r="AI75" s="10">
        <v>0</v>
      </c>
      <c r="AJ75" s="10">
        <v>251834</v>
      </c>
      <c r="AK75" s="10">
        <v>274789</v>
      </c>
      <c r="AL75" s="10">
        <v>0</v>
      </c>
      <c r="AM75" s="10">
        <v>0</v>
      </c>
      <c r="AN75" s="10">
        <v>0</v>
      </c>
      <c r="AO75" s="10">
        <v>38057</v>
      </c>
      <c r="AP75" s="10">
        <v>0</v>
      </c>
      <c r="AQ75" s="10">
        <v>198918</v>
      </c>
      <c r="AR75" s="10">
        <v>0</v>
      </c>
      <c r="AS75" s="10">
        <v>0</v>
      </c>
      <c r="AT75" s="10">
        <v>0</v>
      </c>
      <c r="AU75" s="10">
        <v>0</v>
      </c>
      <c r="AV75" s="10">
        <v>199</v>
      </c>
      <c r="AW75" s="10">
        <v>2839</v>
      </c>
      <c r="AX75" s="10">
        <v>-27</v>
      </c>
      <c r="AY75" s="10">
        <v>-125</v>
      </c>
      <c r="AZ75" s="10">
        <v>-148</v>
      </c>
      <c r="BA75" s="10">
        <v>-1</v>
      </c>
      <c r="BB75" s="10">
        <f t="shared" si="5"/>
        <v>2737</v>
      </c>
      <c r="BC75" s="6">
        <v>13</v>
      </c>
      <c r="BD75" s="10">
        <v>0</v>
      </c>
      <c r="BE75" s="10">
        <v>0</v>
      </c>
      <c r="BF75" s="10">
        <v>0</v>
      </c>
      <c r="BG75" s="10">
        <v>0</v>
      </c>
    </row>
    <row r="76" spans="1:59">
      <c r="A76" s="6">
        <v>8</v>
      </c>
      <c r="B76" s="6" t="s">
        <v>199</v>
      </c>
      <c r="C76" s="7" t="s">
        <v>243</v>
      </c>
      <c r="D76" s="6" t="s">
        <v>383</v>
      </c>
      <c r="E76" s="6" t="s">
        <v>599</v>
      </c>
      <c r="F76" s="7" t="s">
        <v>640</v>
      </c>
      <c r="G76" s="7" t="s">
        <v>593</v>
      </c>
      <c r="H76" s="10">
        <v>72562857</v>
      </c>
      <c r="I76" s="10">
        <v>72813288</v>
      </c>
      <c r="J76" s="10">
        <v>1632374</v>
      </c>
      <c r="K76" s="10">
        <f>25520219+S76</f>
        <v>51788401</v>
      </c>
      <c r="L76" s="10">
        <f>29664105-S76</f>
        <v>3395923</v>
      </c>
      <c r="M76" s="10">
        <v>6738932</v>
      </c>
      <c r="N76" s="10">
        <v>3109707</v>
      </c>
      <c r="O76" s="10">
        <v>0</v>
      </c>
      <c r="P76" s="10">
        <v>0</v>
      </c>
      <c r="Q76" s="10">
        <v>70583248</v>
      </c>
      <c r="R76" s="12">
        <v>0.09</v>
      </c>
      <c r="S76" s="10">
        <f>25449729+818453</f>
        <v>26268182</v>
      </c>
      <c r="T76" s="24">
        <f>1444392/44298493</f>
        <v>3.2605894742288415E-2</v>
      </c>
      <c r="U76" s="10">
        <v>1445896</v>
      </c>
      <c r="V76" s="10">
        <v>0</v>
      </c>
      <c r="W76" s="10">
        <f>228548+20709</f>
        <v>249257</v>
      </c>
      <c r="X76" s="10">
        <v>750647</v>
      </c>
      <c r="Y76" s="10">
        <v>58322</v>
      </c>
      <c r="Z76" s="10">
        <v>224528</v>
      </c>
      <c r="AA76" s="10">
        <v>155526</v>
      </c>
      <c r="AB76" s="10">
        <v>0</v>
      </c>
      <c r="AC76" s="10">
        <v>19003</v>
      </c>
      <c r="AD76" s="10">
        <v>6095</v>
      </c>
      <c r="AE76" s="10">
        <f>19792+78788+71770</f>
        <v>170350</v>
      </c>
      <c r="AF76" s="10">
        <v>12582</v>
      </c>
      <c r="AG76" s="10">
        <v>0</v>
      </c>
      <c r="AH76" s="10">
        <v>69183</v>
      </c>
      <c r="AI76" s="10">
        <v>86484</v>
      </c>
      <c r="AJ76" s="10">
        <v>1570997</v>
      </c>
      <c r="AK76" s="10">
        <v>1598722</v>
      </c>
      <c r="AL76" s="10">
        <v>147900</v>
      </c>
      <c r="AM76" s="10">
        <v>1004</v>
      </c>
      <c r="AN76" s="10">
        <v>0</v>
      </c>
      <c r="AO76" s="10">
        <v>129052</v>
      </c>
      <c r="AP76" s="10">
        <v>0</v>
      </c>
      <c r="AQ76" s="10">
        <v>143003</v>
      </c>
      <c r="AR76" s="10">
        <v>0</v>
      </c>
      <c r="AS76" s="10">
        <v>0</v>
      </c>
      <c r="AT76" s="10">
        <v>0</v>
      </c>
      <c r="AU76" s="10">
        <v>13476</v>
      </c>
      <c r="AV76" s="10">
        <v>6817</v>
      </c>
      <c r="AW76" s="10">
        <v>-9</v>
      </c>
      <c r="AX76" s="10">
        <v>-474</v>
      </c>
      <c r="AY76" s="10">
        <v>-4194</v>
      </c>
      <c r="AZ76" s="10">
        <v>-1260</v>
      </c>
      <c r="BA76" s="10">
        <v>-1</v>
      </c>
      <c r="BB76" s="10">
        <f t="shared" ref="BB76:BB107" si="6">SUM(AU76:BA76)</f>
        <v>14355</v>
      </c>
      <c r="BC76" s="6">
        <v>255</v>
      </c>
      <c r="BD76" s="10">
        <v>766</v>
      </c>
      <c r="BE76" s="10">
        <v>103</v>
      </c>
      <c r="BF76" s="10">
        <v>391</v>
      </c>
      <c r="BG76" s="10">
        <v>0</v>
      </c>
    </row>
    <row r="77" spans="1:59">
      <c r="A77" s="6">
        <v>8</v>
      </c>
      <c r="B77" s="6" t="s">
        <v>254</v>
      </c>
      <c r="C77" s="7" t="s">
        <v>648</v>
      </c>
      <c r="D77" s="6" t="s">
        <v>301</v>
      </c>
      <c r="E77" s="6" t="s">
        <v>599</v>
      </c>
      <c r="F77" s="7" t="s">
        <v>640</v>
      </c>
      <c r="G77" s="7" t="s">
        <v>593</v>
      </c>
      <c r="H77" s="10">
        <v>28829537</v>
      </c>
      <c r="I77" s="10">
        <v>28931033</v>
      </c>
      <c r="J77" s="10">
        <v>550972</v>
      </c>
      <c r="K77" s="10">
        <v>12860914</v>
      </c>
      <c r="L77" s="10">
        <v>8228693</v>
      </c>
      <c r="M77" s="10">
        <v>2278805</v>
      </c>
      <c r="N77" s="10">
        <v>1630795</v>
      </c>
      <c r="O77" s="10">
        <v>0</v>
      </c>
      <c r="P77" s="10">
        <v>0</v>
      </c>
      <c r="Q77" s="10">
        <v>27995986</v>
      </c>
      <c r="R77" s="12">
        <v>0.1</v>
      </c>
      <c r="S77" s="10">
        <f>7465965+34498</f>
        <v>7500463</v>
      </c>
      <c r="T77" s="24">
        <f>1114459/20495523</f>
        <v>5.4375728787208796E-2</v>
      </c>
      <c r="U77" s="10">
        <v>1115110</v>
      </c>
      <c r="V77" s="10">
        <v>0</v>
      </c>
      <c r="W77" s="10">
        <f>93533+8077+3836</f>
        <v>105446</v>
      </c>
      <c r="X77" s="10">
        <v>573046</v>
      </c>
      <c r="Y77" s="10">
        <v>46470</v>
      </c>
      <c r="Z77" s="10">
        <v>155126</v>
      </c>
      <c r="AA77" s="10">
        <f>75539+3938</f>
        <v>79477</v>
      </c>
      <c r="AB77" s="10">
        <v>0</v>
      </c>
      <c r="AC77" s="10">
        <v>17896</v>
      </c>
      <c r="AD77" s="10">
        <v>4076</v>
      </c>
      <c r="AE77" s="10">
        <f>17850+50613+22348</f>
        <v>90811</v>
      </c>
      <c r="AF77" s="10">
        <v>10556</v>
      </c>
      <c r="AG77" s="10">
        <v>12562</v>
      </c>
      <c r="AH77" s="10">
        <v>69600</v>
      </c>
      <c r="AI77" s="10">
        <v>0</v>
      </c>
      <c r="AJ77" s="10">
        <v>1113705</v>
      </c>
      <c r="AK77" s="10">
        <v>1155672</v>
      </c>
      <c r="AL77" s="10">
        <v>156420</v>
      </c>
      <c r="AM77" s="10">
        <v>0</v>
      </c>
      <c r="AN77" s="10">
        <v>0</v>
      </c>
      <c r="AO77" s="10">
        <v>129052</v>
      </c>
      <c r="AP77" s="10">
        <v>0</v>
      </c>
      <c r="AQ77" s="10">
        <v>137126</v>
      </c>
      <c r="AR77" s="10">
        <v>0</v>
      </c>
      <c r="AS77" s="10">
        <v>0</v>
      </c>
      <c r="AT77" s="10">
        <v>0</v>
      </c>
      <c r="AU77" s="10">
        <v>6699</v>
      </c>
      <c r="AV77" s="10">
        <v>3502</v>
      </c>
      <c r="AW77" s="10">
        <f>1+8-1</f>
        <v>8</v>
      </c>
      <c r="AX77" s="10">
        <v>-260</v>
      </c>
      <c r="AY77" s="10">
        <v>-2063</v>
      </c>
      <c r="AZ77" s="10">
        <v>-667</v>
      </c>
      <c r="BA77" s="10">
        <v>0</v>
      </c>
      <c r="BB77" s="10">
        <f t="shared" si="6"/>
        <v>7219</v>
      </c>
      <c r="BC77" s="6">
        <v>40</v>
      </c>
      <c r="BD77" s="10">
        <v>214</v>
      </c>
      <c r="BE77" s="10">
        <v>47</v>
      </c>
      <c r="BF77" s="10">
        <v>404</v>
      </c>
      <c r="BG77" s="10">
        <v>0</v>
      </c>
    </row>
    <row r="78" spans="1:59">
      <c r="A78" s="6">
        <v>8</v>
      </c>
      <c r="B78" s="6" t="s">
        <v>273</v>
      </c>
      <c r="C78" s="7" t="s">
        <v>269</v>
      </c>
      <c r="D78" s="6" t="s">
        <v>421</v>
      </c>
      <c r="E78" s="6" t="s">
        <v>599</v>
      </c>
      <c r="F78" s="7" t="s">
        <v>394</v>
      </c>
      <c r="G78" s="7" t="s">
        <v>593</v>
      </c>
      <c r="H78" s="10">
        <v>82529924</v>
      </c>
      <c r="I78" s="10">
        <v>82776903</v>
      </c>
      <c r="J78" s="10">
        <v>2321463</v>
      </c>
      <c r="K78" s="10">
        <v>53051680</v>
      </c>
      <c r="L78" s="10">
        <v>5185556</v>
      </c>
      <c r="M78" s="10">
        <v>14402652</v>
      </c>
      <c r="N78" s="10">
        <v>4370582</v>
      </c>
      <c r="O78" s="10">
        <v>5420</v>
      </c>
      <c r="P78" s="10">
        <v>0</v>
      </c>
      <c r="Q78" s="10">
        <v>80070658</v>
      </c>
      <c r="R78" s="12">
        <v>0.02</v>
      </c>
      <c r="S78" s="10">
        <v>24017612</v>
      </c>
      <c r="T78" s="24">
        <f>2354000/56047626</f>
        <v>4.199999479014508E-2</v>
      </c>
      <c r="U78" s="10">
        <v>2353855</v>
      </c>
      <c r="V78" s="10">
        <v>0</v>
      </c>
      <c r="W78" s="10">
        <f>227253+21823</f>
        <v>249076</v>
      </c>
      <c r="X78" s="10">
        <v>1376989</v>
      </c>
      <c r="Y78" s="10">
        <v>102449</v>
      </c>
      <c r="Z78" s="10">
        <v>317546</v>
      </c>
      <c r="AA78" s="10">
        <v>213361</v>
      </c>
      <c r="AB78" s="10">
        <v>0</v>
      </c>
      <c r="AC78" s="10">
        <v>19213</v>
      </c>
      <c r="AD78" s="10">
        <v>22328</v>
      </c>
      <c r="AE78" s="10">
        <f>34001+106511+62778</f>
        <v>203290</v>
      </c>
      <c r="AF78" s="10">
        <v>21899</v>
      </c>
      <c r="AG78" s="10">
        <v>12493</v>
      </c>
      <c r="AH78" s="10">
        <v>142767</v>
      </c>
      <c r="AI78" s="10">
        <v>0</v>
      </c>
      <c r="AJ78" s="10">
        <v>2590918</v>
      </c>
      <c r="AK78" s="10">
        <v>2663356</v>
      </c>
      <c r="AL78" s="10">
        <v>344426</v>
      </c>
      <c r="AM78" s="10">
        <v>0</v>
      </c>
      <c r="AN78" s="10">
        <v>0</v>
      </c>
      <c r="AO78" s="10">
        <v>129052</v>
      </c>
      <c r="AP78" s="10">
        <v>0</v>
      </c>
      <c r="AQ78" s="10">
        <v>234098</v>
      </c>
      <c r="AR78" s="10">
        <v>0</v>
      </c>
      <c r="AS78" s="10">
        <v>0</v>
      </c>
      <c r="AT78" s="10">
        <v>0</v>
      </c>
      <c r="AU78" s="10">
        <v>13021</v>
      </c>
      <c r="AV78" s="10">
        <v>5482</v>
      </c>
      <c r="AW78" s="10">
        <v>0</v>
      </c>
      <c r="AX78" s="10">
        <v>-1002</v>
      </c>
      <c r="AY78" s="10">
        <v>-2822</v>
      </c>
      <c r="AZ78" s="10">
        <v>-1763</v>
      </c>
      <c r="BA78" s="10">
        <v>0</v>
      </c>
      <c r="BB78" s="10">
        <f t="shared" si="6"/>
        <v>12916</v>
      </c>
      <c r="BC78" s="6">
        <v>59</v>
      </c>
      <c r="BD78" s="10">
        <v>1070</v>
      </c>
      <c r="BE78" s="10">
        <v>229</v>
      </c>
      <c r="BF78" s="10">
        <v>464</v>
      </c>
      <c r="BG78" s="10">
        <v>0</v>
      </c>
    </row>
    <row r="79" spans="1:59">
      <c r="A79" s="6">
        <v>8</v>
      </c>
      <c r="B79" s="6" t="s">
        <v>320</v>
      </c>
      <c r="C79" s="7" t="s">
        <v>255</v>
      </c>
      <c r="D79" s="6" t="s">
        <v>323</v>
      </c>
      <c r="E79" s="6" t="s">
        <v>599</v>
      </c>
      <c r="F79" s="7" t="s">
        <v>192</v>
      </c>
      <c r="G79" s="7" t="s">
        <v>593</v>
      </c>
      <c r="H79" s="10">
        <v>36482751</v>
      </c>
      <c r="I79" s="10">
        <v>36556829</v>
      </c>
      <c r="J79" s="10">
        <v>592227</v>
      </c>
      <c r="K79" s="10">
        <v>20945178</v>
      </c>
      <c r="L79" s="10">
        <v>925841</v>
      </c>
      <c r="M79" s="10">
        <v>9672099</v>
      </c>
      <c r="N79" s="10">
        <v>2115183</v>
      </c>
      <c r="O79" s="10">
        <v>0</v>
      </c>
      <c r="P79" s="10">
        <v>0</v>
      </c>
      <c r="Q79" s="10">
        <v>35171018</v>
      </c>
      <c r="R79" s="12">
        <v>6.4699999999999994E-2</v>
      </c>
      <c r="S79" s="10">
        <v>7507790</v>
      </c>
      <c r="T79" s="24">
        <f>1147039/27663228</f>
        <v>4.1464394538482635E-2</v>
      </c>
      <c r="U79" s="10">
        <v>1146847</v>
      </c>
      <c r="V79" s="10">
        <v>0</v>
      </c>
      <c r="W79" s="10">
        <f>74078+3759</f>
        <v>77837</v>
      </c>
      <c r="X79" s="10">
        <v>468921</v>
      </c>
      <c r="Y79" s="10">
        <v>40422</v>
      </c>
      <c r="Z79" s="10">
        <v>74270</v>
      </c>
      <c r="AA79" s="10">
        <v>73697</v>
      </c>
      <c r="AB79" s="10">
        <v>0</v>
      </c>
      <c r="AC79" s="10">
        <v>115744</v>
      </c>
      <c r="AD79" s="10">
        <v>1465</v>
      </c>
      <c r="AE79" s="10">
        <f>24711+70567+51725</f>
        <v>147003</v>
      </c>
      <c r="AF79" s="10">
        <v>11509</v>
      </c>
      <c r="AG79" s="10">
        <v>1068</v>
      </c>
      <c r="AH79" s="10">
        <v>67076</v>
      </c>
      <c r="AI79" s="10">
        <v>0</v>
      </c>
      <c r="AJ79" s="10">
        <v>1095614</v>
      </c>
      <c r="AK79" s="10">
        <v>1126084</v>
      </c>
      <c r="AL79" s="10">
        <v>161630</v>
      </c>
      <c r="AM79" s="10">
        <v>0</v>
      </c>
      <c r="AN79" s="10">
        <v>0</v>
      </c>
      <c r="AO79" s="10">
        <v>129052</v>
      </c>
      <c r="AP79" s="10">
        <v>0</v>
      </c>
      <c r="AQ79" s="10">
        <v>161648</v>
      </c>
      <c r="AR79" s="10">
        <v>0</v>
      </c>
      <c r="AS79" s="10">
        <v>0</v>
      </c>
      <c r="AT79" s="10">
        <v>0</v>
      </c>
      <c r="AU79" s="10">
        <v>6250</v>
      </c>
      <c r="AV79" s="10">
        <v>3086</v>
      </c>
      <c r="AW79" s="10">
        <v>-455</v>
      </c>
      <c r="AX79" s="10">
        <v>-299</v>
      </c>
      <c r="AY79" s="10">
        <v>-1565</v>
      </c>
      <c r="AZ79" s="10">
        <v>-805</v>
      </c>
      <c r="BA79" s="10">
        <v>-3</v>
      </c>
      <c r="BB79" s="10">
        <f t="shared" si="6"/>
        <v>6209</v>
      </c>
      <c r="BC79" s="6">
        <v>12</v>
      </c>
      <c r="BD79" s="10">
        <v>628</v>
      </c>
      <c r="BE79" s="10">
        <v>78</v>
      </c>
      <c r="BF79" s="10">
        <v>97</v>
      </c>
      <c r="BG79" s="10">
        <v>0</v>
      </c>
    </row>
    <row r="80" spans="1:59">
      <c r="A80" s="6">
        <v>8</v>
      </c>
      <c r="B80" s="6" t="s">
        <v>342</v>
      </c>
      <c r="C80" s="7" t="s">
        <v>648</v>
      </c>
      <c r="D80" s="6" t="s">
        <v>356</v>
      </c>
      <c r="E80" s="6" t="s">
        <v>327</v>
      </c>
      <c r="F80" s="7" t="s">
        <v>640</v>
      </c>
      <c r="G80" s="7" t="s">
        <v>319</v>
      </c>
      <c r="H80" s="10">
        <v>19815926</v>
      </c>
      <c r="I80" s="10">
        <v>19924374</v>
      </c>
      <c r="J80" s="10">
        <v>272269</v>
      </c>
      <c r="K80" s="10">
        <v>9537784</v>
      </c>
      <c r="L80" s="10">
        <v>757716</v>
      </c>
      <c r="M80" s="10">
        <v>6134406</v>
      </c>
      <c r="N80" s="10">
        <v>2088497</v>
      </c>
      <c r="O80" s="10">
        <v>0</v>
      </c>
      <c r="P80" s="10">
        <v>0</v>
      </c>
      <c r="Q80" s="10">
        <v>19161984</v>
      </c>
      <c r="R80" s="12">
        <v>0.13900000000000001</v>
      </c>
      <c r="S80" s="10">
        <v>0</v>
      </c>
      <c r="T80" s="24">
        <f>474683/19161984</f>
        <v>2.4772121717667649E-2</v>
      </c>
      <c r="U80" s="10">
        <v>472963</v>
      </c>
      <c r="V80" s="10">
        <v>0</v>
      </c>
      <c r="W80" s="10">
        <f>108448+1982</f>
        <v>110430</v>
      </c>
      <c r="X80" s="10">
        <v>223875</v>
      </c>
      <c r="Y80" s="10">
        <v>16868</v>
      </c>
      <c r="Z80" s="10">
        <v>49913</v>
      </c>
      <c r="AA80" s="10">
        <v>39129</v>
      </c>
      <c r="AB80" s="10">
        <v>13163</v>
      </c>
      <c r="AC80" s="10">
        <v>25625</v>
      </c>
      <c r="AD80" s="10">
        <v>0</v>
      </c>
      <c r="AE80" s="10">
        <f>5642+16421+5854</f>
        <v>27917</v>
      </c>
      <c r="AF80" s="10">
        <v>4917</v>
      </c>
      <c r="AG80" s="10">
        <v>534</v>
      </c>
      <c r="AH80" s="10">
        <v>12865</v>
      </c>
      <c r="AI80" s="10">
        <v>42989</v>
      </c>
      <c r="AJ80" s="10">
        <v>453206</v>
      </c>
      <c r="AK80" s="10">
        <v>461450</v>
      </c>
      <c r="AL80" s="10">
        <v>58831</v>
      </c>
      <c r="AM80" s="10">
        <v>0</v>
      </c>
      <c r="AN80" s="10">
        <v>0</v>
      </c>
      <c r="AO80" s="10">
        <v>129052</v>
      </c>
      <c r="AP80" s="10">
        <v>0</v>
      </c>
      <c r="AQ80" s="10">
        <v>59966</v>
      </c>
      <c r="AR80" s="10">
        <v>0</v>
      </c>
      <c r="AS80" s="10">
        <v>0</v>
      </c>
      <c r="AT80" s="10">
        <v>0</v>
      </c>
      <c r="AU80" s="10">
        <v>4791</v>
      </c>
      <c r="AV80" s="10">
        <v>2482</v>
      </c>
      <c r="AW80" s="10">
        <v>0</v>
      </c>
      <c r="AX80" s="10">
        <v>-571</v>
      </c>
      <c r="AY80" s="10">
        <v>-893</v>
      </c>
      <c r="AZ80" s="10">
        <v>-544</v>
      </c>
      <c r="BA80" s="10">
        <v>-9</v>
      </c>
      <c r="BB80" s="10">
        <f t="shared" si="6"/>
        <v>5256</v>
      </c>
      <c r="BC80" s="6">
        <v>21</v>
      </c>
      <c r="BD80" s="10">
        <v>511</v>
      </c>
      <c r="BE80" s="10">
        <v>16</v>
      </c>
      <c r="BF80" s="10">
        <v>17</v>
      </c>
      <c r="BG80" s="10">
        <v>0</v>
      </c>
    </row>
    <row r="81" spans="1:59">
      <c r="A81" s="6">
        <v>8</v>
      </c>
      <c r="B81" s="6" t="s">
        <v>580</v>
      </c>
      <c r="C81" s="7" t="s">
        <v>243</v>
      </c>
      <c r="D81" s="6" t="s">
        <v>383</v>
      </c>
      <c r="E81" s="6" t="s">
        <v>599</v>
      </c>
      <c r="F81" s="7" t="s">
        <v>640</v>
      </c>
      <c r="G81" s="7" t="s">
        <v>593</v>
      </c>
      <c r="H81" s="10">
        <v>72816997</v>
      </c>
      <c r="I81" s="10">
        <v>73070728</v>
      </c>
      <c r="J81" s="10">
        <v>1699876</v>
      </c>
      <c r="K81" s="10">
        <f>25374099+S81</f>
        <v>51320513</v>
      </c>
      <c r="L81" s="10">
        <f>29378128-S81</f>
        <v>3431714</v>
      </c>
      <c r="M81" s="10">
        <v>7228044</v>
      </c>
      <c r="N81" s="10">
        <v>3150677</v>
      </c>
      <c r="O81" s="10">
        <v>0</v>
      </c>
      <c r="P81" s="10">
        <v>0</v>
      </c>
      <c r="Q81" s="10">
        <v>70786947</v>
      </c>
      <c r="R81" s="12">
        <v>0.09</v>
      </c>
      <c r="S81" s="10">
        <f>25122635+823779</f>
        <v>25946414</v>
      </c>
      <c r="T81" s="24">
        <f>1458732/44827168</f>
        <v>3.2541248200198596E-2</v>
      </c>
      <c r="U81" s="10">
        <v>1456903</v>
      </c>
      <c r="V81" s="10">
        <v>0</v>
      </c>
      <c r="W81" s="10">
        <f>231755+21067</f>
        <v>252822</v>
      </c>
      <c r="X81" s="10">
        <v>750647</v>
      </c>
      <c r="Y81" s="10">
        <v>58322</v>
      </c>
      <c r="Z81" s="10">
        <v>224528</v>
      </c>
      <c r="AA81" s="10">
        <v>155526</v>
      </c>
      <c r="AB81" s="10">
        <v>0</v>
      </c>
      <c r="AC81" s="10">
        <v>19003</v>
      </c>
      <c r="AD81" s="10">
        <v>6095</v>
      </c>
      <c r="AE81" s="10">
        <f>19792+78788+71770</f>
        <v>170350</v>
      </c>
      <c r="AF81" s="10">
        <v>12582</v>
      </c>
      <c r="AG81" s="10">
        <v>0</v>
      </c>
      <c r="AH81" s="10">
        <v>69183</v>
      </c>
      <c r="AI81" s="10">
        <v>86484</v>
      </c>
      <c r="AJ81" s="10">
        <v>1570997</v>
      </c>
      <c r="AK81" s="10">
        <v>1598722</v>
      </c>
      <c r="AL81" s="10">
        <v>119207</v>
      </c>
      <c r="AM81" s="10">
        <v>1004</v>
      </c>
      <c r="AN81" s="10">
        <v>0</v>
      </c>
      <c r="AO81" s="10">
        <v>129052</v>
      </c>
      <c r="AP81" s="10">
        <v>0</v>
      </c>
      <c r="AQ81" s="10">
        <v>128883</v>
      </c>
      <c r="AR81" s="10">
        <v>0</v>
      </c>
      <c r="AS81" s="10">
        <v>0</v>
      </c>
      <c r="AT81" s="10">
        <v>0</v>
      </c>
      <c r="AU81" s="10">
        <v>13516</v>
      </c>
      <c r="AV81" s="10">
        <v>6816</v>
      </c>
      <c r="AW81" s="10">
        <v>-13</v>
      </c>
      <c r="AX81" s="10">
        <v>-440</v>
      </c>
      <c r="AY81" s="10">
        <v>-4445</v>
      </c>
      <c r="AZ81" s="10">
        <v>-1294</v>
      </c>
      <c r="BA81" s="10">
        <v>-1</v>
      </c>
      <c r="BB81" s="10">
        <f t="shared" si="6"/>
        <v>14139</v>
      </c>
      <c r="BC81" s="6">
        <v>293</v>
      </c>
      <c r="BD81" s="10">
        <v>799</v>
      </c>
      <c r="BE81" s="10">
        <v>125</v>
      </c>
      <c r="BF81" s="10">
        <v>370</v>
      </c>
      <c r="BG81" s="10">
        <v>0</v>
      </c>
    </row>
    <row r="82" spans="1:59">
      <c r="A82" s="6">
        <v>8</v>
      </c>
      <c r="B82" s="6" t="s">
        <v>581</v>
      </c>
      <c r="C82" s="7" t="s">
        <v>101</v>
      </c>
      <c r="D82" s="6" t="s">
        <v>117</v>
      </c>
      <c r="E82" s="6" t="s">
        <v>599</v>
      </c>
      <c r="F82" s="7" t="s">
        <v>192</v>
      </c>
      <c r="G82" s="7" t="s">
        <v>593</v>
      </c>
      <c r="H82" s="10">
        <v>57648429</v>
      </c>
      <c r="I82" s="10">
        <v>57821795</v>
      </c>
      <c r="J82" s="10">
        <v>658189</v>
      </c>
      <c r="K82" s="10">
        <v>38367480</v>
      </c>
      <c r="L82" s="10">
        <v>1420518</v>
      </c>
      <c r="M82" s="10">
        <v>12181319</v>
      </c>
      <c r="N82" s="10">
        <v>2547255</v>
      </c>
      <c r="O82" s="10">
        <v>0</v>
      </c>
      <c r="P82" s="10">
        <v>0</v>
      </c>
      <c r="Q82" s="10">
        <v>56366949</v>
      </c>
      <c r="R82" s="12">
        <v>9.0499999999999997E-2</v>
      </c>
      <c r="S82" s="10">
        <v>12796093</v>
      </c>
      <c r="T82" s="24">
        <f>1359068/43570856</f>
        <v>3.1192134485491862E-2</v>
      </c>
      <c r="U82" s="10">
        <v>1359437</v>
      </c>
      <c r="V82" s="10">
        <v>0</v>
      </c>
      <c r="W82" s="10">
        <f>173366+2906</f>
        <v>176272</v>
      </c>
      <c r="X82" s="10">
        <v>655401</v>
      </c>
      <c r="Y82" s="10">
        <v>52269</v>
      </c>
      <c r="Z82" s="10">
        <v>84349</v>
      </c>
      <c r="AA82" s="10">
        <v>72060</v>
      </c>
      <c r="AB82" s="10">
        <v>4062</v>
      </c>
      <c r="AC82" s="10">
        <v>61296</v>
      </c>
      <c r="AD82" s="10">
        <v>28400</v>
      </c>
      <c r="AE82" s="10">
        <f>30227+59641+142351</f>
        <v>232219</v>
      </c>
      <c r="AF82" s="10">
        <f>13143+1852</f>
        <v>14995</v>
      </c>
      <c r="AG82" s="10">
        <v>41477</v>
      </c>
      <c r="AH82" s="10">
        <v>36208</v>
      </c>
      <c r="AI82" s="10">
        <v>0</v>
      </c>
      <c r="AJ82" s="10">
        <v>1371601</v>
      </c>
      <c r="AK82" s="10">
        <v>1412512</v>
      </c>
      <c r="AL82" s="10">
        <v>138557</v>
      </c>
      <c r="AM82" s="10">
        <v>0</v>
      </c>
      <c r="AN82" s="10">
        <v>0</v>
      </c>
      <c r="AO82" s="10">
        <v>129052</v>
      </c>
      <c r="AP82" s="10">
        <v>0</v>
      </c>
      <c r="AQ82" s="10">
        <v>175772</v>
      </c>
      <c r="AR82" s="10">
        <v>0</v>
      </c>
      <c r="AS82" s="10">
        <v>0</v>
      </c>
      <c r="AT82" s="10">
        <v>0</v>
      </c>
      <c r="AU82" s="10">
        <v>9480</v>
      </c>
      <c r="AV82" s="10">
        <v>7233</v>
      </c>
      <c r="AW82" s="10">
        <f>-7-1450</f>
        <v>-1457</v>
      </c>
      <c r="AX82" s="10">
        <v>-973</v>
      </c>
      <c r="AY82" s="10">
        <v>-2399</v>
      </c>
      <c r="AZ82" s="10">
        <v>-2244</v>
      </c>
      <c r="BA82" s="10">
        <v>-5</v>
      </c>
      <c r="BB82" s="10">
        <f t="shared" si="6"/>
        <v>9635</v>
      </c>
      <c r="BC82" s="6">
        <v>258</v>
      </c>
      <c r="BD82" s="10">
        <v>1007</v>
      </c>
      <c r="BE82" s="10">
        <v>60</v>
      </c>
      <c r="BF82" s="10">
        <v>151</v>
      </c>
      <c r="BG82" s="10">
        <v>1</v>
      </c>
    </row>
    <row r="83" spans="1:59">
      <c r="A83" s="6">
        <v>8</v>
      </c>
      <c r="B83" s="6" t="s">
        <v>642</v>
      </c>
      <c r="C83" s="7" t="s">
        <v>560</v>
      </c>
      <c r="D83" s="6" t="s">
        <v>347</v>
      </c>
      <c r="E83" s="6" t="s">
        <v>327</v>
      </c>
      <c r="F83" s="7" t="s">
        <v>192</v>
      </c>
      <c r="G83" s="7" t="s">
        <v>319</v>
      </c>
      <c r="H83" s="10">
        <v>11931336</v>
      </c>
      <c r="I83" s="10">
        <v>12025307</v>
      </c>
      <c r="J83" s="10">
        <v>343307</v>
      </c>
      <c r="K83" s="10">
        <v>6206877</v>
      </c>
      <c r="L83" s="10">
        <v>623955</v>
      </c>
      <c r="M83" s="10">
        <v>3901228</v>
      </c>
      <c r="N83" s="10">
        <v>559642</v>
      </c>
      <c r="O83" s="10">
        <v>0</v>
      </c>
      <c r="P83" s="10">
        <v>0</v>
      </c>
      <c r="Q83" s="10">
        <v>11959855</v>
      </c>
      <c r="R83" s="12">
        <v>5.8999999999999997E-2</v>
      </c>
      <c r="S83" s="10">
        <v>71927</v>
      </c>
      <c r="T83" s="24">
        <f>666714/11887928</f>
        <v>5.6083280450554544E-2</v>
      </c>
      <c r="U83" s="10">
        <v>666863</v>
      </c>
      <c r="V83" s="10">
        <v>0</v>
      </c>
      <c r="W83" s="10">
        <f>86383+7704+1241</f>
        <v>95328</v>
      </c>
      <c r="X83" s="10">
        <v>326211</v>
      </c>
      <c r="Y83" s="10">
        <v>26671</v>
      </c>
      <c r="Z83" s="10">
        <v>83204</v>
      </c>
      <c r="AA83" s="10">
        <v>68179</v>
      </c>
      <c r="AB83" s="10">
        <v>2731</v>
      </c>
      <c r="AC83" s="10">
        <v>16732</v>
      </c>
      <c r="AD83" s="10">
        <v>3261</v>
      </c>
      <c r="AE83" s="10">
        <f>10189+24115+20800</f>
        <v>55104</v>
      </c>
      <c r="AF83" s="10">
        <v>5922</v>
      </c>
      <c r="AG83" s="10">
        <v>1653</v>
      </c>
      <c r="AH83" s="10">
        <v>29428</v>
      </c>
      <c r="AI83" s="10">
        <v>0</v>
      </c>
      <c r="AJ83" s="10">
        <v>661653</v>
      </c>
      <c r="AK83" s="10">
        <v>642727</v>
      </c>
      <c r="AL83" s="10">
        <v>68317</v>
      </c>
      <c r="AM83" s="10">
        <v>0</v>
      </c>
      <c r="AN83" s="10">
        <v>0</v>
      </c>
      <c r="AO83" s="10">
        <v>129052</v>
      </c>
      <c r="AP83" s="10">
        <v>0</v>
      </c>
      <c r="AQ83" s="10">
        <v>46103</v>
      </c>
      <c r="AR83" s="10">
        <v>0</v>
      </c>
      <c r="AS83" s="10">
        <v>0</v>
      </c>
      <c r="AT83" s="10">
        <v>0</v>
      </c>
      <c r="AU83" s="10">
        <v>3952</v>
      </c>
      <c r="AV83" s="10">
        <v>1303</v>
      </c>
      <c r="AW83" s="10">
        <v>0</v>
      </c>
      <c r="AX83" s="10">
        <v>-228</v>
      </c>
      <c r="AY83" s="10">
        <v>-219</v>
      </c>
      <c r="AZ83" s="10">
        <v>-586</v>
      </c>
      <c r="BA83" s="10">
        <v>-14</v>
      </c>
      <c r="BB83" s="10">
        <f t="shared" si="6"/>
        <v>4208</v>
      </c>
      <c r="BC83" s="6">
        <v>70</v>
      </c>
      <c r="BD83" s="10">
        <v>324</v>
      </c>
      <c r="BE83" s="10">
        <v>115</v>
      </c>
      <c r="BF83" s="10">
        <v>134</v>
      </c>
      <c r="BG83" s="10">
        <v>3</v>
      </c>
    </row>
    <row r="84" spans="1:59">
      <c r="A84" s="6">
        <v>9</v>
      </c>
      <c r="B84" s="6" t="s">
        <v>68</v>
      </c>
      <c r="C84" s="7" t="s">
        <v>107</v>
      </c>
      <c r="D84" s="6" t="s">
        <v>223</v>
      </c>
      <c r="E84" s="6" t="s">
        <v>388</v>
      </c>
      <c r="F84" s="7" t="s">
        <v>192</v>
      </c>
      <c r="G84" s="7" t="s">
        <v>391</v>
      </c>
      <c r="H84" s="10">
        <v>11401520</v>
      </c>
      <c r="I84" s="10">
        <v>11476504</v>
      </c>
      <c r="J84" s="10">
        <v>655038</v>
      </c>
      <c r="K84" s="10">
        <v>7452079</v>
      </c>
      <c r="L84" s="10">
        <v>482071</v>
      </c>
      <c r="M84" s="10">
        <v>1505497</v>
      </c>
      <c r="N84" s="10">
        <v>470372</v>
      </c>
      <c r="O84" s="10">
        <v>0</v>
      </c>
      <c r="P84" s="10">
        <v>0</v>
      </c>
      <c r="Q84" s="10">
        <v>10594384</v>
      </c>
      <c r="R84" s="12">
        <v>0.13</v>
      </c>
      <c r="S84" s="10">
        <v>0</v>
      </c>
      <c r="T84" s="24">
        <f>646257/10594384</f>
        <v>6.0999959978796314E-2</v>
      </c>
      <c r="U84" s="10">
        <v>640265</v>
      </c>
      <c r="V84">
        <v>0</v>
      </c>
      <c r="W84" s="10">
        <f>74984+2105</f>
        <v>77089</v>
      </c>
      <c r="X84" s="10">
        <v>215157</v>
      </c>
      <c r="Y84" s="10">
        <v>21711</v>
      </c>
      <c r="Z84" s="10">
        <v>35962</v>
      </c>
      <c r="AA84" s="10">
        <f>33756+6832</f>
        <v>40588</v>
      </c>
      <c r="AB84" s="10">
        <v>13294</v>
      </c>
      <c r="AC84" s="10">
        <v>14427</v>
      </c>
      <c r="AD84" s="10">
        <v>11952</v>
      </c>
      <c r="AE84" s="10">
        <f>10516+22970+33927</f>
        <v>67413</v>
      </c>
      <c r="AF84" s="10">
        <v>7648</v>
      </c>
      <c r="AG84" s="10">
        <v>0</v>
      </c>
      <c r="AH84" s="10">
        <v>20865</v>
      </c>
      <c r="AI84" s="10">
        <v>0</v>
      </c>
      <c r="AJ84" s="10">
        <v>538690</v>
      </c>
      <c r="AK84" s="10">
        <v>555112</v>
      </c>
      <c r="AL84" s="10">
        <v>302</v>
      </c>
      <c r="AM84" s="10">
        <v>0</v>
      </c>
      <c r="AN84" s="10">
        <v>0</v>
      </c>
      <c r="AO84" s="10">
        <v>129052</v>
      </c>
      <c r="AP84" s="10">
        <v>0</v>
      </c>
      <c r="AQ84" s="10">
        <v>49683</v>
      </c>
      <c r="AR84" s="10">
        <v>0</v>
      </c>
      <c r="AS84" s="10">
        <v>0</v>
      </c>
      <c r="AT84" s="10">
        <v>0</v>
      </c>
      <c r="AU84" s="10">
        <v>1371</v>
      </c>
      <c r="AV84" s="10">
        <v>618</v>
      </c>
      <c r="AW84" s="10">
        <f>4+11</f>
        <v>15</v>
      </c>
      <c r="AX84" s="10">
        <v>-121</v>
      </c>
      <c r="AY84" s="10">
        <v>-201</v>
      </c>
      <c r="AZ84" s="10">
        <v>-229</v>
      </c>
      <c r="BA84" s="10">
        <v>0</v>
      </c>
      <c r="BB84" s="10">
        <f t="shared" si="6"/>
        <v>1453</v>
      </c>
      <c r="BC84" s="6">
        <v>5</v>
      </c>
      <c r="BD84" s="10">
        <v>101</v>
      </c>
      <c r="BE84" s="10">
        <v>36</v>
      </c>
      <c r="BF84" s="10">
        <v>76</v>
      </c>
      <c r="BG84" s="10">
        <v>9</v>
      </c>
    </row>
    <row r="85" spans="1:59">
      <c r="A85" s="6">
        <v>9</v>
      </c>
      <c r="B85" s="6" t="s">
        <v>77</v>
      </c>
      <c r="C85" s="6" t="s">
        <v>308</v>
      </c>
      <c r="D85" s="6" t="s">
        <v>334</v>
      </c>
      <c r="E85" s="6" t="s">
        <v>388</v>
      </c>
      <c r="F85" s="7" t="s">
        <v>640</v>
      </c>
      <c r="G85" s="7" t="s">
        <v>391</v>
      </c>
      <c r="H85" s="10">
        <v>5474801</v>
      </c>
      <c r="I85" s="10">
        <v>5483842</v>
      </c>
      <c r="J85" s="10">
        <v>155803</v>
      </c>
      <c r="K85" s="10">
        <v>2945698</v>
      </c>
      <c r="L85" s="10">
        <v>362798</v>
      </c>
      <c r="M85" s="10">
        <v>1266105</v>
      </c>
      <c r="N85" s="10">
        <v>247343</v>
      </c>
      <c r="O85" s="10">
        <v>0</v>
      </c>
      <c r="P85" s="10">
        <v>3108</v>
      </c>
      <c r="Q85" s="10">
        <v>5081600</v>
      </c>
      <c r="R85" s="12">
        <v>0.13952000000000001</v>
      </c>
      <c r="S85" s="10">
        <v>0</v>
      </c>
      <c r="T85" s="24">
        <f>252607/5081600</f>
        <v>4.9710130667506298E-2</v>
      </c>
      <c r="U85" s="10">
        <v>252491</v>
      </c>
      <c r="V85" s="10">
        <v>0</v>
      </c>
      <c r="W85" s="10">
        <f>9041+407</f>
        <v>9448</v>
      </c>
      <c r="X85" s="10">
        <v>58434</v>
      </c>
      <c r="Y85" s="10">
        <v>4617</v>
      </c>
      <c r="Z85" s="10">
        <v>3559</v>
      </c>
      <c r="AA85" s="10">
        <v>13656</v>
      </c>
      <c r="AB85" s="10">
        <v>6500</v>
      </c>
      <c r="AC85" s="10">
        <v>3603</v>
      </c>
      <c r="AD85" s="10">
        <v>726</v>
      </c>
      <c r="AE85" s="10">
        <f>1389+8388+6275</f>
        <v>16052</v>
      </c>
      <c r="AF85" s="10">
        <v>2894</v>
      </c>
      <c r="AG85" s="10">
        <v>1232</v>
      </c>
      <c r="AH85" s="10">
        <v>1154</v>
      </c>
      <c r="AI85" s="10">
        <v>0</v>
      </c>
      <c r="AJ85" s="10">
        <v>138802</v>
      </c>
      <c r="AK85" s="10">
        <v>140454</v>
      </c>
      <c r="AL85" s="10">
        <v>11396</v>
      </c>
      <c r="AM85" s="10">
        <v>0</v>
      </c>
      <c r="AN85" s="10">
        <v>0</v>
      </c>
      <c r="AO85" s="10">
        <v>129052</v>
      </c>
      <c r="AP85" s="10">
        <v>0</v>
      </c>
      <c r="AQ85" s="10">
        <v>8718</v>
      </c>
      <c r="AR85" s="10">
        <v>0</v>
      </c>
      <c r="AS85" s="10">
        <v>0</v>
      </c>
      <c r="AT85" s="10">
        <v>0</v>
      </c>
      <c r="AU85" s="10">
        <v>682</v>
      </c>
      <c r="AV85" s="10">
        <v>275</v>
      </c>
      <c r="AW85" s="10">
        <v>7</v>
      </c>
      <c r="AX85" s="10">
        <v>-46</v>
      </c>
      <c r="AY85" s="10">
        <v>-68</v>
      </c>
      <c r="AZ85" s="10">
        <v>-111</v>
      </c>
      <c r="BA85" s="10">
        <v>0</v>
      </c>
      <c r="BB85" s="10">
        <f t="shared" si="6"/>
        <v>739</v>
      </c>
      <c r="BC85" s="6">
        <v>7</v>
      </c>
      <c r="BD85" s="10">
        <v>38</v>
      </c>
      <c r="BE85" s="10">
        <v>11</v>
      </c>
      <c r="BF85" s="10">
        <v>62</v>
      </c>
      <c r="BG85" s="10">
        <v>0</v>
      </c>
    </row>
    <row r="86" spans="1:59">
      <c r="A86" s="6">
        <v>9</v>
      </c>
      <c r="B86" s="6" t="s">
        <v>98</v>
      </c>
      <c r="C86" s="7" t="s">
        <v>369</v>
      </c>
      <c r="D86" s="6" t="s">
        <v>124</v>
      </c>
      <c r="E86" s="6" t="s">
        <v>453</v>
      </c>
      <c r="F86" s="7" t="s">
        <v>568</v>
      </c>
      <c r="G86" s="7" t="s">
        <v>454</v>
      </c>
      <c r="H86" s="10">
        <v>14520860</v>
      </c>
      <c r="I86" s="10">
        <v>14542670</v>
      </c>
      <c r="J86" s="10">
        <v>451601</v>
      </c>
      <c r="K86" s="10">
        <v>7044939</v>
      </c>
      <c r="L86" s="10">
        <v>1173052</v>
      </c>
      <c r="M86" s="10">
        <v>4287764</v>
      </c>
      <c r="N86" s="10">
        <v>747950</v>
      </c>
      <c r="O86" s="10">
        <v>2850</v>
      </c>
      <c r="P86" s="10">
        <v>41212</v>
      </c>
      <c r="Q86" s="10">
        <v>14041984</v>
      </c>
      <c r="R86" s="12">
        <v>4.3700000000000003E-2</v>
      </c>
      <c r="S86" s="10">
        <v>0</v>
      </c>
      <c r="T86" s="24">
        <f>740033/13993728</f>
        <v>5.2883191669868101E-2</v>
      </c>
      <c r="U86" s="10">
        <v>740023</v>
      </c>
      <c r="V86" s="10">
        <v>0</v>
      </c>
      <c r="W86" s="10">
        <f>21810+350</f>
        <v>22160</v>
      </c>
      <c r="X86" s="10">
        <v>310683</v>
      </c>
      <c r="Y86" s="10">
        <v>24708</v>
      </c>
      <c r="Z86" s="10">
        <v>65668</v>
      </c>
      <c r="AA86" s="10">
        <f>37831+6397</f>
        <v>44228</v>
      </c>
      <c r="AB86" s="10">
        <v>1882</v>
      </c>
      <c r="AC86" s="10">
        <v>18587</v>
      </c>
      <c r="AD86" s="10">
        <v>8619</v>
      </c>
      <c r="AE86" s="10">
        <f>12673+42013+25019</f>
        <v>79705</v>
      </c>
      <c r="AF86" s="10">
        <v>6614</v>
      </c>
      <c r="AG86" s="10">
        <v>15875</v>
      </c>
      <c r="AH86" s="10">
        <v>42808</v>
      </c>
      <c r="AI86" s="10">
        <v>0</v>
      </c>
      <c r="AJ86" s="10">
        <v>673778</v>
      </c>
      <c r="AK86" s="10">
        <v>672775</v>
      </c>
      <c r="AL86" s="10">
        <v>89362</v>
      </c>
      <c r="AM86" s="10">
        <v>0</v>
      </c>
      <c r="AN86" s="10">
        <v>0</v>
      </c>
      <c r="AO86" s="10">
        <v>129052</v>
      </c>
      <c r="AP86" s="10">
        <v>0</v>
      </c>
      <c r="AQ86" s="10">
        <v>93521</v>
      </c>
      <c r="AR86" s="10">
        <v>0</v>
      </c>
      <c r="AS86" s="10">
        <v>0</v>
      </c>
      <c r="AT86" s="10">
        <v>0</v>
      </c>
      <c r="AU86" s="10">
        <v>2848</v>
      </c>
      <c r="AV86" s="10">
        <v>1293</v>
      </c>
      <c r="AW86" s="10">
        <v>0</v>
      </c>
      <c r="AX86" s="10">
        <v>-181</v>
      </c>
      <c r="AY86" s="10">
        <v>-437</v>
      </c>
      <c r="AZ86" s="10">
        <v>-537</v>
      </c>
      <c r="BA86" s="10">
        <v>-9</v>
      </c>
      <c r="BB86" s="10">
        <f t="shared" si="6"/>
        <v>2977</v>
      </c>
      <c r="BC86" s="6">
        <v>10</v>
      </c>
      <c r="BD86" s="10">
        <v>431</v>
      </c>
      <c r="BE86" s="10">
        <v>54</v>
      </c>
      <c r="BF86" s="10">
        <v>52</v>
      </c>
      <c r="BG86" s="10">
        <v>0</v>
      </c>
    </row>
    <row r="87" spans="1:59">
      <c r="A87" s="6">
        <v>9</v>
      </c>
      <c r="B87" s="6" t="s">
        <v>123</v>
      </c>
      <c r="C87" s="6" t="s">
        <v>311</v>
      </c>
      <c r="D87" s="6" t="s">
        <v>312</v>
      </c>
      <c r="E87" s="6" t="s">
        <v>388</v>
      </c>
      <c r="F87" s="7" t="s">
        <v>640</v>
      </c>
      <c r="G87" s="7" t="s">
        <v>391</v>
      </c>
      <c r="H87" s="10">
        <v>8828890</v>
      </c>
      <c r="I87" s="10">
        <v>8889371</v>
      </c>
      <c r="J87" s="10">
        <v>473868</v>
      </c>
      <c r="K87" s="10">
        <v>4996686</v>
      </c>
      <c r="L87" s="10">
        <v>394556</v>
      </c>
      <c r="M87" s="10">
        <v>1855628</v>
      </c>
      <c r="N87" s="10">
        <v>541842</v>
      </c>
      <c r="O87" s="10">
        <v>0</v>
      </c>
      <c r="P87" s="10">
        <v>0</v>
      </c>
      <c r="Q87" s="10">
        <v>8241441</v>
      </c>
      <c r="R87" s="12">
        <v>0.15226000000000001</v>
      </c>
      <c r="S87" s="10">
        <v>0</v>
      </c>
      <c r="T87" s="24">
        <f>395113/8241441</f>
        <v>4.7942222725370479E-2</v>
      </c>
      <c r="U87" s="10">
        <v>394329</v>
      </c>
      <c r="V87" s="10">
        <v>0</v>
      </c>
      <c r="W87" s="10">
        <f>60481+1580</f>
        <v>62061</v>
      </c>
      <c r="X87" s="10">
        <v>164385</v>
      </c>
      <c r="Y87" s="10">
        <v>15428</v>
      </c>
      <c r="Z87" s="10">
        <v>19550</v>
      </c>
      <c r="AA87" s="10">
        <f>23864+3124</f>
        <v>26988</v>
      </c>
      <c r="AB87" s="10">
        <v>7565</v>
      </c>
      <c r="AC87" s="10">
        <v>17947</v>
      </c>
      <c r="AD87" s="10">
        <v>1391</v>
      </c>
      <c r="AE87" s="10">
        <f>6265+9104+5049</f>
        <v>20418</v>
      </c>
      <c r="AF87" s="10">
        <v>7055</v>
      </c>
      <c r="AG87" s="10">
        <v>335</v>
      </c>
      <c r="AH87" s="10">
        <v>26084</v>
      </c>
      <c r="AI87" s="10">
        <v>27392</v>
      </c>
      <c r="AJ87" s="10">
        <v>342714</v>
      </c>
      <c r="AK87" s="10">
        <v>342663</v>
      </c>
      <c r="AL87" s="10">
        <v>55127</v>
      </c>
      <c r="AM87" s="10">
        <v>0</v>
      </c>
      <c r="AN87" s="10">
        <v>0</v>
      </c>
      <c r="AO87" s="10">
        <v>129052</v>
      </c>
      <c r="AP87" s="10">
        <v>0</v>
      </c>
      <c r="AQ87" s="10">
        <v>39751</v>
      </c>
      <c r="AR87" s="10">
        <v>0</v>
      </c>
      <c r="AS87" s="10">
        <v>0</v>
      </c>
      <c r="AT87" s="10">
        <v>0</v>
      </c>
      <c r="AU87" s="10">
        <v>1305</v>
      </c>
      <c r="AV87" s="10">
        <v>734</v>
      </c>
      <c r="AW87" s="10">
        <f>9-3</f>
        <v>6</v>
      </c>
      <c r="AX87" s="10">
        <v>-99</v>
      </c>
      <c r="AY87" s="10">
        <v>-327</v>
      </c>
      <c r="AZ87" s="10">
        <v>-174</v>
      </c>
      <c r="BA87" s="10">
        <v>-4</v>
      </c>
      <c r="BB87" s="10">
        <f t="shared" si="6"/>
        <v>1441</v>
      </c>
      <c r="BC87" s="6">
        <v>8</v>
      </c>
      <c r="BD87" s="10">
        <v>110</v>
      </c>
      <c r="BE87" s="10">
        <v>15</v>
      </c>
      <c r="BF87" s="10">
        <v>49</v>
      </c>
      <c r="BG87" s="10">
        <v>0</v>
      </c>
    </row>
    <row r="88" spans="1:59">
      <c r="A88" s="6">
        <v>9</v>
      </c>
      <c r="B88" s="6" t="s">
        <v>177</v>
      </c>
      <c r="C88" s="7" t="s">
        <v>41</v>
      </c>
      <c r="D88" s="6" t="s">
        <v>604</v>
      </c>
      <c r="E88" s="6" t="s">
        <v>453</v>
      </c>
      <c r="F88" s="7" t="s">
        <v>441</v>
      </c>
      <c r="G88" s="7" t="s">
        <v>454</v>
      </c>
      <c r="H88" s="10">
        <v>4541847</v>
      </c>
      <c r="I88" s="10">
        <v>4548709</v>
      </c>
      <c r="J88" s="10">
        <v>165272</v>
      </c>
      <c r="K88" s="10">
        <v>1288202</v>
      </c>
      <c r="L88" s="10">
        <v>432422</v>
      </c>
      <c r="M88" s="10">
        <v>2019378</v>
      </c>
      <c r="N88" s="10">
        <v>108379</v>
      </c>
      <c r="O88" s="10">
        <v>0</v>
      </c>
      <c r="P88" s="10">
        <v>0</v>
      </c>
      <c r="Q88" s="10">
        <v>4276074</v>
      </c>
      <c r="R88" s="12">
        <v>0.13</v>
      </c>
      <c r="S88" s="10">
        <v>0</v>
      </c>
      <c r="T88" s="24">
        <f>427607/4276074</f>
        <v>9.9999906456249357E-2</v>
      </c>
      <c r="U88" s="10">
        <v>427693</v>
      </c>
      <c r="V88" s="10">
        <v>0</v>
      </c>
      <c r="W88" s="10">
        <f>6862+430</f>
        <v>7292</v>
      </c>
      <c r="X88" s="10">
        <v>127532</v>
      </c>
      <c r="Y88" s="10">
        <v>9914</v>
      </c>
      <c r="Z88" s="10">
        <v>29154</v>
      </c>
      <c r="AA88" s="10">
        <f>16980+1313</f>
        <v>18293</v>
      </c>
      <c r="AB88" s="10">
        <v>6835</v>
      </c>
      <c r="AC88" s="10">
        <v>35339</v>
      </c>
      <c r="AD88" s="10">
        <v>1321</v>
      </c>
      <c r="AE88" s="10">
        <f>5749+14754+4562</f>
        <v>25065</v>
      </c>
      <c r="AF88" s="10">
        <v>3910</v>
      </c>
      <c r="AG88" s="10">
        <v>778</v>
      </c>
      <c r="AH88" s="10">
        <v>10343</v>
      </c>
      <c r="AI88" s="10">
        <v>0</v>
      </c>
      <c r="AJ88" s="10">
        <v>295686</v>
      </c>
      <c r="AK88" s="10">
        <v>294770</v>
      </c>
      <c r="AL88" s="10">
        <v>24337</v>
      </c>
      <c r="AM88" s="10">
        <v>0</v>
      </c>
      <c r="AN88" s="10">
        <v>0</v>
      </c>
      <c r="AO88" s="10">
        <v>129052</v>
      </c>
      <c r="AP88" s="10">
        <v>0</v>
      </c>
      <c r="AQ88" s="10">
        <v>34584</v>
      </c>
      <c r="AR88" s="10">
        <v>0</v>
      </c>
      <c r="AS88" s="10">
        <v>0</v>
      </c>
      <c r="AT88" s="10">
        <v>0</v>
      </c>
      <c r="AU88" s="10">
        <v>775</v>
      </c>
      <c r="AV88" s="10">
        <v>414</v>
      </c>
      <c r="AW88" s="10">
        <v>8</v>
      </c>
      <c r="AX88" s="10">
        <v>-68</v>
      </c>
      <c r="AY88" s="10">
        <v>-146</v>
      </c>
      <c r="AZ88" s="10">
        <v>-164</v>
      </c>
      <c r="BA88" s="10">
        <v>-3</v>
      </c>
      <c r="BB88" s="10">
        <f t="shared" si="6"/>
        <v>816</v>
      </c>
      <c r="BC88" s="6">
        <v>3</v>
      </c>
      <c r="BD88" s="10">
        <v>165</v>
      </c>
      <c r="BE88" s="10">
        <v>0</v>
      </c>
      <c r="BF88" s="10">
        <v>2</v>
      </c>
      <c r="BG88" s="10">
        <v>0</v>
      </c>
    </row>
    <row r="89" spans="1:59">
      <c r="A89" s="6">
        <v>9</v>
      </c>
      <c r="B89" s="6" t="s">
        <v>238</v>
      </c>
      <c r="C89" s="7" t="s">
        <v>390</v>
      </c>
      <c r="D89" s="6" t="s">
        <v>661</v>
      </c>
      <c r="E89" s="6" t="s">
        <v>453</v>
      </c>
      <c r="F89" s="7" t="s">
        <v>441</v>
      </c>
      <c r="G89" s="7" t="s">
        <v>454</v>
      </c>
      <c r="H89" s="10">
        <v>5996295</v>
      </c>
      <c r="I89" s="10">
        <v>6020094</v>
      </c>
      <c r="J89" s="10">
        <v>315283</v>
      </c>
      <c r="K89" s="10">
        <v>2556992</v>
      </c>
      <c r="L89" s="10">
        <v>350976</v>
      </c>
      <c r="M89" s="10">
        <v>1618983</v>
      </c>
      <c r="N89" s="10">
        <v>465901</v>
      </c>
      <c r="O89" s="10">
        <v>0</v>
      </c>
      <c r="P89" s="10">
        <v>0</v>
      </c>
      <c r="Q89" s="10">
        <v>5520579</v>
      </c>
      <c r="R89" s="12">
        <v>8.1100000000000005E-2</v>
      </c>
      <c r="S89" s="10">
        <v>0</v>
      </c>
      <c r="T89" s="24">
        <f>462945/5504299</f>
        <v>8.4106077812996713E-2</v>
      </c>
      <c r="U89" s="10">
        <v>463109</v>
      </c>
      <c r="V89" s="10">
        <v>0</v>
      </c>
      <c r="W89" s="10">
        <f>20869+1680+1348</f>
        <v>23897</v>
      </c>
      <c r="X89" s="10">
        <v>139730</v>
      </c>
      <c r="Y89" s="10">
        <v>11112</v>
      </c>
      <c r="Z89" s="10">
        <v>20775</v>
      </c>
      <c r="AA89" s="10">
        <f>25843+3581</f>
        <v>29424</v>
      </c>
      <c r="AB89" s="10">
        <v>0</v>
      </c>
      <c r="AC89" s="10">
        <v>52851</v>
      </c>
      <c r="AD89" s="10">
        <v>1585</v>
      </c>
      <c r="AE89" s="10">
        <f>1380+12882+8557</f>
        <v>22819</v>
      </c>
      <c r="AF89" s="10">
        <v>5967</v>
      </c>
      <c r="AG89" s="10">
        <v>0</v>
      </c>
      <c r="AH89" s="10">
        <v>25286</v>
      </c>
      <c r="AI89" s="10">
        <v>232053</v>
      </c>
      <c r="AJ89" s="10">
        <v>367219</v>
      </c>
      <c r="AK89" s="10">
        <v>338838</v>
      </c>
      <c r="AL89" s="10">
        <v>49727</v>
      </c>
      <c r="AM89" s="10">
        <v>0</v>
      </c>
      <c r="AN89" s="10">
        <v>0</v>
      </c>
      <c r="AO89" s="10">
        <v>129052</v>
      </c>
      <c r="AP89" s="10">
        <v>0</v>
      </c>
      <c r="AQ89" s="10">
        <v>40462</v>
      </c>
      <c r="AR89" s="10">
        <v>0</v>
      </c>
      <c r="AS89" s="10">
        <v>0</v>
      </c>
      <c r="AT89" s="10">
        <v>0</v>
      </c>
      <c r="AU89" s="10">
        <v>1209</v>
      </c>
      <c r="AV89" s="10">
        <v>739</v>
      </c>
      <c r="AW89" s="10">
        <f>5-2</f>
        <v>3</v>
      </c>
      <c r="AX89" s="10">
        <v>-101</v>
      </c>
      <c r="AY89" s="10">
        <v>-189</v>
      </c>
      <c r="AZ89" s="10">
        <v>-188</v>
      </c>
      <c r="BA89" s="10">
        <v>-2</v>
      </c>
      <c r="BB89" s="10">
        <f t="shared" si="6"/>
        <v>1471</v>
      </c>
      <c r="BC89" s="6">
        <v>11</v>
      </c>
      <c r="BD89" s="10">
        <v>55</v>
      </c>
      <c r="BE89" s="10">
        <v>14</v>
      </c>
      <c r="BF89" s="10">
        <v>119</v>
      </c>
      <c r="BG89" s="10">
        <v>0</v>
      </c>
    </row>
    <row r="90" spans="1:59">
      <c r="A90" s="6">
        <v>9</v>
      </c>
      <c r="B90" s="6" t="s">
        <v>274</v>
      </c>
      <c r="C90" s="7" t="s">
        <v>306</v>
      </c>
      <c r="D90" s="6" t="s">
        <v>23</v>
      </c>
      <c r="E90" s="6" t="s">
        <v>453</v>
      </c>
      <c r="F90" s="7" t="s">
        <v>441</v>
      </c>
      <c r="G90" s="7" t="s">
        <v>454</v>
      </c>
      <c r="H90" s="10">
        <v>6489402</v>
      </c>
      <c r="I90" s="10">
        <v>6510584</v>
      </c>
      <c r="J90" s="10">
        <v>240785</v>
      </c>
      <c r="K90" s="10">
        <v>2699173</v>
      </c>
      <c r="L90" s="10">
        <v>452130</v>
      </c>
      <c r="M90" s="10">
        <v>2080557</v>
      </c>
      <c r="N90" s="10">
        <v>372631</v>
      </c>
      <c r="O90" s="10">
        <v>2135</v>
      </c>
      <c r="P90" s="10">
        <v>0</v>
      </c>
      <c r="Q90" s="10">
        <v>6147119</v>
      </c>
      <c r="R90" s="12">
        <v>5.0999999999999997E-2</v>
      </c>
      <c r="S90" s="10">
        <v>0</v>
      </c>
      <c r="T90" s="24">
        <f>474705/6083952</f>
        <v>7.8025763516871932E-2</v>
      </c>
      <c r="U90" s="10">
        <v>474632</v>
      </c>
      <c r="V90" s="10">
        <v>0</v>
      </c>
      <c r="W90" s="10">
        <f>21182+588</f>
        <v>21770</v>
      </c>
      <c r="X90" s="10">
        <v>170792</v>
      </c>
      <c r="Y90" s="10">
        <v>13973</v>
      </c>
      <c r="Z90" s="10">
        <v>38867</v>
      </c>
      <c r="AA90" s="10">
        <f>31546+3696</f>
        <v>35242</v>
      </c>
      <c r="AB90" s="10">
        <v>2739</v>
      </c>
      <c r="AC90" s="10">
        <v>9321</v>
      </c>
      <c r="AD90" s="10">
        <v>2745</v>
      </c>
      <c r="AE90" s="10">
        <f>5394+21288+10345</f>
        <v>37027</v>
      </c>
      <c r="AF90" s="10">
        <v>7156</v>
      </c>
      <c r="AG90" s="10">
        <v>2611</v>
      </c>
      <c r="AH90" s="10">
        <v>13030</v>
      </c>
      <c r="AI90" s="10">
        <v>2520</v>
      </c>
      <c r="AJ90" s="10">
        <v>369056</v>
      </c>
      <c r="AK90" s="10">
        <v>374499</v>
      </c>
      <c r="AL90" s="10">
        <v>57171</v>
      </c>
      <c r="AM90" s="10">
        <v>0</v>
      </c>
      <c r="AN90" s="10">
        <v>0</v>
      </c>
      <c r="AO90" s="10">
        <v>129052</v>
      </c>
      <c r="AP90" s="10">
        <v>0</v>
      </c>
      <c r="AQ90" s="10">
        <v>57680</v>
      </c>
      <c r="AR90" s="10">
        <v>0</v>
      </c>
      <c r="AS90" s="10">
        <v>0</v>
      </c>
      <c r="AT90" s="10">
        <v>0</v>
      </c>
      <c r="AU90" s="10">
        <v>1278</v>
      </c>
      <c r="AV90" s="10">
        <v>598</v>
      </c>
      <c r="AW90" s="10">
        <v>6</v>
      </c>
      <c r="AX90" s="10">
        <v>-105</v>
      </c>
      <c r="AY90" s="10">
        <v>-98</v>
      </c>
      <c r="AZ90" s="10">
        <v>-248</v>
      </c>
      <c r="BA90" s="10">
        <v>-4</v>
      </c>
      <c r="BB90" s="10">
        <f t="shared" si="6"/>
        <v>1427</v>
      </c>
      <c r="BC90" s="6">
        <v>0</v>
      </c>
      <c r="BD90" s="10">
        <v>105</v>
      </c>
      <c r="BE90" s="10">
        <v>27</v>
      </c>
      <c r="BF90" s="10">
        <v>120</v>
      </c>
      <c r="BG90" s="10">
        <v>0</v>
      </c>
    </row>
    <row r="91" spans="1:59">
      <c r="A91" s="6">
        <v>9</v>
      </c>
      <c r="B91" s="6" t="s">
        <v>309</v>
      </c>
      <c r="C91" s="7" t="s">
        <v>502</v>
      </c>
      <c r="D91" s="6" t="s">
        <v>248</v>
      </c>
      <c r="E91" s="6" t="s">
        <v>388</v>
      </c>
      <c r="F91" s="7" t="s">
        <v>640</v>
      </c>
      <c r="G91" s="7" t="s">
        <v>391</v>
      </c>
      <c r="H91" s="10">
        <v>12898260</v>
      </c>
      <c r="I91" s="10">
        <v>12956627</v>
      </c>
      <c r="J91" s="10">
        <v>296698</v>
      </c>
      <c r="K91" s="10">
        <v>7540701</v>
      </c>
      <c r="L91" s="10">
        <v>777681</v>
      </c>
      <c r="M91" s="10">
        <v>2040093</v>
      </c>
      <c r="N91" s="10">
        <v>1037612</v>
      </c>
      <c r="O91" s="10">
        <v>0</v>
      </c>
      <c r="P91" s="10">
        <v>9103</v>
      </c>
      <c r="Q91" s="10">
        <v>12220665</v>
      </c>
      <c r="R91" s="12">
        <v>0.17299999999999999</v>
      </c>
      <c r="S91" s="10">
        <v>0</v>
      </c>
      <c r="T91" s="24">
        <f>702713/12220664</f>
        <v>5.7502030986205002E-2</v>
      </c>
      <c r="U91" s="10">
        <v>703013</v>
      </c>
      <c r="V91" s="10">
        <v>0</v>
      </c>
      <c r="W91" s="10">
        <f>58367+1506</f>
        <v>59873</v>
      </c>
      <c r="X91" s="10">
        <v>281365</v>
      </c>
      <c r="Y91" s="10">
        <v>22750</v>
      </c>
      <c r="Z91" s="10">
        <v>57963</v>
      </c>
      <c r="AA91" s="10">
        <f>35803+5163</f>
        <v>40966</v>
      </c>
      <c r="AB91" s="10">
        <v>5775</v>
      </c>
      <c r="AC91" s="10">
        <v>17898</v>
      </c>
      <c r="AD91" s="10">
        <v>3032</v>
      </c>
      <c r="AE91" s="10">
        <f>7960+20699+28207</f>
        <v>56866</v>
      </c>
      <c r="AF91" s="10">
        <v>7294</v>
      </c>
      <c r="AG91" s="10">
        <v>1734</v>
      </c>
      <c r="AH91" s="10">
        <v>70761</v>
      </c>
      <c r="AI91" s="10">
        <v>4921</v>
      </c>
      <c r="AJ91" s="10">
        <v>653177</v>
      </c>
      <c r="AK91" s="10">
        <v>653642</v>
      </c>
      <c r="AL91" s="10">
        <v>76125</v>
      </c>
      <c r="AM91" s="10">
        <v>0</v>
      </c>
      <c r="AN91" s="10">
        <v>0</v>
      </c>
      <c r="AO91" s="10">
        <v>129052</v>
      </c>
      <c r="AP91" s="10">
        <v>0</v>
      </c>
      <c r="AQ91" s="10">
        <v>59173</v>
      </c>
      <c r="AR91" s="10">
        <v>0</v>
      </c>
      <c r="AS91" s="10">
        <v>0</v>
      </c>
      <c r="AT91" s="10">
        <v>0</v>
      </c>
      <c r="AU91" s="10">
        <v>2118</v>
      </c>
      <c r="AV91" s="10">
        <v>995</v>
      </c>
      <c r="AW91" s="10">
        <v>-1</v>
      </c>
      <c r="AX91" s="10">
        <v>-116</v>
      </c>
      <c r="AY91" s="10">
        <v>-311</v>
      </c>
      <c r="AZ91" s="10">
        <v>-201</v>
      </c>
      <c r="BA91" s="10">
        <v>-1</v>
      </c>
      <c r="BB91" s="10">
        <f t="shared" si="6"/>
        <v>2483</v>
      </c>
      <c r="BC91" s="6">
        <v>36</v>
      </c>
      <c r="BD91" s="10">
        <v>70</v>
      </c>
      <c r="BE91" s="10">
        <v>27</v>
      </c>
      <c r="BF91" s="10">
        <v>102</v>
      </c>
      <c r="BG91" s="10">
        <v>0</v>
      </c>
    </row>
    <row r="92" spans="1:59">
      <c r="A92" s="6">
        <v>9</v>
      </c>
      <c r="B92" s="6" t="s">
        <v>343</v>
      </c>
      <c r="C92" s="7" t="s">
        <v>243</v>
      </c>
      <c r="D92" s="6" t="s">
        <v>203</v>
      </c>
      <c r="E92" s="6" t="s">
        <v>453</v>
      </c>
      <c r="F92" s="7" t="s">
        <v>568</v>
      </c>
      <c r="G92" s="7" t="s">
        <v>454</v>
      </c>
      <c r="H92" s="10">
        <v>40273870</v>
      </c>
      <c r="I92" s="10">
        <v>40498372</v>
      </c>
      <c r="J92" s="10">
        <v>7953439</v>
      </c>
      <c r="K92" s="10">
        <v>20281808</v>
      </c>
      <c r="L92" s="10">
        <v>1556960</v>
      </c>
      <c r="M92" s="10">
        <v>6047897</v>
      </c>
      <c r="N92" s="10">
        <v>2037481</v>
      </c>
      <c r="O92" s="10">
        <v>4183</v>
      </c>
      <c r="P92" s="10">
        <v>160301</v>
      </c>
      <c r="Q92" s="10">
        <v>31622929</v>
      </c>
      <c r="R92" s="12">
        <v>0.17</v>
      </c>
      <c r="S92" s="10">
        <v>0</v>
      </c>
      <c r="T92" s="24">
        <f>1534497/31458445</f>
        <v>4.8778539435118298E-2</v>
      </c>
      <c r="U92" s="10">
        <v>1534299</v>
      </c>
      <c r="V92" s="10">
        <v>0</v>
      </c>
      <c r="W92" s="10">
        <f>224502+6398</f>
        <v>230900</v>
      </c>
      <c r="X92" s="10">
        <v>996117</v>
      </c>
      <c r="Y92" s="10">
        <v>77004</v>
      </c>
      <c r="Z92" s="10">
        <v>202804</v>
      </c>
      <c r="AA92" s="10">
        <f>60370+12265</f>
        <v>72635</v>
      </c>
      <c r="AB92" s="10">
        <v>1070</v>
      </c>
      <c r="AC92" s="10">
        <v>16829</v>
      </c>
      <c r="AD92" s="10">
        <v>17850</v>
      </c>
      <c r="AE92" s="10">
        <f>14876+121850+80371</f>
        <v>217097</v>
      </c>
      <c r="AF92" s="10">
        <v>16446</v>
      </c>
      <c r="AG92" s="10">
        <v>26203</v>
      </c>
      <c r="AH92" s="10">
        <v>17780</v>
      </c>
      <c r="AI92" s="10">
        <v>183787</v>
      </c>
      <c r="AJ92" s="10">
        <v>1786652</v>
      </c>
      <c r="AK92" s="10">
        <v>1803076</v>
      </c>
      <c r="AL92" s="10">
        <v>34473</v>
      </c>
      <c r="AM92" s="10">
        <v>0</v>
      </c>
      <c r="AN92" s="10">
        <v>0</v>
      </c>
      <c r="AO92" s="10">
        <v>129052</v>
      </c>
      <c r="AP92" s="10">
        <v>0</v>
      </c>
      <c r="AQ92" s="10">
        <v>56391</v>
      </c>
      <c r="AR92" s="10">
        <v>0</v>
      </c>
      <c r="AS92" s="10">
        <v>0</v>
      </c>
      <c r="AT92" s="10">
        <v>0</v>
      </c>
      <c r="AU92" s="10">
        <v>5957</v>
      </c>
      <c r="AV92" s="10">
        <v>2717</v>
      </c>
      <c r="AW92" s="10">
        <v>22</v>
      </c>
      <c r="AX92" s="10">
        <v>-212</v>
      </c>
      <c r="AY92" s="10">
        <v>-1022</v>
      </c>
      <c r="AZ92" s="10">
        <v>-977</v>
      </c>
      <c r="BA92" s="10">
        <v>0</v>
      </c>
      <c r="BB92" s="10">
        <f t="shared" si="6"/>
        <v>6485</v>
      </c>
      <c r="BC92" s="6">
        <v>25</v>
      </c>
      <c r="BD92" s="10">
        <v>436</v>
      </c>
      <c r="BE92" s="10">
        <v>27</v>
      </c>
      <c r="BF92" s="10">
        <v>500</v>
      </c>
      <c r="BG92" s="10">
        <v>14</v>
      </c>
    </row>
    <row r="93" spans="1:59">
      <c r="A93" s="6">
        <v>9</v>
      </c>
      <c r="B93" s="6" t="s">
        <v>379</v>
      </c>
      <c r="C93" s="7" t="s">
        <v>597</v>
      </c>
      <c r="D93" s="6" t="s">
        <v>537</v>
      </c>
      <c r="E93" s="6" t="s">
        <v>388</v>
      </c>
      <c r="F93" s="7" t="s">
        <v>192</v>
      </c>
      <c r="G93" s="7" t="s">
        <v>391</v>
      </c>
      <c r="H93" s="10">
        <v>4276217</v>
      </c>
      <c r="I93" s="10">
        <v>4297081</v>
      </c>
      <c r="J93" s="10">
        <v>238062</v>
      </c>
      <c r="K93" s="10">
        <v>2346857</v>
      </c>
      <c r="L93" s="10">
        <v>432447</v>
      </c>
      <c r="M93" s="10">
        <v>801604</v>
      </c>
      <c r="N93" s="10">
        <v>174143</v>
      </c>
      <c r="O93" s="10">
        <v>0</v>
      </c>
      <c r="P93" s="10">
        <v>0</v>
      </c>
      <c r="Q93" s="10">
        <v>4035342</v>
      </c>
      <c r="R93" s="12">
        <v>0.1081</v>
      </c>
      <c r="S93" s="10">
        <v>0</v>
      </c>
      <c r="T93" s="24">
        <f>270368/4035342</f>
        <v>6.7000021311700464E-2</v>
      </c>
      <c r="U93" s="10">
        <v>267520</v>
      </c>
      <c r="V93" s="10">
        <v>0</v>
      </c>
      <c r="W93" s="10">
        <f>20864+318</f>
        <v>21182</v>
      </c>
      <c r="X93" s="10">
        <v>54632</v>
      </c>
      <c r="Y93" s="10">
        <v>4381</v>
      </c>
      <c r="Z93" s="10">
        <v>7380</v>
      </c>
      <c r="AA93" s="10">
        <v>12397</v>
      </c>
      <c r="AB93" s="10">
        <v>5400</v>
      </c>
      <c r="AC93" s="10">
        <v>3724</v>
      </c>
      <c r="AD93" s="10">
        <v>0</v>
      </c>
      <c r="AE93" s="10">
        <f>3388+8598+7280</f>
        <v>19266</v>
      </c>
      <c r="AF93" s="10">
        <v>3469</v>
      </c>
      <c r="AG93" s="10">
        <v>0</v>
      </c>
      <c r="AH93" s="10">
        <v>13930</v>
      </c>
      <c r="AI93" s="10">
        <v>17634</v>
      </c>
      <c r="AJ93" s="10">
        <v>160261</v>
      </c>
      <c r="AK93" s="10">
        <v>156134</v>
      </c>
      <c r="AL93" s="10">
        <v>16746</v>
      </c>
      <c r="AM93" s="10">
        <v>0</v>
      </c>
      <c r="AN93" s="10">
        <v>0</v>
      </c>
      <c r="AO93" s="10">
        <v>129052</v>
      </c>
      <c r="AP93" s="10">
        <v>0</v>
      </c>
      <c r="AQ93" s="10">
        <v>16155</v>
      </c>
      <c r="AR93" s="10">
        <v>0</v>
      </c>
      <c r="AS93" s="10">
        <v>0</v>
      </c>
      <c r="AT93" s="10">
        <v>0</v>
      </c>
      <c r="AU93" s="10">
        <v>572</v>
      </c>
      <c r="AV93" s="10">
        <v>270</v>
      </c>
      <c r="AW93" s="10">
        <f>4+6-2</f>
        <v>8</v>
      </c>
      <c r="AX93" s="10">
        <v>-59</v>
      </c>
      <c r="AY93" s="10">
        <v>-100</v>
      </c>
      <c r="AZ93" s="10">
        <v>-92</v>
      </c>
      <c r="BA93" s="10">
        <v>0</v>
      </c>
      <c r="BB93" s="10">
        <f t="shared" si="6"/>
        <v>599</v>
      </c>
      <c r="BC93" s="6">
        <v>2</v>
      </c>
      <c r="BD93" s="10">
        <v>35</v>
      </c>
      <c r="BE93" s="10">
        <v>13</v>
      </c>
      <c r="BF93" s="10">
        <v>45</v>
      </c>
      <c r="BG93" s="10">
        <v>0</v>
      </c>
    </row>
    <row r="94" spans="1:59">
      <c r="A94" s="6">
        <v>9</v>
      </c>
      <c r="B94" s="6" t="s">
        <v>475</v>
      </c>
      <c r="C94" s="7" t="s">
        <v>230</v>
      </c>
      <c r="D94" s="6" t="s">
        <v>655</v>
      </c>
      <c r="E94" s="6" t="s">
        <v>453</v>
      </c>
      <c r="F94" s="7" t="s">
        <v>568</v>
      </c>
      <c r="G94" s="7" t="s">
        <v>454</v>
      </c>
      <c r="H94" s="10">
        <v>43434308</v>
      </c>
      <c r="I94" s="10">
        <v>43587305</v>
      </c>
      <c r="J94" s="10">
        <v>978828</v>
      </c>
      <c r="K94" s="10">
        <v>26535875</v>
      </c>
      <c r="L94" s="10">
        <v>2730660</v>
      </c>
      <c r="M94" s="10">
        <v>8194016</v>
      </c>
      <c r="N94" s="10">
        <v>1868008</v>
      </c>
      <c r="O94" s="10">
        <v>179131</v>
      </c>
      <c r="P94" s="10">
        <v>0</v>
      </c>
      <c r="Q94" s="10">
        <v>41493643</v>
      </c>
      <c r="R94" s="12">
        <v>7.4999999999999997E-2</v>
      </c>
      <c r="S94" s="10">
        <v>0</v>
      </c>
      <c r="T94" s="24">
        <f>1900468/41314512</f>
        <v>4.6000010843647382E-2</v>
      </c>
      <c r="U94" s="10">
        <v>1896701</v>
      </c>
      <c r="V94" s="10">
        <v>0</v>
      </c>
      <c r="W94" s="10">
        <f>152584+421+3336</f>
        <v>156341</v>
      </c>
      <c r="X94" s="10">
        <v>897069</v>
      </c>
      <c r="Y94" s="10">
        <v>65478</v>
      </c>
      <c r="Z94" s="10">
        <v>174293</v>
      </c>
      <c r="AA94" s="10">
        <v>215045</v>
      </c>
      <c r="AB94" s="10">
        <v>4906</v>
      </c>
      <c r="AC94" s="10">
        <v>24497</v>
      </c>
      <c r="AD94" s="10">
        <v>1600</v>
      </c>
      <c r="AE94" s="10">
        <f>42387+198222+95137</f>
        <v>335746</v>
      </c>
      <c r="AF94" s="10">
        <v>16705</v>
      </c>
      <c r="AG94" s="10">
        <v>62345</v>
      </c>
      <c r="AH94" s="10">
        <v>60658</v>
      </c>
      <c r="AI94" s="10">
        <v>0</v>
      </c>
      <c r="AJ94" s="10">
        <v>2071057</v>
      </c>
      <c r="AK94" s="10">
        <v>1929499</v>
      </c>
      <c r="AL94" s="10">
        <v>204453</v>
      </c>
      <c r="AM94" s="10">
        <v>0</v>
      </c>
      <c r="AN94" s="10">
        <v>0</v>
      </c>
      <c r="AO94" s="10">
        <v>129052</v>
      </c>
      <c r="AP94" s="10">
        <v>0</v>
      </c>
      <c r="AQ94" s="10">
        <v>247921</v>
      </c>
      <c r="AR94" s="10">
        <v>0</v>
      </c>
      <c r="AS94" s="10">
        <v>0</v>
      </c>
      <c r="AT94" s="10">
        <v>0</v>
      </c>
      <c r="AU94" s="10">
        <v>6340</v>
      </c>
      <c r="AV94" s="10">
        <v>2780</v>
      </c>
      <c r="AW94" s="10">
        <v>0</v>
      </c>
      <c r="AX94" s="10">
        <v>-329</v>
      </c>
      <c r="AY94" s="10">
        <v>-870</v>
      </c>
      <c r="AZ94" s="10">
        <v>-1056</v>
      </c>
      <c r="BA94" s="10">
        <v>-1</v>
      </c>
      <c r="BB94" s="10">
        <f t="shared" si="6"/>
        <v>6864</v>
      </c>
      <c r="BC94" s="6">
        <v>88</v>
      </c>
      <c r="BD94" s="10">
        <v>391</v>
      </c>
      <c r="BE94" s="10">
        <v>58</v>
      </c>
      <c r="BF94" s="10">
        <v>607</v>
      </c>
      <c r="BG94" s="10">
        <v>0</v>
      </c>
    </row>
    <row r="95" spans="1:59">
      <c r="A95" s="6">
        <v>9</v>
      </c>
      <c r="B95" s="6" t="s">
        <v>527</v>
      </c>
      <c r="C95" s="7" t="s">
        <v>88</v>
      </c>
      <c r="D95" s="6" t="s">
        <v>248</v>
      </c>
      <c r="E95" s="6" t="s">
        <v>388</v>
      </c>
      <c r="F95" s="7" t="s">
        <v>640</v>
      </c>
      <c r="G95" s="7" t="s">
        <v>391</v>
      </c>
      <c r="H95" s="10">
        <v>12732669</v>
      </c>
      <c r="I95" s="10">
        <v>12788912</v>
      </c>
      <c r="J95" s="10">
        <v>439338</v>
      </c>
      <c r="K95" s="10">
        <v>7440664</v>
      </c>
      <c r="L95" s="10">
        <v>679775</v>
      </c>
      <c r="M95" s="10">
        <v>2027482</v>
      </c>
      <c r="N95" s="10">
        <v>985199</v>
      </c>
      <c r="O95" s="10">
        <v>0</v>
      </c>
      <c r="P95" s="10">
        <v>9034</v>
      </c>
      <c r="Q95" s="10">
        <v>11936613</v>
      </c>
      <c r="R95" s="12">
        <v>0.16220000000000001</v>
      </c>
      <c r="S95" s="10">
        <v>0</v>
      </c>
      <c r="T95" s="24">
        <f>684850/11936613</f>
        <v>5.7373896598641505E-2</v>
      </c>
      <c r="U95" s="10">
        <v>685543</v>
      </c>
      <c r="V95" s="10">
        <v>0</v>
      </c>
      <c r="W95" s="10">
        <f>56243+2152</f>
        <v>58395</v>
      </c>
      <c r="X95" s="10">
        <v>280099</v>
      </c>
      <c r="Y95" s="10">
        <v>22750</v>
      </c>
      <c r="Z95" s="10">
        <v>57963</v>
      </c>
      <c r="AA95" s="10">
        <f>35803+5153</f>
        <v>40956</v>
      </c>
      <c r="AB95" s="10">
        <v>5775</v>
      </c>
      <c r="AC95" s="10">
        <v>17890</v>
      </c>
      <c r="AD95" s="10">
        <v>3038</v>
      </c>
      <c r="AE95" s="10">
        <f>7940+20614+28124</f>
        <v>56678</v>
      </c>
      <c r="AF95" s="10">
        <v>8489</v>
      </c>
      <c r="AG95" s="10">
        <v>1734</v>
      </c>
      <c r="AH95" s="10">
        <v>70761</v>
      </c>
      <c r="AI95" s="10">
        <v>6388</v>
      </c>
      <c r="AJ95" s="10">
        <v>651959</v>
      </c>
      <c r="AK95" s="10">
        <v>653642</v>
      </c>
      <c r="AL95" s="10">
        <v>74555</v>
      </c>
      <c r="AM95" s="10">
        <v>1868</v>
      </c>
      <c r="AN95" s="10">
        <v>0</v>
      </c>
      <c r="AO95" s="10">
        <v>129052</v>
      </c>
      <c r="AP95" s="10">
        <v>0</v>
      </c>
      <c r="AQ95" s="10">
        <v>41240</v>
      </c>
      <c r="AR95" s="10">
        <v>0</v>
      </c>
      <c r="AS95" s="10">
        <v>0</v>
      </c>
      <c r="AT95" s="10">
        <v>0</v>
      </c>
      <c r="AU95" s="10">
        <v>2124</v>
      </c>
      <c r="AV95" s="10">
        <v>1015</v>
      </c>
      <c r="AW95" s="10">
        <v>-1</v>
      </c>
      <c r="AX95" s="10">
        <v>-94</v>
      </c>
      <c r="AY95" s="10">
        <v>-354</v>
      </c>
      <c r="AZ95" s="10">
        <v>-216</v>
      </c>
      <c r="BA95" s="10">
        <v>-2</v>
      </c>
      <c r="BB95" s="10">
        <f t="shared" si="6"/>
        <v>2472</v>
      </c>
      <c r="BC95" s="6">
        <v>40</v>
      </c>
      <c r="BD95" s="10">
        <v>77</v>
      </c>
      <c r="BE95" s="10">
        <v>27</v>
      </c>
      <c r="BF95" s="10">
        <v>108</v>
      </c>
      <c r="BG95" s="10">
        <v>0</v>
      </c>
    </row>
    <row r="96" spans="1:59">
      <c r="A96" s="6">
        <v>9</v>
      </c>
      <c r="B96" s="6" t="s">
        <v>529</v>
      </c>
      <c r="C96" s="7" t="s">
        <v>603</v>
      </c>
      <c r="D96" s="6" t="s">
        <v>106</v>
      </c>
      <c r="E96" s="6" t="s">
        <v>453</v>
      </c>
      <c r="F96" s="7" t="s">
        <v>441</v>
      </c>
      <c r="G96" s="7" t="s">
        <v>454</v>
      </c>
      <c r="H96" s="10">
        <v>8168146</v>
      </c>
      <c r="I96" s="10">
        <v>8168146</v>
      </c>
      <c r="J96" s="10">
        <v>244535</v>
      </c>
      <c r="K96" s="10">
        <v>3915058</v>
      </c>
      <c r="L96" s="10">
        <v>534385</v>
      </c>
      <c r="M96" s="10">
        <v>2401198</v>
      </c>
      <c r="N96" s="10">
        <v>441634</v>
      </c>
      <c r="O96" s="10">
        <v>3494</v>
      </c>
      <c r="P96" s="10">
        <v>0</v>
      </c>
      <c r="Q96" s="10">
        <v>7860675</v>
      </c>
      <c r="R96" s="12">
        <v>0.1053</v>
      </c>
      <c r="S96" s="10">
        <v>0</v>
      </c>
      <c r="T96" s="24">
        <f>515332/7808064</f>
        <v>6.5999971311710565E-2</v>
      </c>
      <c r="U96" s="10">
        <v>515504</v>
      </c>
      <c r="V96" s="10">
        <v>0</v>
      </c>
      <c r="W96" s="10">
        <f>574+3557</f>
        <v>4131</v>
      </c>
      <c r="X96" s="10">
        <v>174417</v>
      </c>
      <c r="Y96" s="10">
        <v>13224</v>
      </c>
      <c r="Z96" s="10">
        <v>34552</v>
      </c>
      <c r="AA96" s="10">
        <v>63358</v>
      </c>
      <c r="AB96" s="10">
        <v>1845</v>
      </c>
      <c r="AC96" s="10">
        <v>10288</v>
      </c>
      <c r="AD96" s="10">
        <v>5750</v>
      </c>
      <c r="AE96" s="10">
        <f>7973+15276+10240</f>
        <v>33489</v>
      </c>
      <c r="AF96" s="10">
        <v>2650</v>
      </c>
      <c r="AG96" s="10">
        <v>5617</v>
      </c>
      <c r="AH96" s="10">
        <v>9770</v>
      </c>
      <c r="AI96" s="10">
        <v>0</v>
      </c>
      <c r="AJ96" s="10">
        <v>380315</v>
      </c>
      <c r="AK96" s="10">
        <v>388255</v>
      </c>
      <c r="AL96" s="10">
        <v>51704</v>
      </c>
      <c r="AM96" s="10">
        <v>0</v>
      </c>
      <c r="AN96" s="10">
        <v>0</v>
      </c>
      <c r="AO96" s="10">
        <v>129052</v>
      </c>
      <c r="AP96" s="10">
        <v>0</v>
      </c>
      <c r="AQ96" s="10">
        <v>65484</v>
      </c>
      <c r="AR96" s="10">
        <v>831</v>
      </c>
      <c r="AS96" s="10">
        <v>831</v>
      </c>
      <c r="AT96" s="10">
        <v>0</v>
      </c>
      <c r="AU96" s="10">
        <v>1604</v>
      </c>
      <c r="AV96" s="10">
        <v>665</v>
      </c>
      <c r="AW96" s="10">
        <v>0</v>
      </c>
      <c r="AX96" s="10">
        <v>-93</v>
      </c>
      <c r="AY96" s="10">
        <v>-190</v>
      </c>
      <c r="AZ96" s="10">
        <v>-296</v>
      </c>
      <c r="BA96" s="10">
        <v>-13</v>
      </c>
      <c r="BB96" s="10">
        <f t="shared" si="6"/>
        <v>1677</v>
      </c>
      <c r="BC96" s="6">
        <v>0</v>
      </c>
      <c r="BD96" s="10">
        <v>109</v>
      </c>
      <c r="BE96" s="10">
        <v>27</v>
      </c>
      <c r="BF96" s="10">
        <v>160</v>
      </c>
      <c r="BG96" s="10">
        <v>0</v>
      </c>
    </row>
    <row r="97" spans="1:59">
      <c r="A97" s="6">
        <v>9</v>
      </c>
      <c r="B97" s="6" t="s">
        <v>534</v>
      </c>
      <c r="C97" s="7" t="s">
        <v>157</v>
      </c>
      <c r="D97" s="6" t="s">
        <v>570</v>
      </c>
      <c r="E97" s="6" t="s">
        <v>388</v>
      </c>
      <c r="F97" s="7" t="s">
        <v>192</v>
      </c>
      <c r="G97" s="7" t="s">
        <v>391</v>
      </c>
      <c r="H97" s="10">
        <v>73995019</v>
      </c>
      <c r="I97" s="10">
        <v>74174305</v>
      </c>
      <c r="J97" s="10">
        <v>3147844</v>
      </c>
      <c r="K97" s="10">
        <v>47157452</v>
      </c>
      <c r="L97" s="10">
        <v>2091202</v>
      </c>
      <c r="M97" s="10">
        <v>12123786</v>
      </c>
      <c r="N97" s="10">
        <v>5165274</v>
      </c>
      <c r="O97" s="10">
        <v>0</v>
      </c>
      <c r="P97" s="10">
        <v>0</v>
      </c>
      <c r="Q97" s="10">
        <v>69398084</v>
      </c>
      <c r="R97" s="12">
        <v>0.1348</v>
      </c>
      <c r="S97" s="10">
        <v>0</v>
      </c>
      <c r="T97" s="24">
        <f>2757821/68945528</f>
        <v>3.9999998259495524E-2</v>
      </c>
      <c r="U97" s="10">
        <v>2757880</v>
      </c>
      <c r="V97" s="10">
        <v>0</v>
      </c>
      <c r="W97" s="10">
        <f>179286+9456</f>
        <v>188742</v>
      </c>
      <c r="X97" s="10">
        <v>1274370</v>
      </c>
      <c r="Y97" s="10">
        <v>107523</v>
      </c>
      <c r="Z97" s="10">
        <v>206059</v>
      </c>
      <c r="AA97" s="10">
        <f>163281+16023</f>
        <v>179304</v>
      </c>
      <c r="AB97" s="10">
        <v>4770</v>
      </c>
      <c r="AC97" s="10">
        <v>17628</v>
      </c>
      <c r="AD97" s="10">
        <v>29952</v>
      </c>
      <c r="AE97" s="10">
        <f>30199+85008+106854</f>
        <v>222061</v>
      </c>
      <c r="AF97" s="10">
        <v>25913</v>
      </c>
      <c r="AG97" s="10">
        <v>497</v>
      </c>
      <c r="AH97" s="10">
        <v>531988</v>
      </c>
      <c r="AI97" s="10">
        <v>19143</v>
      </c>
      <c r="AJ97" s="10">
        <v>3088526</v>
      </c>
      <c r="AK97" s="10">
        <v>3003107</v>
      </c>
      <c r="AL97" s="10">
        <v>362256</v>
      </c>
      <c r="AM97" s="10">
        <v>346.69</v>
      </c>
      <c r="AN97" s="10">
        <v>0</v>
      </c>
      <c r="AO97" s="10">
        <v>129052</v>
      </c>
      <c r="AP97" s="10">
        <v>0</v>
      </c>
      <c r="AQ97" s="10">
        <v>196342</v>
      </c>
      <c r="AR97" s="10">
        <v>0</v>
      </c>
      <c r="AS97" s="10">
        <v>0</v>
      </c>
      <c r="AT97" s="10">
        <v>0</v>
      </c>
      <c r="AU97" s="10">
        <v>9560</v>
      </c>
      <c r="AV97" s="10">
        <v>6474</v>
      </c>
      <c r="AW97" s="10">
        <v>16</v>
      </c>
      <c r="AX97" s="10">
        <v>-609</v>
      </c>
      <c r="AY97" s="10">
        <v>-2861</v>
      </c>
      <c r="AZ97" s="10">
        <v>-942</v>
      </c>
      <c r="BA97" s="10">
        <v>-26</v>
      </c>
      <c r="BB97" s="10">
        <f t="shared" si="6"/>
        <v>11612</v>
      </c>
      <c r="BC97" s="6">
        <v>66</v>
      </c>
      <c r="BD97" s="10">
        <v>523</v>
      </c>
      <c r="BE97" s="10">
        <v>162</v>
      </c>
      <c r="BF97" s="10">
        <v>257</v>
      </c>
      <c r="BG97" s="10">
        <v>0</v>
      </c>
    </row>
    <row r="98" spans="1:59">
      <c r="A98" s="6">
        <v>9</v>
      </c>
      <c r="B98" s="6" t="s">
        <v>632</v>
      </c>
      <c r="C98" s="7" t="s">
        <v>416</v>
      </c>
      <c r="D98" s="6" t="s">
        <v>128</v>
      </c>
      <c r="E98" s="6" t="s">
        <v>453</v>
      </c>
      <c r="F98" s="7" t="s">
        <v>441</v>
      </c>
      <c r="G98" s="7" t="s">
        <v>454</v>
      </c>
      <c r="H98" s="10">
        <v>21806199</v>
      </c>
      <c r="I98" s="10">
        <v>22000656</v>
      </c>
      <c r="J98" s="10">
        <v>1758112</v>
      </c>
      <c r="K98" s="10">
        <v>10966208</v>
      </c>
      <c r="L98" s="10">
        <v>1970414</v>
      </c>
      <c r="M98" s="10">
        <v>4796606</v>
      </c>
      <c r="N98" s="10">
        <v>813756</v>
      </c>
      <c r="O98" s="10">
        <v>23360</v>
      </c>
      <c r="P98" s="10">
        <v>0</v>
      </c>
      <c r="Q98" s="10">
        <v>19973022</v>
      </c>
      <c r="R98" s="12">
        <v>0.105</v>
      </c>
      <c r="S98" s="10">
        <v>0</v>
      </c>
      <c r="T98" s="24">
        <f>1350726/19834800</f>
        <v>6.8098796055417757E-2</v>
      </c>
      <c r="U98" s="10">
        <v>1349387</v>
      </c>
      <c r="V98" s="10">
        <v>0</v>
      </c>
      <c r="W98" s="10">
        <f>186756+178+1405</f>
        <v>188339</v>
      </c>
      <c r="X98" s="10">
        <v>570595</v>
      </c>
      <c r="Y98" s="10">
        <v>46315</v>
      </c>
      <c r="Z98" s="10">
        <v>130123</v>
      </c>
      <c r="AA98" s="10">
        <f>76110+12535</f>
        <v>88645</v>
      </c>
      <c r="AB98" s="10">
        <v>8077</v>
      </c>
      <c r="AC98" s="10">
        <v>100756</v>
      </c>
      <c r="AD98" s="10">
        <v>22240</v>
      </c>
      <c r="AE98" s="10">
        <f>9408+66721+30400</f>
        <v>106529</v>
      </c>
      <c r="AF98" s="10">
        <v>7338</v>
      </c>
      <c r="AG98" s="10">
        <v>46203</v>
      </c>
      <c r="AH98" s="10">
        <v>9577</v>
      </c>
      <c r="AI98" s="10">
        <v>0</v>
      </c>
      <c r="AJ98" s="10">
        <v>1343692</v>
      </c>
      <c r="AK98" s="10">
        <v>1323475</v>
      </c>
      <c r="AL98" s="10">
        <v>133650</v>
      </c>
      <c r="AM98" s="10">
        <v>0</v>
      </c>
      <c r="AN98" s="10">
        <v>0</v>
      </c>
      <c r="AO98" s="10">
        <v>129052</v>
      </c>
      <c r="AP98" s="10">
        <v>0</v>
      </c>
      <c r="AQ98" s="10">
        <v>214635</v>
      </c>
      <c r="AR98" s="10">
        <v>0</v>
      </c>
      <c r="AS98" s="10">
        <v>0</v>
      </c>
      <c r="AT98" s="10">
        <v>0</v>
      </c>
      <c r="AU98" s="10">
        <v>4319</v>
      </c>
      <c r="AV98" s="10">
        <v>2464</v>
      </c>
      <c r="AW98" s="10">
        <v>-1</v>
      </c>
      <c r="AX98" s="10">
        <v>-208</v>
      </c>
      <c r="AY98" s="10">
        <v>-1272</v>
      </c>
      <c r="AZ98" s="10">
        <v>-654</v>
      </c>
      <c r="BA98" s="10">
        <v>0</v>
      </c>
      <c r="BB98" s="10">
        <f t="shared" si="6"/>
        <v>4648</v>
      </c>
      <c r="BC98" s="6">
        <v>13</v>
      </c>
      <c r="BD98" s="10">
        <v>69</v>
      </c>
      <c r="BE98" s="10">
        <v>74</v>
      </c>
      <c r="BF98" s="10">
        <v>406</v>
      </c>
      <c r="BG98" s="10">
        <v>105</v>
      </c>
    </row>
    <row r="99" spans="1:59">
      <c r="A99" s="6">
        <v>10</v>
      </c>
      <c r="B99" s="6" t="s">
        <v>21</v>
      </c>
      <c r="C99" s="7" t="s">
        <v>186</v>
      </c>
      <c r="D99" s="6" t="s">
        <v>227</v>
      </c>
      <c r="E99" s="6" t="s">
        <v>289</v>
      </c>
      <c r="F99" s="7" t="s">
        <v>441</v>
      </c>
      <c r="G99" s="7" t="s">
        <v>291</v>
      </c>
      <c r="H99" s="10">
        <v>3343083</v>
      </c>
      <c r="I99" s="10">
        <v>3364926</v>
      </c>
      <c r="J99" s="10">
        <v>100393</v>
      </c>
      <c r="K99" s="10">
        <v>1536453</v>
      </c>
      <c r="L99" s="10">
        <v>158493</v>
      </c>
      <c r="M99" s="10">
        <v>760208</v>
      </c>
      <c r="N99" s="10">
        <v>392695</v>
      </c>
      <c r="O99" s="10">
        <v>7701</v>
      </c>
      <c r="P99" s="10">
        <v>0</v>
      </c>
      <c r="Q99" s="10">
        <v>3134655</v>
      </c>
      <c r="R99" s="12">
        <v>0.17</v>
      </c>
      <c r="S99" s="10">
        <v>0</v>
      </c>
      <c r="T99" s="24">
        <f>282273/3126518</f>
        <v>9.0283503885152744E-2</v>
      </c>
      <c r="U99" s="10">
        <v>278669</v>
      </c>
      <c r="V99" s="10">
        <v>0</v>
      </c>
      <c r="W99" s="10">
        <f>21843+541</f>
        <v>22384</v>
      </c>
      <c r="X99" s="10">
        <v>84121</v>
      </c>
      <c r="Y99" s="10">
        <v>4034</v>
      </c>
      <c r="Z99" s="10">
        <v>12235</v>
      </c>
      <c r="AA99" s="10">
        <v>11370</v>
      </c>
      <c r="AB99" s="10">
        <v>7800</v>
      </c>
      <c r="AC99" s="10">
        <v>5191</v>
      </c>
      <c r="AD99" s="10">
        <v>3050</v>
      </c>
      <c r="AE99" s="10">
        <f>4569+6234+4614</f>
        <v>15417</v>
      </c>
      <c r="AF99" s="10">
        <v>5315</v>
      </c>
      <c r="AG99" s="10">
        <v>227</v>
      </c>
      <c r="AH99" s="10">
        <v>9386</v>
      </c>
      <c r="AI99" s="10">
        <v>43675</v>
      </c>
      <c r="AJ99" s="10">
        <v>175442</v>
      </c>
      <c r="AK99" s="10">
        <v>179314</v>
      </c>
      <c r="AL99" s="10">
        <v>23895</v>
      </c>
      <c r="AM99" s="10">
        <v>0</v>
      </c>
      <c r="AN99" s="10">
        <v>0</v>
      </c>
      <c r="AO99" s="10">
        <v>129052</v>
      </c>
      <c r="AP99" s="10">
        <v>0</v>
      </c>
      <c r="AQ99" s="10">
        <v>28757</v>
      </c>
      <c r="AR99" s="10">
        <v>0</v>
      </c>
      <c r="AS99" s="10">
        <v>0</v>
      </c>
      <c r="AT99" s="10">
        <v>0</v>
      </c>
      <c r="AU99" s="10">
        <v>597</v>
      </c>
      <c r="AV99" s="10">
        <v>298</v>
      </c>
      <c r="AW99" s="10">
        <v>12</v>
      </c>
      <c r="AX99" s="10">
        <v>-59</v>
      </c>
      <c r="AY99" s="10">
        <v>-130</v>
      </c>
      <c r="AZ99" s="10">
        <v>-104</v>
      </c>
      <c r="BA99" s="10">
        <v>-1</v>
      </c>
      <c r="BB99" s="10">
        <f t="shared" si="6"/>
        <v>613</v>
      </c>
      <c r="BC99" s="6">
        <v>2</v>
      </c>
      <c r="BD99" s="10">
        <v>47</v>
      </c>
      <c r="BE99" s="10">
        <v>12</v>
      </c>
      <c r="BF99" s="10">
        <v>34</v>
      </c>
      <c r="BG99" s="10">
        <v>7</v>
      </c>
    </row>
    <row r="100" spans="1:59">
      <c r="A100" s="6">
        <v>10</v>
      </c>
      <c r="B100" s="6" t="s">
        <v>75</v>
      </c>
      <c r="C100" s="7" t="s">
        <v>311</v>
      </c>
      <c r="D100" s="6" t="s">
        <v>557</v>
      </c>
      <c r="E100" s="6" t="s">
        <v>289</v>
      </c>
      <c r="F100" s="7" t="s">
        <v>568</v>
      </c>
      <c r="G100" s="7" t="s">
        <v>291</v>
      </c>
      <c r="H100" s="10">
        <v>7422313</v>
      </c>
      <c r="I100" s="10">
        <v>7434476</v>
      </c>
      <c r="J100" s="10">
        <v>78596</v>
      </c>
      <c r="K100" s="10">
        <v>3097778</v>
      </c>
      <c r="L100" s="10">
        <v>201901</v>
      </c>
      <c r="M100" s="10">
        <v>1065682</v>
      </c>
      <c r="N100" s="10">
        <v>931447</v>
      </c>
      <c r="O100" s="10">
        <v>0</v>
      </c>
      <c r="P100" s="10">
        <v>20562</v>
      </c>
      <c r="Q100" s="10">
        <v>5975862</v>
      </c>
      <c r="R100" s="12">
        <v>0.13</v>
      </c>
      <c r="S100" s="10">
        <v>0</v>
      </c>
      <c r="T100" s="24">
        <f>559537/5955300</f>
        <v>9.3956139908988628E-2</v>
      </c>
      <c r="U100" s="10">
        <v>559230</v>
      </c>
      <c r="V100" s="10">
        <v>0</v>
      </c>
      <c r="W100" s="10">
        <f>10251+718</f>
        <v>10969</v>
      </c>
      <c r="X100" s="10">
        <v>192837</v>
      </c>
      <c r="Y100" s="10">
        <v>15631</v>
      </c>
      <c r="Z100" s="10">
        <v>28521</v>
      </c>
      <c r="AA100" s="10">
        <v>15600</v>
      </c>
      <c r="AB100" s="10">
        <v>0</v>
      </c>
      <c r="AC100" s="10">
        <v>33614</v>
      </c>
      <c r="AD100" s="10">
        <v>30750</v>
      </c>
      <c r="AE100" s="10">
        <f>11004+39407+18811</f>
        <v>69222</v>
      </c>
      <c r="AF100" s="10">
        <v>4189</v>
      </c>
      <c r="AG100" s="10">
        <v>5539</v>
      </c>
      <c r="AH100" s="10">
        <v>23623</v>
      </c>
      <c r="AI100" s="10">
        <v>90167</v>
      </c>
      <c r="AJ100" s="10">
        <v>457382</v>
      </c>
      <c r="AK100" s="10">
        <v>449095</v>
      </c>
      <c r="AL100" s="10">
        <v>3563</v>
      </c>
      <c r="AM100" s="10">
        <v>0</v>
      </c>
      <c r="AN100" s="10">
        <v>0</v>
      </c>
      <c r="AO100" s="10">
        <v>129182</v>
      </c>
      <c r="AP100" s="10">
        <v>130</v>
      </c>
      <c r="AQ100" s="10">
        <v>20327</v>
      </c>
      <c r="AR100" s="10">
        <v>0</v>
      </c>
      <c r="AS100" s="10">
        <v>0</v>
      </c>
      <c r="AT100" s="10">
        <v>0</v>
      </c>
      <c r="AU100" s="10">
        <v>1746</v>
      </c>
      <c r="AV100" s="10">
        <v>978</v>
      </c>
      <c r="AW100" s="10">
        <f>16-3</f>
        <v>13</v>
      </c>
      <c r="AX100" s="10">
        <v>-106</v>
      </c>
      <c r="AY100" s="10">
        <v>-289</v>
      </c>
      <c r="AZ100" s="10">
        <v>-107</v>
      </c>
      <c r="BA100" s="10">
        <v>0</v>
      </c>
      <c r="BB100" s="10">
        <f t="shared" si="6"/>
        <v>2235</v>
      </c>
      <c r="BC100" s="6">
        <v>35</v>
      </c>
      <c r="BD100" s="10">
        <v>35</v>
      </c>
      <c r="BE100" s="10">
        <v>14</v>
      </c>
      <c r="BF100" s="10">
        <v>48</v>
      </c>
      <c r="BG100" s="10">
        <v>10</v>
      </c>
    </row>
    <row r="101" spans="1:59">
      <c r="A101" s="6">
        <v>10</v>
      </c>
      <c r="B101" s="6" t="s">
        <v>83</v>
      </c>
      <c r="C101" s="7" t="s">
        <v>517</v>
      </c>
      <c r="D101" s="6" t="s">
        <v>525</v>
      </c>
      <c r="E101" s="6" t="s">
        <v>287</v>
      </c>
      <c r="F101" s="7" t="s">
        <v>112</v>
      </c>
      <c r="G101" s="7" t="s">
        <v>288</v>
      </c>
      <c r="H101" s="10">
        <v>3175467</v>
      </c>
      <c r="I101" s="10">
        <v>3185512</v>
      </c>
      <c r="J101" s="10">
        <v>65424</v>
      </c>
      <c r="K101" s="10">
        <v>1712964</v>
      </c>
      <c r="L101" s="10">
        <v>238680</v>
      </c>
      <c r="M101" s="10">
        <v>619639</v>
      </c>
      <c r="N101" s="10">
        <v>240819</v>
      </c>
      <c r="O101" s="10">
        <v>0</v>
      </c>
      <c r="P101" s="10">
        <v>0</v>
      </c>
      <c r="Q101" s="10">
        <v>3059113</v>
      </c>
      <c r="R101" s="12">
        <v>0.12</v>
      </c>
      <c r="S101" s="10">
        <v>0</v>
      </c>
      <c r="T101" s="24">
        <f>245795/3056159</f>
        <v>8.0426116573123319E-2</v>
      </c>
      <c r="U101" s="10">
        <v>245698</v>
      </c>
      <c r="V101" s="10">
        <v>0</v>
      </c>
      <c r="W101" s="10">
        <f>10045+499</f>
        <v>10544</v>
      </c>
      <c r="X101" s="10">
        <v>64657</v>
      </c>
      <c r="Y101" s="10">
        <v>5154</v>
      </c>
      <c r="Z101" s="10">
        <v>4236</v>
      </c>
      <c r="AA101" s="10">
        <f>7104+804</f>
        <v>7908</v>
      </c>
      <c r="AB101" s="10">
        <v>0</v>
      </c>
      <c r="AC101" s="10">
        <v>0</v>
      </c>
      <c r="AD101" s="10">
        <v>3240</v>
      </c>
      <c r="AE101" s="10">
        <f>2960+4800+4358</f>
        <v>12118</v>
      </c>
      <c r="AF101" s="10">
        <v>3810</v>
      </c>
      <c r="AG101" s="10">
        <v>541</v>
      </c>
      <c r="AH101" s="10">
        <v>9525</v>
      </c>
      <c r="AI101" s="10">
        <v>40464</v>
      </c>
      <c r="AJ101" s="10">
        <v>124320</v>
      </c>
      <c r="AK101" s="10">
        <v>124684</v>
      </c>
      <c r="AL101" s="10">
        <v>12171</v>
      </c>
      <c r="AM101" s="10">
        <v>0</v>
      </c>
      <c r="AN101" s="10">
        <v>0</v>
      </c>
      <c r="AO101" s="10">
        <v>129052</v>
      </c>
      <c r="AP101" s="10">
        <v>0</v>
      </c>
      <c r="AQ101" s="10">
        <v>15042</v>
      </c>
      <c r="AR101" s="10">
        <v>0</v>
      </c>
      <c r="AS101" s="10">
        <v>0</v>
      </c>
      <c r="AT101" s="10">
        <v>0</v>
      </c>
      <c r="AU101" s="10">
        <v>635</v>
      </c>
      <c r="AV101" s="10">
        <v>312</v>
      </c>
      <c r="AW101" s="10">
        <f>1-1-1</f>
        <v>-1</v>
      </c>
      <c r="AX101" s="10">
        <v>-52</v>
      </c>
      <c r="AY101" s="10">
        <v>-69</v>
      </c>
      <c r="AZ101" s="10">
        <v>-100</v>
      </c>
      <c r="BA101" s="10">
        <v>0</v>
      </c>
      <c r="BB101" s="10">
        <f t="shared" si="6"/>
        <v>725</v>
      </c>
      <c r="BC101" s="6">
        <v>0</v>
      </c>
      <c r="BD101" s="10">
        <v>46</v>
      </c>
      <c r="BE101" s="10">
        <v>3</v>
      </c>
      <c r="BF101" s="10">
        <v>26</v>
      </c>
      <c r="BG101" s="10">
        <v>25</v>
      </c>
    </row>
    <row r="102" spans="1:59">
      <c r="A102" s="6">
        <v>10</v>
      </c>
      <c r="B102" s="6" t="s">
        <v>91</v>
      </c>
      <c r="C102" s="7" t="s">
        <v>522</v>
      </c>
      <c r="D102" s="6" t="s">
        <v>292</v>
      </c>
      <c r="E102" s="6" t="s">
        <v>289</v>
      </c>
      <c r="F102" s="7" t="s">
        <v>568</v>
      </c>
      <c r="G102" s="7" t="s">
        <v>291</v>
      </c>
      <c r="H102" s="10">
        <v>19605902</v>
      </c>
      <c r="I102" s="10">
        <v>19677826</v>
      </c>
      <c r="J102" s="10">
        <v>878801</v>
      </c>
      <c r="K102" s="10">
        <v>8367460</v>
      </c>
      <c r="L102" s="10">
        <v>2229986</v>
      </c>
      <c r="M102" s="10">
        <v>6237855</v>
      </c>
      <c r="N102" s="10">
        <v>1819388</v>
      </c>
      <c r="O102" s="10">
        <v>0</v>
      </c>
      <c r="P102" s="10">
        <v>93867</v>
      </c>
      <c r="Q102" s="10">
        <v>19671893</v>
      </c>
      <c r="R102" s="12">
        <v>0.14099999999999999</v>
      </c>
      <c r="S102" s="10">
        <v>140712</v>
      </c>
      <c r="T102" s="24">
        <f>923272/19437314</f>
        <v>4.7499978649313379E-2</v>
      </c>
      <c r="U102" s="10">
        <v>923304</v>
      </c>
      <c r="V102" s="10">
        <v>0</v>
      </c>
      <c r="W102" s="10">
        <f>68755+5918+2489</f>
        <v>77162</v>
      </c>
      <c r="X102" s="10">
        <v>454023</v>
      </c>
      <c r="Y102" s="10">
        <v>37285</v>
      </c>
      <c r="Z102" s="10">
        <v>68871</v>
      </c>
      <c r="AA102" s="10">
        <v>81472</v>
      </c>
      <c r="AB102" s="10">
        <v>21320</v>
      </c>
      <c r="AC102" s="10">
        <v>37807</v>
      </c>
      <c r="AD102" s="10">
        <v>4500</v>
      </c>
      <c r="AE102" s="10">
        <f>7840+18994+24484</f>
        <v>51318</v>
      </c>
      <c r="AF102" s="10">
        <v>3845</v>
      </c>
      <c r="AG102" s="10">
        <v>13759</v>
      </c>
      <c r="AH102" s="10">
        <v>10619</v>
      </c>
      <c r="AI102" s="10">
        <v>99738</v>
      </c>
      <c r="AJ102" s="10">
        <v>908654</v>
      </c>
      <c r="AK102" s="10">
        <v>856903</v>
      </c>
      <c r="AL102" s="10">
        <v>81285</v>
      </c>
      <c r="AM102" s="10">
        <v>0</v>
      </c>
      <c r="AN102" s="10">
        <v>0</v>
      </c>
      <c r="AO102" s="10">
        <v>129052</v>
      </c>
      <c r="AP102" s="10">
        <v>0</v>
      </c>
      <c r="AQ102" s="10">
        <v>137912</v>
      </c>
      <c r="AR102" s="10">
        <v>0</v>
      </c>
      <c r="AS102" s="10">
        <v>0</v>
      </c>
      <c r="AT102" s="10">
        <v>0</v>
      </c>
      <c r="AU102" s="10">
        <v>4655</v>
      </c>
      <c r="AV102" s="10">
        <v>2573</v>
      </c>
      <c r="AW102" s="10">
        <v>48</v>
      </c>
      <c r="AX102" s="10">
        <v>-374</v>
      </c>
      <c r="AY102" s="10">
        <v>-667</v>
      </c>
      <c r="AZ102" s="10">
        <v>-662</v>
      </c>
      <c r="BA102" s="10">
        <v>-51</v>
      </c>
      <c r="BB102" s="10">
        <f t="shared" si="6"/>
        <v>5522</v>
      </c>
      <c r="BC102" s="6">
        <v>0</v>
      </c>
      <c r="BD102" s="10">
        <v>225</v>
      </c>
      <c r="BE102" s="10">
        <v>84</v>
      </c>
      <c r="BF102" s="10">
        <v>352</v>
      </c>
      <c r="BG102" s="10">
        <v>1</v>
      </c>
    </row>
    <row r="103" spans="1:59">
      <c r="A103" s="6">
        <v>10</v>
      </c>
      <c r="B103" s="6" t="s">
        <v>113</v>
      </c>
      <c r="C103" s="7" t="s">
        <v>470</v>
      </c>
      <c r="D103" s="6" t="s">
        <v>385</v>
      </c>
      <c r="E103" s="6" t="s">
        <v>289</v>
      </c>
      <c r="F103" s="7" t="s">
        <v>441</v>
      </c>
      <c r="G103" s="7" t="s">
        <v>291</v>
      </c>
      <c r="H103" s="10">
        <v>11219113</v>
      </c>
      <c r="I103" s="10">
        <v>11285565</v>
      </c>
      <c r="J103" s="10">
        <v>676690</v>
      </c>
      <c r="K103" s="10">
        <v>6857689</v>
      </c>
      <c r="L103" s="10">
        <v>769571</v>
      </c>
      <c r="M103" s="10">
        <v>1869545</v>
      </c>
      <c r="N103" s="10">
        <v>519668</v>
      </c>
      <c r="O103" s="10">
        <v>25929</v>
      </c>
      <c r="P103" s="10">
        <v>0</v>
      </c>
      <c r="Q103" s="10">
        <v>10630765</v>
      </c>
      <c r="R103" s="12">
        <v>0.159</v>
      </c>
      <c r="S103" s="10">
        <v>2424995</v>
      </c>
      <c r="T103" s="24">
        <f>581303/8179841</f>
        <v>7.1065317773291684E-2</v>
      </c>
      <c r="U103" s="10">
        <v>585318</v>
      </c>
      <c r="V103" s="10">
        <v>0</v>
      </c>
      <c r="W103" s="10">
        <f>61975+4846+843</f>
        <v>67664</v>
      </c>
      <c r="X103" s="10">
        <v>236715</v>
      </c>
      <c r="Y103" s="10">
        <v>18668</v>
      </c>
      <c r="Z103" s="10">
        <v>20507</v>
      </c>
      <c r="AA103" s="10">
        <f>48400+5721</f>
        <v>54121</v>
      </c>
      <c r="AB103" s="10">
        <v>1150</v>
      </c>
      <c r="AC103" s="10">
        <v>32141</v>
      </c>
      <c r="AD103" s="10">
        <v>6126</v>
      </c>
      <c r="AE103" s="10">
        <f>9341+19619+32114</f>
        <v>61074</v>
      </c>
      <c r="AF103" s="10">
        <v>7444</v>
      </c>
      <c r="AG103" s="10">
        <v>734</v>
      </c>
      <c r="AH103" s="10">
        <v>10605</v>
      </c>
      <c r="AI103" s="10">
        <v>31060</v>
      </c>
      <c r="AJ103" s="10">
        <v>535100</v>
      </c>
      <c r="AK103" s="10">
        <v>543472</v>
      </c>
      <c r="AL103" s="10">
        <v>46067</v>
      </c>
      <c r="AM103" s="10">
        <v>0</v>
      </c>
      <c r="AN103" s="10">
        <v>0</v>
      </c>
      <c r="AO103" s="10">
        <v>129052</v>
      </c>
      <c r="AP103" s="10">
        <v>0</v>
      </c>
      <c r="AQ103" s="10">
        <v>68171</v>
      </c>
      <c r="AR103" s="10">
        <v>0</v>
      </c>
      <c r="AS103" s="10">
        <v>0</v>
      </c>
      <c r="AT103" s="10">
        <v>0</v>
      </c>
      <c r="AU103" s="10">
        <v>1806</v>
      </c>
      <c r="AV103" s="10">
        <v>1006</v>
      </c>
      <c r="AW103" s="10">
        <v>45</v>
      </c>
      <c r="AX103" s="10">
        <v>-97</v>
      </c>
      <c r="AY103" s="10">
        <v>-507</v>
      </c>
      <c r="AZ103" s="10">
        <v>-354</v>
      </c>
      <c r="BA103" s="10">
        <v>-5</v>
      </c>
      <c r="BB103" s="10">
        <f t="shared" si="6"/>
        <v>1894</v>
      </c>
      <c r="BC103" s="6">
        <v>13</v>
      </c>
      <c r="BD103" s="10">
        <v>104</v>
      </c>
      <c r="BE103" s="10">
        <v>25</v>
      </c>
      <c r="BF103" s="10">
        <v>115</v>
      </c>
      <c r="BG103" s="10">
        <v>60</v>
      </c>
    </row>
    <row r="104" spans="1:59">
      <c r="A104" s="6">
        <v>10</v>
      </c>
      <c r="B104" s="6" t="s">
        <v>127</v>
      </c>
      <c r="C104" s="7" t="s">
        <v>390</v>
      </c>
      <c r="D104" s="6" t="s">
        <v>478</v>
      </c>
      <c r="E104" s="6" t="s">
        <v>287</v>
      </c>
      <c r="F104" s="7" t="s">
        <v>112</v>
      </c>
      <c r="G104" s="7" t="s">
        <v>288</v>
      </c>
      <c r="H104" s="10">
        <v>4940238</v>
      </c>
      <c r="I104" s="10">
        <v>4951539</v>
      </c>
      <c r="J104" s="10">
        <v>69707</v>
      </c>
      <c r="K104" s="10">
        <v>2062854</v>
      </c>
      <c r="L104" s="10">
        <v>404113</v>
      </c>
      <c r="M104" s="10">
        <v>1543027</v>
      </c>
      <c r="N104" s="10">
        <v>569477</v>
      </c>
      <c r="O104" s="10">
        <v>0</v>
      </c>
      <c r="P104" s="10">
        <v>0</v>
      </c>
      <c r="Q104" s="10">
        <v>4935218</v>
      </c>
      <c r="R104" s="12">
        <v>2.5000000000000001E-2</v>
      </c>
      <c r="S104" s="10">
        <v>0</v>
      </c>
      <c r="T104" s="24">
        <f>350962/4935218</f>
        <v>7.111377856054181E-2</v>
      </c>
      <c r="U104" s="10">
        <v>350218</v>
      </c>
      <c r="V104" s="10">
        <v>0</v>
      </c>
      <c r="W104" s="10">
        <f>11301+976</f>
        <v>12277</v>
      </c>
      <c r="X104" s="10">
        <v>81449</v>
      </c>
      <c r="Y104" s="10">
        <v>6563</v>
      </c>
      <c r="Z104" s="10">
        <v>17279</v>
      </c>
      <c r="AA104" s="10">
        <f>23773+2140</f>
        <v>25913</v>
      </c>
      <c r="AB104" s="10">
        <v>0</v>
      </c>
      <c r="AC104" s="10">
        <v>64845</v>
      </c>
      <c r="AD104" s="10">
        <v>3000</v>
      </c>
      <c r="AE104" s="10">
        <f>4134+10608+4317</f>
        <v>19059</v>
      </c>
      <c r="AF104" s="10">
        <v>2088</v>
      </c>
      <c r="AG104" s="10">
        <v>0</v>
      </c>
      <c r="AH104" s="10">
        <v>1952</v>
      </c>
      <c r="AI104" s="10">
        <v>0</v>
      </c>
      <c r="AJ104" s="10">
        <v>236354</v>
      </c>
      <c r="AK104" s="10">
        <v>231824</v>
      </c>
      <c r="AL104" s="10">
        <v>28445</v>
      </c>
      <c r="AM104" s="10">
        <v>0</v>
      </c>
      <c r="AN104" s="10">
        <v>0</v>
      </c>
      <c r="AO104" s="10">
        <v>129052</v>
      </c>
      <c r="AP104" s="10">
        <v>0</v>
      </c>
      <c r="AQ104" s="10">
        <v>29272</v>
      </c>
      <c r="AR104" s="10">
        <v>0</v>
      </c>
      <c r="AS104" s="10">
        <v>0</v>
      </c>
      <c r="AT104" s="10">
        <v>0</v>
      </c>
      <c r="AU104" s="10">
        <v>1432</v>
      </c>
      <c r="AV104" s="10">
        <v>854</v>
      </c>
      <c r="AW104" s="10">
        <v>24</v>
      </c>
      <c r="AX104" s="10">
        <v>-107</v>
      </c>
      <c r="AY104" s="10">
        <v>-121</v>
      </c>
      <c r="AZ104" s="10">
        <v>-223</v>
      </c>
      <c r="BA104" s="10">
        <v>0</v>
      </c>
      <c r="BB104" s="10">
        <f t="shared" si="6"/>
        <v>1859</v>
      </c>
      <c r="BC104" s="6">
        <v>0</v>
      </c>
      <c r="BD104" s="10">
        <v>47</v>
      </c>
      <c r="BE104" s="10">
        <v>14</v>
      </c>
      <c r="BF104" s="10">
        <v>133</v>
      </c>
      <c r="BG104" s="10">
        <v>29</v>
      </c>
    </row>
    <row r="105" spans="1:59">
      <c r="A105" s="6">
        <v>10</v>
      </c>
      <c r="B105" s="6" t="s">
        <v>164</v>
      </c>
      <c r="C105" s="7" t="s">
        <v>186</v>
      </c>
      <c r="D105" s="6" t="s">
        <v>594</v>
      </c>
      <c r="E105" s="6" t="s">
        <v>289</v>
      </c>
      <c r="F105" s="7" t="s">
        <v>568</v>
      </c>
      <c r="G105" s="7" t="s">
        <v>291</v>
      </c>
      <c r="H105" s="10">
        <v>4164654</v>
      </c>
      <c r="I105" s="10">
        <v>4167459</v>
      </c>
      <c r="J105" s="10">
        <v>37614</v>
      </c>
      <c r="K105" s="10">
        <v>2444344</v>
      </c>
      <c r="L105" s="10">
        <v>163055</v>
      </c>
      <c r="M105" s="10">
        <v>664304</v>
      </c>
      <c r="N105" s="10">
        <v>487598</v>
      </c>
      <c r="O105" s="10">
        <v>0</v>
      </c>
      <c r="P105" s="10">
        <v>11635</v>
      </c>
      <c r="Q105" s="10">
        <v>4111837</v>
      </c>
      <c r="R105" s="12">
        <v>0.09</v>
      </c>
      <c r="S105" s="10">
        <v>294112</v>
      </c>
      <c r="T105" s="24">
        <f>340279/3806090</f>
        <v>8.9403823871742394E-2</v>
      </c>
      <c r="U105" s="10">
        <v>340648</v>
      </c>
      <c r="V105" s="10">
        <v>0</v>
      </c>
      <c r="W105" s="10">
        <f>2288+232</f>
        <v>2520</v>
      </c>
      <c r="X105" s="10">
        <v>86064</v>
      </c>
      <c r="Y105" s="10">
        <v>8275</v>
      </c>
      <c r="Z105" s="10">
        <v>7613</v>
      </c>
      <c r="AA105" s="10">
        <f>29000+2540</f>
        <v>31540</v>
      </c>
      <c r="AB105" s="10">
        <v>4780</v>
      </c>
      <c r="AC105" s="10">
        <v>9858</v>
      </c>
      <c r="AD105" s="10">
        <v>3300</v>
      </c>
      <c r="AE105" s="10">
        <f>5299+15774+9440</f>
        <v>30513</v>
      </c>
      <c r="AF105" s="10">
        <v>2828</v>
      </c>
      <c r="AG105" s="10">
        <v>1217</v>
      </c>
      <c r="AH105" s="10">
        <v>16080</v>
      </c>
      <c r="AI105" s="10">
        <v>9000</v>
      </c>
      <c r="AJ105" s="10">
        <v>225444</v>
      </c>
      <c r="AK105" s="10">
        <v>225376</v>
      </c>
      <c r="AL105" s="10">
        <v>19903</v>
      </c>
      <c r="AM105" s="10">
        <v>69</v>
      </c>
      <c r="AN105" s="10">
        <v>0</v>
      </c>
      <c r="AO105" s="10">
        <v>129052</v>
      </c>
      <c r="AP105" s="10">
        <v>0</v>
      </c>
      <c r="AQ105" s="10">
        <v>21624</v>
      </c>
      <c r="AR105" s="10">
        <v>0</v>
      </c>
      <c r="AS105" s="10">
        <v>0</v>
      </c>
      <c r="AT105" s="10">
        <v>0</v>
      </c>
      <c r="AU105" s="10">
        <v>947</v>
      </c>
      <c r="AV105" s="10">
        <v>415</v>
      </c>
      <c r="AW105" s="10">
        <f>8-2</f>
        <v>6</v>
      </c>
      <c r="AX105" s="10">
        <v>-81</v>
      </c>
      <c r="AY105" s="10">
        <v>-77</v>
      </c>
      <c r="AZ105" s="10">
        <v>-87</v>
      </c>
      <c r="BA105" s="10">
        <v>-3</v>
      </c>
      <c r="BB105" s="10">
        <f t="shared" si="6"/>
        <v>1120</v>
      </c>
      <c r="BC105" s="6">
        <v>3</v>
      </c>
      <c r="BD105" s="10">
        <v>18</v>
      </c>
      <c r="BE105" s="10">
        <v>13</v>
      </c>
      <c r="BF105" s="10">
        <v>51</v>
      </c>
      <c r="BG105" s="10">
        <v>5</v>
      </c>
    </row>
    <row r="106" spans="1:59">
      <c r="A106" s="6">
        <v>10</v>
      </c>
      <c r="B106" s="6" t="s">
        <v>241</v>
      </c>
      <c r="C106" s="7" t="s">
        <v>303</v>
      </c>
      <c r="D106" s="6" t="s">
        <v>468</v>
      </c>
      <c r="E106" s="6" t="s">
        <v>287</v>
      </c>
      <c r="F106" s="7" t="s">
        <v>112</v>
      </c>
      <c r="G106" s="7" t="s">
        <v>288</v>
      </c>
      <c r="H106" s="10">
        <v>1470066</v>
      </c>
      <c r="I106" s="10">
        <v>1474199</v>
      </c>
      <c r="J106" s="10">
        <v>15014</v>
      </c>
      <c r="K106" s="10">
        <v>483145</v>
      </c>
      <c r="L106" s="10">
        <v>109787</v>
      </c>
      <c r="M106" s="10">
        <v>650002</v>
      </c>
      <c r="N106" s="10">
        <v>61955</v>
      </c>
      <c r="O106" s="10">
        <v>0</v>
      </c>
      <c r="P106" s="10">
        <v>0</v>
      </c>
      <c r="Q106" s="10">
        <v>1450439</v>
      </c>
      <c r="R106" s="12">
        <v>3.5799999999999998E-2</v>
      </c>
      <c r="S106" s="10">
        <v>0</v>
      </c>
      <c r="T106" s="24">
        <f>145044/1450439</f>
        <v>0.10000006894464365</v>
      </c>
      <c r="U106" s="10">
        <v>144237</v>
      </c>
      <c r="V106" s="10">
        <v>0</v>
      </c>
      <c r="W106" s="10">
        <f>3790+303</f>
        <v>4093</v>
      </c>
      <c r="X106" s="10">
        <v>31448</v>
      </c>
      <c r="Y106" s="10">
        <v>2956</v>
      </c>
      <c r="Z106" s="10">
        <v>927</v>
      </c>
      <c r="AA106" s="10">
        <f>8500+3355</f>
        <v>11855</v>
      </c>
      <c r="AB106" s="10">
        <v>0</v>
      </c>
      <c r="AC106" s="10">
        <v>2125</v>
      </c>
      <c r="AD106" s="10">
        <v>0</v>
      </c>
      <c r="AE106" s="10">
        <f>1915+4875+2546</f>
        <v>9336</v>
      </c>
      <c r="AF106" s="10">
        <v>459</v>
      </c>
      <c r="AG106" s="10">
        <v>0</v>
      </c>
      <c r="AH106" s="10">
        <v>1712</v>
      </c>
      <c r="AI106" s="10">
        <v>30492</v>
      </c>
      <c r="AJ106" s="10">
        <v>67411</v>
      </c>
      <c r="AK106" s="10">
        <v>68439</v>
      </c>
      <c r="AL106" s="10">
        <v>2209</v>
      </c>
      <c r="AM106" s="10">
        <v>118</v>
      </c>
      <c r="AN106" s="10">
        <v>0</v>
      </c>
      <c r="AO106" s="10">
        <v>71750</v>
      </c>
      <c r="AP106" s="10">
        <v>0</v>
      </c>
      <c r="AQ106" s="10">
        <v>11383</v>
      </c>
      <c r="AR106" s="10">
        <v>0</v>
      </c>
      <c r="AS106" s="10">
        <v>0</v>
      </c>
      <c r="AT106" s="10">
        <v>0</v>
      </c>
      <c r="AU106" s="10">
        <v>424</v>
      </c>
      <c r="AV106" s="10">
        <v>234</v>
      </c>
      <c r="AW106" s="10">
        <v>21</v>
      </c>
      <c r="AX106" s="10">
        <v>-38</v>
      </c>
      <c r="AY106" s="10">
        <v>-64</v>
      </c>
      <c r="AZ106" s="10">
        <v>-74</v>
      </c>
      <c r="BA106" s="10">
        <v>-1</v>
      </c>
      <c r="BB106" s="10">
        <f t="shared" si="6"/>
        <v>502</v>
      </c>
      <c r="BC106" s="6">
        <v>1</v>
      </c>
      <c r="BD106" s="10">
        <v>16</v>
      </c>
      <c r="BE106" s="10">
        <v>4</v>
      </c>
      <c r="BF106" s="10">
        <v>54</v>
      </c>
      <c r="BG106" s="10">
        <v>0</v>
      </c>
    </row>
    <row r="107" spans="1:59">
      <c r="A107" s="6">
        <v>10</v>
      </c>
      <c r="B107" s="6" t="s">
        <v>246</v>
      </c>
      <c r="C107" s="7" t="s">
        <v>308</v>
      </c>
      <c r="D107" s="6" t="s">
        <v>480</v>
      </c>
      <c r="E107" s="6" t="s">
        <v>287</v>
      </c>
      <c r="F107" s="7" t="s">
        <v>112</v>
      </c>
      <c r="G107" s="7" t="s">
        <v>288</v>
      </c>
      <c r="H107" s="10">
        <v>2817011</v>
      </c>
      <c r="I107" s="10">
        <v>2822204</v>
      </c>
      <c r="J107" s="10">
        <v>130185</v>
      </c>
      <c r="K107" s="10">
        <v>699452</v>
      </c>
      <c r="L107" s="10">
        <v>518739</v>
      </c>
      <c r="M107" s="10">
        <v>1092481</v>
      </c>
      <c r="N107" s="10">
        <v>67395</v>
      </c>
      <c r="O107" s="10">
        <v>0</v>
      </c>
      <c r="P107" s="10">
        <v>0</v>
      </c>
      <c r="Q107" s="10">
        <v>2628881</v>
      </c>
      <c r="R107" s="12">
        <v>7.1900000000000006E-2</v>
      </c>
      <c r="S107" s="10">
        <v>0</v>
      </c>
      <c r="T107" s="24">
        <f>249403/2626130</f>
        <v>9.496978443565246E-2</v>
      </c>
      <c r="U107" s="10">
        <v>249403</v>
      </c>
      <c r="V107" s="10">
        <v>0</v>
      </c>
      <c r="W107" s="10">
        <f>5193+448</f>
        <v>5641</v>
      </c>
      <c r="X107" s="10">
        <v>49117</v>
      </c>
      <c r="Y107" s="10">
        <v>4119</v>
      </c>
      <c r="Z107" s="10">
        <v>6785</v>
      </c>
      <c r="AA107" s="10">
        <f>6600+2434</f>
        <v>9034</v>
      </c>
      <c r="AB107" s="10">
        <v>0</v>
      </c>
      <c r="AC107" s="10">
        <v>14907</v>
      </c>
      <c r="AD107" s="10">
        <v>4406</v>
      </c>
      <c r="AE107" s="10">
        <f>2146+5423+2659</f>
        <v>10228</v>
      </c>
      <c r="AF107" s="10">
        <v>3413</v>
      </c>
      <c r="AG107" s="10">
        <v>0</v>
      </c>
      <c r="AH107" s="10">
        <v>2629</v>
      </c>
      <c r="AI107" s="10">
        <v>39038</v>
      </c>
      <c r="AJ107" s="10">
        <v>120956</v>
      </c>
      <c r="AK107" s="10">
        <v>125239</v>
      </c>
      <c r="AL107" s="10">
        <v>11881</v>
      </c>
      <c r="AM107" s="10">
        <v>0</v>
      </c>
      <c r="AN107" s="10">
        <v>0</v>
      </c>
      <c r="AO107" s="10">
        <v>129052</v>
      </c>
      <c r="AP107" s="10">
        <v>0</v>
      </c>
      <c r="AQ107" s="10">
        <v>16918</v>
      </c>
      <c r="AR107" s="10">
        <v>0</v>
      </c>
      <c r="AS107" s="10">
        <v>0</v>
      </c>
      <c r="AT107" s="10">
        <v>0</v>
      </c>
      <c r="AU107" s="10">
        <v>408</v>
      </c>
      <c r="AV107" s="10">
        <v>236</v>
      </c>
      <c r="AW107" s="10">
        <v>18</v>
      </c>
      <c r="AX107" s="10">
        <v>-45</v>
      </c>
      <c r="AY107" s="10">
        <v>-56</v>
      </c>
      <c r="AZ107" s="10">
        <v>-64</v>
      </c>
      <c r="BA107" s="10">
        <v>0</v>
      </c>
      <c r="BB107" s="10">
        <f t="shared" si="6"/>
        <v>497</v>
      </c>
      <c r="BC107" s="6">
        <v>0</v>
      </c>
      <c r="BD107" s="10">
        <v>34</v>
      </c>
      <c r="BE107" s="10">
        <v>15</v>
      </c>
      <c r="BF107" s="10">
        <v>15</v>
      </c>
      <c r="BG107" s="10">
        <v>0</v>
      </c>
    </row>
    <row r="108" spans="1:59">
      <c r="A108" s="6">
        <v>10</v>
      </c>
      <c r="B108" s="6" t="s">
        <v>317</v>
      </c>
      <c r="C108" s="7" t="s">
        <v>522</v>
      </c>
      <c r="D108" s="6" t="s">
        <v>72</v>
      </c>
      <c r="E108" s="6" t="s">
        <v>287</v>
      </c>
      <c r="F108" s="7" t="s">
        <v>568</v>
      </c>
      <c r="G108" s="7" t="s">
        <v>288</v>
      </c>
      <c r="H108" s="10">
        <v>3925644</v>
      </c>
      <c r="I108" s="10">
        <v>3934461</v>
      </c>
      <c r="J108" s="10">
        <v>30768</v>
      </c>
      <c r="K108" s="10">
        <v>2487553</v>
      </c>
      <c r="L108" s="10">
        <v>228608</v>
      </c>
      <c r="M108" s="10">
        <v>567718</v>
      </c>
      <c r="N108" s="10">
        <v>351072</v>
      </c>
      <c r="O108" s="10">
        <v>29213</v>
      </c>
      <c r="P108" s="10">
        <v>0</v>
      </c>
      <c r="Q108" s="10">
        <v>3879268</v>
      </c>
      <c r="R108" s="12">
        <v>4.5999999999999999E-2</v>
      </c>
      <c r="S108" s="10">
        <v>588002</v>
      </c>
      <c r="T108" s="24">
        <f>214608/3262053</f>
        <v>6.5789243767651842E-2</v>
      </c>
      <c r="U108" s="10">
        <v>214728</v>
      </c>
      <c r="V108" s="10">
        <v>0</v>
      </c>
      <c r="W108" s="10">
        <f>8817+892</f>
        <v>9709</v>
      </c>
      <c r="X108" s="10">
        <v>60762</v>
      </c>
      <c r="Y108" s="10">
        <v>4605</v>
      </c>
      <c r="Z108" s="10">
        <v>3570</v>
      </c>
      <c r="AA108" s="10">
        <v>5394</v>
      </c>
      <c r="AB108" s="10">
        <v>1250</v>
      </c>
      <c r="AC108" s="10">
        <v>6512</v>
      </c>
      <c r="AD108" s="10">
        <v>2922</v>
      </c>
      <c r="AE108" s="10">
        <f>2704+11278+5604</f>
        <v>19586</v>
      </c>
      <c r="AF108" s="10">
        <v>4553</v>
      </c>
      <c r="AG108" s="10">
        <v>1915</v>
      </c>
      <c r="AH108" s="10">
        <v>7452</v>
      </c>
      <c r="AI108" s="10">
        <v>113215</v>
      </c>
      <c r="AJ108" s="10">
        <v>127969</v>
      </c>
      <c r="AK108" s="10">
        <v>132052</v>
      </c>
      <c r="AL108" s="10">
        <v>28647</v>
      </c>
      <c r="AM108" s="10">
        <v>0</v>
      </c>
      <c r="AN108" s="10">
        <v>0</v>
      </c>
      <c r="AO108" s="10">
        <v>129052</v>
      </c>
      <c r="AP108" s="10">
        <v>0</v>
      </c>
      <c r="AQ108" s="10">
        <v>17173</v>
      </c>
      <c r="AR108" s="10">
        <v>0</v>
      </c>
      <c r="AS108" s="10">
        <v>0</v>
      </c>
      <c r="AT108" s="10">
        <v>0</v>
      </c>
      <c r="AU108" s="10">
        <v>646</v>
      </c>
      <c r="AV108" s="10">
        <v>417</v>
      </c>
      <c r="AW108" s="10">
        <f>1+10-1</f>
        <v>10</v>
      </c>
      <c r="AX108" s="10">
        <v>-86</v>
      </c>
      <c r="AY108" s="10">
        <v>-107</v>
      </c>
      <c r="AZ108" s="10">
        <v>-82</v>
      </c>
      <c r="BA108" s="10">
        <v>-1</v>
      </c>
      <c r="BB108" s="10">
        <f t="shared" ref="BB108:BB139" si="7">SUM(AU108:BA108)</f>
        <v>797</v>
      </c>
      <c r="BC108" s="6">
        <v>0</v>
      </c>
      <c r="BD108" s="10">
        <v>21</v>
      </c>
      <c r="BE108" s="10">
        <v>8</v>
      </c>
      <c r="BF108" s="10">
        <v>53</v>
      </c>
      <c r="BG108" s="10">
        <v>0</v>
      </c>
    </row>
    <row r="109" spans="1:59">
      <c r="A109" s="6">
        <v>10</v>
      </c>
      <c r="B109" s="6" t="s">
        <v>380</v>
      </c>
      <c r="C109" s="7" t="s">
        <v>303</v>
      </c>
      <c r="D109" s="6" t="s">
        <v>70</v>
      </c>
      <c r="E109" s="6" t="s">
        <v>287</v>
      </c>
      <c r="F109" s="7" t="s">
        <v>568</v>
      </c>
      <c r="G109" s="7" t="s">
        <v>288</v>
      </c>
      <c r="H109" s="10">
        <v>15998622</v>
      </c>
      <c r="I109" s="10">
        <v>16050224</v>
      </c>
      <c r="J109" s="10">
        <v>347546</v>
      </c>
      <c r="K109" s="10">
        <v>10262084</v>
      </c>
      <c r="L109" s="10">
        <v>620279</v>
      </c>
      <c r="M109" s="10">
        <v>2178697</v>
      </c>
      <c r="N109" s="10">
        <v>1278704</v>
      </c>
      <c r="O109" s="10">
        <v>70609</v>
      </c>
      <c r="P109" s="10">
        <v>53036</v>
      </c>
      <c r="Q109" s="10">
        <v>15537487</v>
      </c>
      <c r="R109" s="12">
        <v>2.5100000000000001E-2</v>
      </c>
      <c r="S109" s="10">
        <v>4121599</v>
      </c>
      <c r="T109" s="24">
        <f>698968/11342503</f>
        <v>6.1623787976957112E-2</v>
      </c>
      <c r="U109" s="10">
        <v>631957</v>
      </c>
      <c r="V109" s="10">
        <v>0</v>
      </c>
      <c r="W109" s="10">
        <f>47835+1186+1775</f>
        <v>50796</v>
      </c>
      <c r="X109" s="10">
        <v>384984</v>
      </c>
      <c r="Y109" s="10">
        <v>32854</v>
      </c>
      <c r="Z109" s="10">
        <v>61255</v>
      </c>
      <c r="AA109" s="10">
        <f>38299+3440</f>
        <v>41739</v>
      </c>
      <c r="AB109" s="10">
        <v>10808</v>
      </c>
      <c r="AC109" s="10">
        <v>16884</v>
      </c>
      <c r="AD109" s="10">
        <v>4700</v>
      </c>
      <c r="AE109" s="10">
        <f>9566+29754+21158</f>
        <v>60478</v>
      </c>
      <c r="AF109" s="10">
        <v>7610</v>
      </c>
      <c r="AG109" s="10">
        <v>25360</v>
      </c>
      <c r="AH109" s="10">
        <v>25613</v>
      </c>
      <c r="AI109" s="10">
        <v>38299</v>
      </c>
      <c r="AJ109" s="10">
        <v>732804</v>
      </c>
      <c r="AK109" s="10">
        <v>734962</v>
      </c>
      <c r="AL109" s="10">
        <v>101738</v>
      </c>
      <c r="AM109" s="10">
        <v>15</v>
      </c>
      <c r="AN109" s="10">
        <v>0</v>
      </c>
      <c r="AO109" s="10">
        <v>129052</v>
      </c>
      <c r="AP109" s="10">
        <v>0</v>
      </c>
      <c r="AQ109" s="10">
        <v>107034</v>
      </c>
      <c r="AR109" s="10">
        <v>0</v>
      </c>
      <c r="AS109" s="10">
        <v>0</v>
      </c>
      <c r="AT109" s="10">
        <v>0</v>
      </c>
      <c r="AU109" s="10">
        <v>2436</v>
      </c>
      <c r="AV109" s="10">
        <v>1310</v>
      </c>
      <c r="AW109" s="10">
        <f>14-1</f>
        <v>13</v>
      </c>
      <c r="AX109" s="10">
        <v>-242</v>
      </c>
      <c r="AY109" s="10">
        <v>-560</v>
      </c>
      <c r="AZ109" s="10">
        <v>-309</v>
      </c>
      <c r="BA109" s="10">
        <v>-2</v>
      </c>
      <c r="BB109" s="10">
        <f t="shared" si="7"/>
        <v>2646</v>
      </c>
      <c r="BC109" s="6">
        <v>4</v>
      </c>
      <c r="BD109" s="10">
        <v>92</v>
      </c>
      <c r="BE109" s="10">
        <v>42</v>
      </c>
      <c r="BF109" s="10">
        <v>168</v>
      </c>
      <c r="BG109" s="10">
        <v>7</v>
      </c>
    </row>
    <row r="110" spans="1:59">
      <c r="A110" s="6">
        <v>10</v>
      </c>
      <c r="B110" s="6" t="s">
        <v>401</v>
      </c>
      <c r="C110" s="7" t="s">
        <v>591</v>
      </c>
      <c r="D110" s="6" t="s">
        <v>392</v>
      </c>
      <c r="E110" s="6" t="s">
        <v>289</v>
      </c>
      <c r="F110" s="7" t="s">
        <v>441</v>
      </c>
      <c r="G110" s="7" t="s">
        <v>291</v>
      </c>
      <c r="H110" s="10">
        <v>6367228</v>
      </c>
      <c r="I110" s="10">
        <v>6377415</v>
      </c>
      <c r="J110" s="10">
        <v>152886</v>
      </c>
      <c r="K110" s="10">
        <v>4500700</v>
      </c>
      <c r="L110" s="10">
        <v>221890</v>
      </c>
      <c r="M110" s="10">
        <v>580603</v>
      </c>
      <c r="N110" s="10">
        <v>426869</v>
      </c>
      <c r="O110" s="10">
        <v>0</v>
      </c>
      <c r="P110" s="10">
        <v>0</v>
      </c>
      <c r="Q110" s="10">
        <v>6111287</v>
      </c>
      <c r="R110" s="12">
        <v>7.0000000000000007E-2</v>
      </c>
      <c r="S110" s="10">
        <v>2370612</v>
      </c>
      <c r="T110" s="24">
        <f>357601/3576010</f>
        <v>0.1</v>
      </c>
      <c r="U110" s="10">
        <v>357601</v>
      </c>
      <c r="V110" s="10">
        <v>0</v>
      </c>
      <c r="W110" s="10">
        <f>9313+625+315</f>
        <v>10253</v>
      </c>
      <c r="X110" s="10">
        <v>123038</v>
      </c>
      <c r="Y110" s="10">
        <v>6165</v>
      </c>
      <c r="Z110" s="10">
        <v>8570</v>
      </c>
      <c r="AA110" s="10">
        <f>10138+2745</f>
        <v>12883</v>
      </c>
      <c r="AB110" s="10">
        <v>2600</v>
      </c>
      <c r="AC110" s="10">
        <v>6229</v>
      </c>
      <c r="AD110" s="10">
        <v>4521</v>
      </c>
      <c r="AE110" s="10">
        <f>5047+9280+11737</f>
        <v>26064</v>
      </c>
      <c r="AF110" s="10">
        <v>3074</v>
      </c>
      <c r="AG110" s="10">
        <v>4561</v>
      </c>
      <c r="AH110" s="10">
        <v>13579</v>
      </c>
      <c r="AI110" s="10">
        <v>59497</v>
      </c>
      <c r="AJ110" s="10">
        <v>233936</v>
      </c>
      <c r="AK110" s="10">
        <v>237359</v>
      </c>
      <c r="AL110" s="10">
        <v>25560</v>
      </c>
      <c r="AM110" s="10">
        <v>0</v>
      </c>
      <c r="AN110" s="10">
        <v>0</v>
      </c>
      <c r="AO110" s="10">
        <v>129052</v>
      </c>
      <c r="AP110" s="10">
        <v>0</v>
      </c>
      <c r="AQ110" s="10">
        <v>30426</v>
      </c>
      <c r="AR110" s="10">
        <v>0</v>
      </c>
      <c r="AS110" s="10">
        <v>0</v>
      </c>
      <c r="AT110" s="10">
        <v>0</v>
      </c>
      <c r="AU110" s="10">
        <v>832</v>
      </c>
      <c r="AV110" s="10">
        <v>432</v>
      </c>
      <c r="AW110" s="10">
        <f>20-3</f>
        <v>17</v>
      </c>
      <c r="AX110" s="10">
        <v>-70</v>
      </c>
      <c r="AY110" s="10">
        <v>-145</v>
      </c>
      <c r="AZ110" s="10">
        <v>-100</v>
      </c>
      <c r="BA110" s="10">
        <v>-2</v>
      </c>
      <c r="BB110" s="10">
        <f t="shared" si="7"/>
        <v>964</v>
      </c>
      <c r="BC110" s="6">
        <v>10</v>
      </c>
      <c r="BD110" s="10">
        <v>27</v>
      </c>
      <c r="BE110" s="10">
        <v>7</v>
      </c>
      <c r="BF110" s="10">
        <v>28</v>
      </c>
      <c r="BG110" s="10">
        <v>38</v>
      </c>
    </row>
    <row r="111" spans="1:59">
      <c r="A111" s="6">
        <v>10</v>
      </c>
      <c r="B111" s="6" t="s">
        <v>414</v>
      </c>
      <c r="C111" s="7" t="s">
        <v>522</v>
      </c>
      <c r="D111" s="6" t="s">
        <v>207</v>
      </c>
      <c r="E111" s="6" t="s">
        <v>289</v>
      </c>
      <c r="F111" s="7" t="s">
        <v>568</v>
      </c>
      <c r="G111" s="7" t="s">
        <v>291</v>
      </c>
      <c r="H111" s="10">
        <v>3361606</v>
      </c>
      <c r="I111" s="10">
        <v>3375775</v>
      </c>
      <c r="J111" s="10">
        <v>60888</v>
      </c>
      <c r="K111" s="10">
        <v>1922873</v>
      </c>
      <c r="L111" s="10">
        <v>110308</v>
      </c>
      <c r="M111" s="10">
        <v>517478</v>
      </c>
      <c r="N111" s="10">
        <v>359838</v>
      </c>
      <c r="O111" s="10">
        <v>3722</v>
      </c>
      <c r="P111" s="10">
        <v>9274</v>
      </c>
      <c r="Q111" s="10">
        <v>3208435</v>
      </c>
      <c r="R111" s="12">
        <v>9.8000000000000004E-2</v>
      </c>
      <c r="S111" s="10">
        <v>483926</v>
      </c>
      <c r="T111" s="24">
        <f>271151/2711513</f>
        <v>9.9999889360663216E-2</v>
      </c>
      <c r="U111" s="10">
        <v>265702</v>
      </c>
      <c r="V111" s="10">
        <v>0</v>
      </c>
      <c r="W111" s="10">
        <f>12598+186</f>
        <v>12784</v>
      </c>
      <c r="X111" s="10">
        <v>70245</v>
      </c>
      <c r="Y111" s="10">
        <v>7662</v>
      </c>
      <c r="Z111" s="10">
        <v>3660</v>
      </c>
      <c r="AA111" s="10">
        <f>8248+931</f>
        <v>9179</v>
      </c>
      <c r="AB111" s="10">
        <v>2600</v>
      </c>
      <c r="AC111" s="10">
        <v>4569</v>
      </c>
      <c r="AD111" s="10">
        <v>1661</v>
      </c>
      <c r="AE111" s="10">
        <f>2887+12630+9387</f>
        <v>24904</v>
      </c>
      <c r="AF111" s="10">
        <v>4103</v>
      </c>
      <c r="AG111" s="10">
        <v>8165</v>
      </c>
      <c r="AH111" s="10">
        <v>9358</v>
      </c>
      <c r="AI111" s="10">
        <v>3535</v>
      </c>
      <c r="AJ111" s="10">
        <v>156371</v>
      </c>
      <c r="AK111" s="10">
        <v>164747</v>
      </c>
      <c r="AL111" s="10">
        <v>0</v>
      </c>
      <c r="AM111" s="10">
        <v>0</v>
      </c>
      <c r="AN111" s="10">
        <v>0</v>
      </c>
      <c r="AO111" s="10">
        <v>129052</v>
      </c>
      <c r="AP111" s="10">
        <v>0</v>
      </c>
      <c r="AQ111" s="10">
        <v>7726</v>
      </c>
      <c r="AR111" s="10">
        <v>0</v>
      </c>
      <c r="AS111" s="10">
        <v>0</v>
      </c>
      <c r="AT111" s="10">
        <v>0</v>
      </c>
      <c r="AU111" s="10">
        <v>612</v>
      </c>
      <c r="AV111" s="10">
        <v>310</v>
      </c>
      <c r="AW111" s="10">
        <v>-3</v>
      </c>
      <c r="AX111" s="10">
        <v>-62</v>
      </c>
      <c r="AY111" s="10">
        <v>-42</v>
      </c>
      <c r="AZ111" s="10">
        <v>-82</v>
      </c>
      <c r="BA111" s="10">
        <v>-7</v>
      </c>
      <c r="BB111" s="10">
        <f t="shared" si="7"/>
        <v>726</v>
      </c>
      <c r="BC111" s="6">
        <v>16</v>
      </c>
      <c r="BD111" s="10">
        <v>26</v>
      </c>
      <c r="BE111" s="10">
        <v>13</v>
      </c>
      <c r="BF111" s="10">
        <v>34</v>
      </c>
      <c r="BG111" s="10">
        <v>9</v>
      </c>
    </row>
    <row r="112" spans="1:59">
      <c r="A112" s="6">
        <v>10</v>
      </c>
      <c r="B112" s="6" t="s">
        <v>531</v>
      </c>
      <c r="C112" s="7" t="s">
        <v>157</v>
      </c>
      <c r="D112" s="6" t="s">
        <v>333</v>
      </c>
      <c r="E112" s="6" t="s">
        <v>289</v>
      </c>
      <c r="F112" s="7" t="s">
        <v>441</v>
      </c>
      <c r="G112" s="7" t="s">
        <v>291</v>
      </c>
      <c r="H112" s="10">
        <v>1987687</v>
      </c>
      <c r="I112" s="10">
        <v>1990640</v>
      </c>
      <c r="J112" s="10">
        <v>72277</v>
      </c>
      <c r="K112" s="10">
        <v>967046</v>
      </c>
      <c r="L112" s="10">
        <v>178778</v>
      </c>
      <c r="M112" s="10">
        <v>398662</v>
      </c>
      <c r="N112" s="10">
        <v>166322</v>
      </c>
      <c r="O112" s="10">
        <v>0</v>
      </c>
      <c r="P112" s="10">
        <v>0</v>
      </c>
      <c r="Q112" s="10">
        <v>1877557</v>
      </c>
      <c r="R112" s="12">
        <v>0.14000000000000001</v>
      </c>
      <c r="S112" s="10">
        <v>0</v>
      </c>
      <c r="T112" s="24">
        <f>160938/1877131</f>
        <v>8.5736157998562698E-2</v>
      </c>
      <c r="U112" s="10">
        <v>161009</v>
      </c>
      <c r="V112" s="10">
        <v>5080</v>
      </c>
      <c r="W112" s="10">
        <f>2557+212+197</f>
        <v>2966</v>
      </c>
      <c r="X112" s="10">
        <v>34797</v>
      </c>
      <c r="Y112" s="10">
        <v>0</v>
      </c>
      <c r="Z112" s="10">
        <v>0</v>
      </c>
      <c r="AA112" s="10">
        <f>6000+754</f>
        <v>6754</v>
      </c>
      <c r="AB112" s="10">
        <v>0</v>
      </c>
      <c r="AC112" s="10">
        <v>2459</v>
      </c>
      <c r="AD112" s="10">
        <v>0</v>
      </c>
      <c r="AE112" s="10">
        <f>1610+3958+3798</f>
        <v>9366</v>
      </c>
      <c r="AF112" s="10">
        <v>2386</v>
      </c>
      <c r="AG112" s="10">
        <v>775</v>
      </c>
      <c r="AH112" s="10">
        <v>1207</v>
      </c>
      <c r="AI112" s="10">
        <v>30130</v>
      </c>
      <c r="AJ112" s="10">
        <v>65597</v>
      </c>
      <c r="AK112" s="10">
        <v>68950</v>
      </c>
      <c r="AL112" s="10">
        <v>3902</v>
      </c>
      <c r="AM112" s="10">
        <v>0</v>
      </c>
      <c r="AN112" s="10">
        <v>0</v>
      </c>
      <c r="AO112" s="10">
        <v>99100</v>
      </c>
      <c r="AP112" s="10">
        <v>3075</v>
      </c>
      <c r="AQ112" s="10">
        <v>3758</v>
      </c>
      <c r="AR112" s="10">
        <v>0</v>
      </c>
      <c r="AS112" s="10">
        <v>0</v>
      </c>
      <c r="AT112" s="10">
        <v>132</v>
      </c>
      <c r="AU112" s="10">
        <v>312</v>
      </c>
      <c r="AV112" s="10">
        <v>174</v>
      </c>
      <c r="AW112" s="10">
        <v>0</v>
      </c>
      <c r="AX112" s="10">
        <v>-27</v>
      </c>
      <c r="AY112" s="10">
        <v>-33</v>
      </c>
      <c r="AZ112" s="10">
        <v>-41</v>
      </c>
      <c r="BA112" s="10">
        <v>0</v>
      </c>
      <c r="BB112" s="10">
        <f t="shared" si="7"/>
        <v>385</v>
      </c>
      <c r="BC112" s="6">
        <v>1</v>
      </c>
      <c r="BD112" s="10">
        <v>20</v>
      </c>
      <c r="BE112" s="10">
        <v>3</v>
      </c>
      <c r="BF112" s="10">
        <v>17</v>
      </c>
      <c r="BG112" s="10">
        <v>1</v>
      </c>
    </row>
    <row r="113" spans="1:59">
      <c r="A113" s="6">
        <v>11</v>
      </c>
      <c r="B113" s="6" t="s">
        <v>118</v>
      </c>
      <c r="C113" s="7" t="s">
        <v>648</v>
      </c>
      <c r="D113" s="6" t="s">
        <v>365</v>
      </c>
      <c r="E113" s="6" t="s">
        <v>645</v>
      </c>
      <c r="F113" s="7" t="s">
        <v>640</v>
      </c>
      <c r="G113" s="7" t="s">
        <v>652</v>
      </c>
      <c r="H113" s="10">
        <v>4187999</v>
      </c>
      <c r="I113" s="10">
        <v>4193175</v>
      </c>
      <c r="J113" s="10">
        <v>137706</v>
      </c>
      <c r="K113" s="10">
        <v>2330368</v>
      </c>
      <c r="L113" s="10">
        <v>454412</v>
      </c>
      <c r="M113" s="10">
        <v>522529</v>
      </c>
      <c r="N113" s="10">
        <v>250427</v>
      </c>
      <c r="O113" s="10">
        <v>0</v>
      </c>
      <c r="P113" s="10">
        <v>0</v>
      </c>
      <c r="Q113" s="10">
        <v>3965932</v>
      </c>
      <c r="R113" s="12">
        <v>3.6999999999999998E-2</v>
      </c>
      <c r="S113" s="10">
        <v>0</v>
      </c>
      <c r="T113" s="24">
        <f>384237/3944713</f>
        <v>9.7405565373196987E-2</v>
      </c>
      <c r="U113" s="10">
        <v>383788</v>
      </c>
      <c r="V113" s="10">
        <v>0</v>
      </c>
      <c r="W113" s="10">
        <v>5176</v>
      </c>
      <c r="X113" s="10">
        <v>125419</v>
      </c>
      <c r="Y113" s="10">
        <v>15071</v>
      </c>
      <c r="Z113" s="10">
        <v>18902</v>
      </c>
      <c r="AA113" s="10">
        <f>19696+4152</f>
        <v>23848</v>
      </c>
      <c r="AB113" s="10">
        <v>5752</v>
      </c>
      <c r="AC113" s="10">
        <v>2752</v>
      </c>
      <c r="AD113" s="10">
        <v>326</v>
      </c>
      <c r="AE113" s="10">
        <f>2374+7452+4027</f>
        <v>13853</v>
      </c>
      <c r="AF113" s="10">
        <v>2435</v>
      </c>
      <c r="AG113" s="10">
        <v>5939</v>
      </c>
      <c r="AH113" s="10">
        <v>22536</v>
      </c>
      <c r="AI113" s="10">
        <v>6784</v>
      </c>
      <c r="AJ113" s="10">
        <v>276507</v>
      </c>
      <c r="AK113" s="10">
        <v>297383</v>
      </c>
      <c r="AL113" s="10">
        <v>52059</v>
      </c>
      <c r="AM113" s="10">
        <v>2148</v>
      </c>
      <c r="AN113" s="10">
        <v>0</v>
      </c>
      <c r="AO113" s="10">
        <v>129052</v>
      </c>
      <c r="AP113" s="10">
        <v>0</v>
      </c>
      <c r="AQ113" s="10">
        <v>34420</v>
      </c>
      <c r="AR113" s="10">
        <v>0</v>
      </c>
      <c r="AS113" s="10">
        <v>0</v>
      </c>
      <c r="AT113" s="10">
        <v>0</v>
      </c>
      <c r="AU113" s="10">
        <v>934</v>
      </c>
      <c r="AV113" s="10">
        <v>502</v>
      </c>
      <c r="AW113" s="10">
        <f>9-1</f>
        <v>8</v>
      </c>
      <c r="AX113" s="10">
        <v>-84</v>
      </c>
      <c r="AY113" s="10">
        <v>-227</v>
      </c>
      <c r="AZ113" s="10">
        <v>-180</v>
      </c>
      <c r="BA113" s="10">
        <v>-1</v>
      </c>
      <c r="BB113" s="10">
        <f t="shared" si="7"/>
        <v>952</v>
      </c>
      <c r="BC113" s="6">
        <v>0</v>
      </c>
      <c r="BD113" s="10">
        <v>43</v>
      </c>
      <c r="BE113" s="10">
        <v>13</v>
      </c>
      <c r="BF113" s="10">
        <v>102</v>
      </c>
      <c r="BG113" s="10">
        <v>23</v>
      </c>
    </row>
    <row r="114" spans="1:59">
      <c r="A114" s="6">
        <v>11</v>
      </c>
      <c r="B114" s="6" t="s">
        <v>310</v>
      </c>
      <c r="C114" s="7" t="s">
        <v>354</v>
      </c>
      <c r="D114" s="6" t="s">
        <v>396</v>
      </c>
      <c r="E114" s="6" t="s">
        <v>645</v>
      </c>
      <c r="F114" s="7" t="s">
        <v>192</v>
      </c>
      <c r="G114" s="7" t="s">
        <v>652</v>
      </c>
      <c r="H114" s="10">
        <v>13592742</v>
      </c>
      <c r="I114" s="10">
        <v>13625579</v>
      </c>
      <c r="J114" s="10">
        <v>181718</v>
      </c>
      <c r="K114" s="10">
        <v>6673024</v>
      </c>
      <c r="L114" s="10">
        <v>2227872</v>
      </c>
      <c r="M114" s="10">
        <v>3226117</v>
      </c>
      <c r="N114" s="10">
        <v>820302</v>
      </c>
      <c r="O114" s="10">
        <v>897</v>
      </c>
      <c r="P114" s="10">
        <v>0</v>
      </c>
      <c r="Q114" s="10">
        <v>13486855</v>
      </c>
      <c r="R114" s="12">
        <v>4.1399999999999999E-2</v>
      </c>
      <c r="S114" s="10">
        <v>0</v>
      </c>
      <c r="T114" s="24">
        <f>538219/13485958</f>
        <v>3.9909585955999569E-2</v>
      </c>
      <c r="U114" s="10">
        <v>537895</v>
      </c>
      <c r="V114" s="10">
        <v>0</v>
      </c>
      <c r="W114" s="10">
        <f>32837+1558</f>
        <v>34395</v>
      </c>
      <c r="X114" s="10">
        <v>214287</v>
      </c>
      <c r="Y114" s="10">
        <v>17166</v>
      </c>
      <c r="Z114" s="10">
        <v>43545</v>
      </c>
      <c r="AA114" s="10">
        <f>30616+2857</f>
        <v>33473</v>
      </c>
      <c r="AB114" s="10">
        <v>0</v>
      </c>
      <c r="AC114" s="10">
        <v>16152</v>
      </c>
      <c r="AD114" s="10">
        <v>3870</v>
      </c>
      <c r="AE114" s="10">
        <f>9122+37993+24152</f>
        <v>71267</v>
      </c>
      <c r="AF114" s="10">
        <v>8803</v>
      </c>
      <c r="AG114" s="10">
        <v>5007</v>
      </c>
      <c r="AH114" s="10">
        <v>10102</v>
      </c>
      <c r="AI114" s="10">
        <v>0</v>
      </c>
      <c r="AJ114" s="10">
        <v>447789</v>
      </c>
      <c r="AK114" s="10">
        <v>449244</v>
      </c>
      <c r="AL114" s="10">
        <v>74459</v>
      </c>
      <c r="AM114" s="10">
        <v>0</v>
      </c>
      <c r="AN114" s="10">
        <v>0</v>
      </c>
      <c r="AO114" s="10">
        <v>129052</v>
      </c>
      <c r="AP114" s="10">
        <v>0</v>
      </c>
      <c r="AQ114" s="10">
        <v>70808</v>
      </c>
      <c r="AR114" s="10">
        <v>0</v>
      </c>
      <c r="AS114" s="10">
        <v>0</v>
      </c>
      <c r="AT114" s="10">
        <v>0</v>
      </c>
      <c r="AU114" s="10">
        <v>3170</v>
      </c>
      <c r="AV114" s="10">
        <v>1462</v>
      </c>
      <c r="AW114" s="10">
        <v>0</v>
      </c>
      <c r="AX114" s="10">
        <v>-283</v>
      </c>
      <c r="AY114" s="10">
        <v>-464</v>
      </c>
      <c r="AZ114" s="10">
        <v>-386</v>
      </c>
      <c r="BA114" s="10">
        <v>-1</v>
      </c>
      <c r="BB114" s="10">
        <f t="shared" si="7"/>
        <v>3498</v>
      </c>
      <c r="BC114" s="6">
        <v>12</v>
      </c>
      <c r="BD114" s="10">
        <v>218</v>
      </c>
      <c r="BE114" s="10">
        <v>26</v>
      </c>
      <c r="BF114" s="10">
        <v>140</v>
      </c>
      <c r="BG114" s="10">
        <v>2</v>
      </c>
    </row>
    <row r="115" spans="1:59">
      <c r="A115" s="6">
        <v>11</v>
      </c>
      <c r="B115" s="6" t="s">
        <v>322</v>
      </c>
      <c r="C115" s="6" t="s">
        <v>597</v>
      </c>
      <c r="D115" s="6" t="s">
        <v>464</v>
      </c>
      <c r="E115" s="6" t="s">
        <v>645</v>
      </c>
      <c r="F115" s="7" t="s">
        <v>192</v>
      </c>
      <c r="G115" s="7" t="s">
        <v>652</v>
      </c>
      <c r="H115" s="10">
        <v>4819766</v>
      </c>
      <c r="I115" s="10">
        <v>4822550</v>
      </c>
      <c r="J115" s="10">
        <v>197936</v>
      </c>
      <c r="K115" s="10">
        <v>2822861</v>
      </c>
      <c r="L115" s="10">
        <v>370337</v>
      </c>
      <c r="M115" s="10">
        <v>791395</v>
      </c>
      <c r="N115" s="10">
        <v>282678</v>
      </c>
      <c r="O115" s="10">
        <v>3543</v>
      </c>
      <c r="P115" s="10">
        <v>0</v>
      </c>
      <c r="Q115" s="10">
        <v>4603581</v>
      </c>
      <c r="R115" s="12">
        <v>0.05</v>
      </c>
      <c r="S115" s="10">
        <v>0</v>
      </c>
      <c r="T115" s="24">
        <f>332748/4600038</f>
        <v>7.2335924181495898E-2</v>
      </c>
      <c r="U115" s="10">
        <v>332603</v>
      </c>
      <c r="V115" s="10">
        <v>0</v>
      </c>
      <c r="W115" s="10">
        <f>2585+238</f>
        <v>2823</v>
      </c>
      <c r="X115" s="10">
        <v>79701</v>
      </c>
      <c r="Y115" s="10">
        <v>6647</v>
      </c>
      <c r="Z115" s="10">
        <v>9413</v>
      </c>
      <c r="AA115" s="10">
        <f>13155+1960</f>
        <v>15115</v>
      </c>
      <c r="AB115" s="10">
        <v>0</v>
      </c>
      <c r="AC115" s="10">
        <v>9547</v>
      </c>
      <c r="AD115" s="10">
        <v>258</v>
      </c>
      <c r="AE115" s="10">
        <f>3871+16723+9451</f>
        <v>30045</v>
      </c>
      <c r="AF115" s="10">
        <v>5668</v>
      </c>
      <c r="AG115" s="10">
        <v>150</v>
      </c>
      <c r="AH115" s="10">
        <v>35158</v>
      </c>
      <c r="AI115" s="10">
        <v>13368</v>
      </c>
      <c r="AJ115" s="10">
        <v>213194</v>
      </c>
      <c r="AK115" s="10">
        <v>222241</v>
      </c>
      <c r="AL115" s="10">
        <v>26517</v>
      </c>
      <c r="AM115" s="10">
        <v>0</v>
      </c>
      <c r="AN115" s="10">
        <v>0</v>
      </c>
      <c r="AO115" s="10">
        <v>129052</v>
      </c>
      <c r="AP115" s="10">
        <v>0</v>
      </c>
      <c r="AQ115" s="10">
        <v>31527</v>
      </c>
      <c r="AR115" s="10">
        <v>0</v>
      </c>
      <c r="AS115" s="10">
        <v>0</v>
      </c>
      <c r="AT115" s="10">
        <v>0</v>
      </c>
      <c r="AU115" s="10">
        <v>1015</v>
      </c>
      <c r="AV115" s="10">
        <v>554</v>
      </c>
      <c r="AW115" s="10">
        <f>3-1</f>
        <v>2</v>
      </c>
      <c r="AX115" s="10">
        <v>-107</v>
      </c>
      <c r="AY115" s="10">
        <v>-227</v>
      </c>
      <c r="AZ115" s="10">
        <v>-92</v>
      </c>
      <c r="BA115" s="10">
        <v>0</v>
      </c>
      <c r="BB115" s="10">
        <f t="shared" si="7"/>
        <v>1145</v>
      </c>
      <c r="BC115" s="6">
        <v>2</v>
      </c>
      <c r="BD115" s="10">
        <v>56</v>
      </c>
      <c r="BE115" s="10">
        <v>6</v>
      </c>
      <c r="BF115" s="10">
        <v>28</v>
      </c>
      <c r="BG115" s="10">
        <v>2</v>
      </c>
    </row>
    <row r="116" spans="1:59">
      <c r="A116" s="6">
        <v>11</v>
      </c>
      <c r="B116" s="6" t="s">
        <v>377</v>
      </c>
      <c r="C116" s="7" t="s">
        <v>300</v>
      </c>
      <c r="D116" s="6" t="s">
        <v>121</v>
      </c>
      <c r="E116" s="6" t="s">
        <v>287</v>
      </c>
      <c r="F116" s="7" t="s">
        <v>441</v>
      </c>
      <c r="G116" s="7" t="s">
        <v>288</v>
      </c>
      <c r="H116" s="10">
        <v>43690582</v>
      </c>
      <c r="I116" s="10">
        <v>43772226</v>
      </c>
      <c r="J116" s="10">
        <v>2019321</v>
      </c>
      <c r="K116" s="10">
        <v>24878048</v>
      </c>
      <c r="L116" s="10">
        <v>1302093</v>
      </c>
      <c r="M116" s="10">
        <v>7999875</v>
      </c>
      <c r="N116" s="10">
        <v>3300558</v>
      </c>
      <c r="O116" s="10">
        <v>0</v>
      </c>
      <c r="P116" s="10">
        <v>0</v>
      </c>
      <c r="Q116" s="10">
        <v>39462403</v>
      </c>
      <c r="R116" s="12">
        <v>0.13</v>
      </c>
      <c r="S116" s="10">
        <v>0</v>
      </c>
      <c r="T116" s="24">
        <f>1973369/39467384</f>
        <v>4.9999994932524536E-2</v>
      </c>
      <c r="U116" s="10">
        <v>1968175</v>
      </c>
      <c r="V116" s="10">
        <v>0</v>
      </c>
      <c r="W116" s="10">
        <f>74813+6529</f>
        <v>81342</v>
      </c>
      <c r="X116" s="10">
        <v>1024197</v>
      </c>
      <c r="Y116" s="10">
        <v>84748</v>
      </c>
      <c r="Z116" s="10">
        <v>120045</v>
      </c>
      <c r="AA116" s="10">
        <f>343545+16750</f>
        <v>360295</v>
      </c>
      <c r="AB116" s="10">
        <v>0</v>
      </c>
      <c r="AC116" s="10">
        <v>174753</v>
      </c>
      <c r="AD116" s="10">
        <v>5335</v>
      </c>
      <c r="AE116" s="10">
        <f>30225+49511+53646</f>
        <v>133382</v>
      </c>
      <c r="AF116" s="10">
        <v>18420</v>
      </c>
      <c r="AG116" s="10">
        <v>0</v>
      </c>
      <c r="AH116" s="10">
        <v>14266</v>
      </c>
      <c r="AI116" s="10">
        <v>121714</v>
      </c>
      <c r="AJ116" s="10">
        <v>2027763</v>
      </c>
      <c r="AK116" s="10">
        <v>2209672</v>
      </c>
      <c r="AL116" s="10">
        <v>309527</v>
      </c>
      <c r="AM116" s="10">
        <v>0</v>
      </c>
      <c r="AN116" s="10">
        <v>0</v>
      </c>
      <c r="AO116" s="10">
        <v>129052</v>
      </c>
      <c r="AP116" s="10">
        <v>0</v>
      </c>
      <c r="AQ116" s="10">
        <v>202229</v>
      </c>
      <c r="AR116" s="10">
        <v>0</v>
      </c>
      <c r="AS116" s="10">
        <v>0</v>
      </c>
      <c r="AT116" s="10">
        <v>0</v>
      </c>
      <c r="AU116" s="10">
        <v>8220</v>
      </c>
      <c r="AV116" s="10">
        <v>5452</v>
      </c>
      <c r="AW116" s="10">
        <f>13+47-34</f>
        <v>26</v>
      </c>
      <c r="AX116" s="10">
        <v>-523</v>
      </c>
      <c r="AY116" s="10">
        <v>-2018</v>
      </c>
      <c r="AZ116" s="10">
        <v>-910</v>
      </c>
      <c r="BA116" s="10">
        <v>0</v>
      </c>
      <c r="BB116" s="10">
        <f t="shared" si="7"/>
        <v>10247</v>
      </c>
      <c r="BC116" s="6">
        <v>47</v>
      </c>
      <c r="BD116" s="10">
        <v>623</v>
      </c>
      <c r="BE116" s="10">
        <v>62</v>
      </c>
      <c r="BF116" s="10">
        <v>191</v>
      </c>
      <c r="BG116" s="10">
        <v>34</v>
      </c>
    </row>
    <row r="117" spans="1:59">
      <c r="A117" s="6">
        <v>11</v>
      </c>
      <c r="B117" s="6" t="s">
        <v>387</v>
      </c>
      <c r="C117" s="7" t="s">
        <v>359</v>
      </c>
      <c r="D117" s="6" t="s">
        <v>357</v>
      </c>
      <c r="E117" s="6" t="s">
        <v>287</v>
      </c>
      <c r="F117" s="7" t="s">
        <v>441</v>
      </c>
      <c r="G117" s="7" t="s">
        <v>288</v>
      </c>
      <c r="H117" s="10">
        <v>7842114</v>
      </c>
      <c r="I117" s="10">
        <v>7876661</v>
      </c>
      <c r="J117" s="10">
        <v>148806</v>
      </c>
      <c r="K117" s="10">
        <v>3956652</v>
      </c>
      <c r="L117" s="10">
        <v>464386</v>
      </c>
      <c r="M117" s="10">
        <v>2156572</v>
      </c>
      <c r="N117" s="10">
        <v>589738</v>
      </c>
      <c r="O117" s="10">
        <v>0</v>
      </c>
      <c r="P117" s="10">
        <v>10401</v>
      </c>
      <c r="Q117" s="10">
        <v>7663858</v>
      </c>
      <c r="R117" s="12">
        <v>0.05</v>
      </c>
      <c r="S117" s="10">
        <f>11036/0.0553</f>
        <v>199566.00361663653</v>
      </c>
      <c r="T117" s="24">
        <f>423433/7653457</f>
        <v>5.5325717515627253E-2</v>
      </c>
      <c r="U117" s="10">
        <v>412397</v>
      </c>
      <c r="V117" s="10">
        <v>0</v>
      </c>
      <c r="W117" s="10">
        <v>34547</v>
      </c>
      <c r="X117" s="10">
        <v>153922</v>
      </c>
      <c r="Y117" s="10">
        <v>12759</v>
      </c>
      <c r="Z117" s="10">
        <v>22091</v>
      </c>
      <c r="AA117" s="10">
        <f>36261+114</f>
        <v>36375</v>
      </c>
      <c r="AB117" s="10">
        <v>6935</v>
      </c>
      <c r="AC117" s="10">
        <v>11135</v>
      </c>
      <c r="AD117" s="10">
        <v>2938</v>
      </c>
      <c r="AE117" s="10">
        <f>7286+16158+18528</f>
        <v>41972</v>
      </c>
      <c r="AF117" s="10">
        <v>2426</v>
      </c>
      <c r="AG117" s="10">
        <v>4727</v>
      </c>
      <c r="AH117" s="10">
        <v>7824</v>
      </c>
      <c r="AI117" s="10">
        <v>0</v>
      </c>
      <c r="AJ117" s="10">
        <v>331174</v>
      </c>
      <c r="AK117" s="10">
        <v>341833</v>
      </c>
      <c r="AL117" s="10">
        <v>47603</v>
      </c>
      <c r="AM117" s="10">
        <v>0</v>
      </c>
      <c r="AN117" s="10">
        <v>0</v>
      </c>
      <c r="AO117" s="10">
        <v>129052</v>
      </c>
      <c r="AP117" s="10">
        <v>0</v>
      </c>
      <c r="AQ117" s="10">
        <v>46349</v>
      </c>
      <c r="AR117" s="10">
        <v>0</v>
      </c>
      <c r="AS117" s="10">
        <v>0</v>
      </c>
      <c r="AT117" s="10">
        <v>0</v>
      </c>
      <c r="AU117" s="10">
        <v>1979</v>
      </c>
      <c r="AV117" s="10">
        <v>944</v>
      </c>
      <c r="AW117" s="10">
        <v>0</v>
      </c>
      <c r="AX117" s="10">
        <v>-149</v>
      </c>
      <c r="AY117" s="10">
        <v>-349</v>
      </c>
      <c r="AZ117" s="10">
        <v>-382</v>
      </c>
      <c r="BA117" s="10">
        <v>0</v>
      </c>
      <c r="BB117" s="10">
        <f t="shared" si="7"/>
        <v>2043</v>
      </c>
      <c r="BC117" s="6">
        <v>29</v>
      </c>
      <c r="BD117" s="10">
        <v>96</v>
      </c>
      <c r="BE117" s="10">
        <v>26</v>
      </c>
      <c r="BF117" s="10">
        <v>187</v>
      </c>
      <c r="BG117" s="10">
        <v>1</v>
      </c>
    </row>
    <row r="118" spans="1:59">
      <c r="A118" s="6">
        <v>11</v>
      </c>
      <c r="B118" s="6" t="s">
        <v>481</v>
      </c>
      <c r="C118" s="7" t="s">
        <v>148</v>
      </c>
      <c r="D118" s="6" t="s">
        <v>121</v>
      </c>
      <c r="E118" s="6" t="s">
        <v>287</v>
      </c>
      <c r="F118" s="7" t="s">
        <v>441</v>
      </c>
      <c r="G118" s="7" t="s">
        <v>288</v>
      </c>
      <c r="H118" s="10">
        <v>42286797</v>
      </c>
      <c r="I118" s="10">
        <v>42403578</v>
      </c>
      <c r="J118" s="10">
        <v>1289233</v>
      </c>
      <c r="K118" s="10">
        <v>25570699</v>
      </c>
      <c r="L118" s="10">
        <v>1820629</v>
      </c>
      <c r="M118" s="10">
        <v>7798268</v>
      </c>
      <c r="N118" s="10">
        <v>3500385</v>
      </c>
      <c r="O118" s="10">
        <v>0</v>
      </c>
      <c r="P118" s="10">
        <v>0</v>
      </c>
      <c r="Q118" s="10">
        <v>40538067</v>
      </c>
      <c r="R118" s="12">
        <v>0.03</v>
      </c>
      <c r="S118" s="10">
        <v>0</v>
      </c>
      <c r="T118" s="24">
        <f>1847946/40537165</f>
        <v>4.5586463680920952E-2</v>
      </c>
      <c r="U118" s="10">
        <v>1848086</v>
      </c>
      <c r="V118" s="10">
        <v>0</v>
      </c>
      <c r="W118" s="10">
        <v>116781</v>
      </c>
      <c r="X118" s="10">
        <v>1057296</v>
      </c>
      <c r="Y118" s="10">
        <v>82908</v>
      </c>
      <c r="Z118" s="10">
        <v>177354</v>
      </c>
      <c r="AA118" s="10">
        <f>186693+9452</f>
        <v>196145</v>
      </c>
      <c r="AB118" s="10">
        <v>8050</v>
      </c>
      <c r="AC118" s="10">
        <v>20165</v>
      </c>
      <c r="AD118" s="10">
        <v>2230</v>
      </c>
      <c r="AE118" s="10">
        <f>31149+119317+54346</f>
        <v>204812</v>
      </c>
      <c r="AF118" s="10">
        <v>5697</v>
      </c>
      <c r="AG118" s="10">
        <v>2664</v>
      </c>
      <c r="AH118" s="10">
        <v>15911</v>
      </c>
      <c r="AI118" s="10">
        <v>79535</v>
      </c>
      <c r="AJ118" s="10">
        <v>1851346</v>
      </c>
      <c r="AK118" s="10">
        <v>1955061</v>
      </c>
      <c r="AL118" s="10">
        <v>279816</v>
      </c>
      <c r="AM118" s="10">
        <v>0</v>
      </c>
      <c r="AN118" s="10">
        <v>0</v>
      </c>
      <c r="AO118" s="10">
        <v>129052</v>
      </c>
      <c r="AP118" s="10">
        <v>0</v>
      </c>
      <c r="AQ118" s="10">
        <v>267583</v>
      </c>
      <c r="AR118" s="10">
        <v>0</v>
      </c>
      <c r="AS118" s="10">
        <v>0</v>
      </c>
      <c r="AT118" s="10">
        <v>0</v>
      </c>
      <c r="AU118" s="10">
        <v>7771</v>
      </c>
      <c r="AV118" s="10">
        <v>5705</v>
      </c>
      <c r="AW118" s="10">
        <f>35+35-21</f>
        <v>49</v>
      </c>
      <c r="AX118" s="10">
        <v>-543</v>
      </c>
      <c r="AY118" s="10">
        <v>-2920</v>
      </c>
      <c r="AZ118" s="10">
        <v>-1155</v>
      </c>
      <c r="BA118" s="10">
        <v>0</v>
      </c>
      <c r="BB118" s="10">
        <f t="shared" si="7"/>
        <v>8907</v>
      </c>
      <c r="BC118" s="6">
        <v>46</v>
      </c>
      <c r="BD118" s="10">
        <v>803</v>
      </c>
      <c r="BE118" s="10">
        <v>78</v>
      </c>
      <c r="BF118" s="10">
        <v>269</v>
      </c>
      <c r="BG118" s="10">
        <v>5</v>
      </c>
    </row>
    <row r="119" spans="1:59">
      <c r="A119" s="6">
        <v>12</v>
      </c>
      <c r="B119" s="6" t="s">
        <v>188</v>
      </c>
      <c r="C119" s="7" t="s">
        <v>634</v>
      </c>
      <c r="D119" s="6" t="s">
        <v>214</v>
      </c>
      <c r="E119" s="6" t="s">
        <v>424</v>
      </c>
      <c r="F119" s="7"/>
      <c r="G119" s="7" t="s">
        <v>439</v>
      </c>
      <c r="H119" s="10">
        <v>770545</v>
      </c>
      <c r="I119" s="10">
        <v>771040</v>
      </c>
      <c r="J119" s="10">
        <v>1511</v>
      </c>
      <c r="K119" s="10">
        <v>209537</v>
      </c>
      <c r="L119" s="10">
        <v>74908</v>
      </c>
      <c r="M119" s="10">
        <v>363301</v>
      </c>
      <c r="N119" s="10">
        <v>43938</v>
      </c>
      <c r="O119" s="10">
        <v>0</v>
      </c>
      <c r="P119" s="10">
        <v>0</v>
      </c>
      <c r="Q119" s="10">
        <v>747597</v>
      </c>
      <c r="R119" s="12">
        <v>4.1390000000000003E-2</v>
      </c>
      <c r="S119" s="10">
        <v>0</v>
      </c>
      <c r="T119" s="24">
        <f>55885/691711</f>
        <v>8.0792411859866325E-2</v>
      </c>
      <c r="U119" s="10">
        <v>55886</v>
      </c>
      <c r="V119" s="10">
        <v>0</v>
      </c>
      <c r="W119" s="10">
        <f>450+36+50</f>
        <v>536</v>
      </c>
      <c r="X119" s="10">
        <v>0</v>
      </c>
      <c r="Y119" s="10">
        <v>0</v>
      </c>
      <c r="Z119" s="10">
        <v>0</v>
      </c>
      <c r="AA119" s="10">
        <v>1008</v>
      </c>
      <c r="AB119" s="10">
        <v>0</v>
      </c>
      <c r="AC119" s="10">
        <v>0</v>
      </c>
      <c r="AD119" s="10">
        <v>11503</v>
      </c>
      <c r="AE119" s="10">
        <f>570+3602</f>
        <v>4172</v>
      </c>
      <c r="AF119" s="10">
        <v>0</v>
      </c>
      <c r="AG119" s="10">
        <v>600</v>
      </c>
      <c r="AH119" s="10">
        <v>0</v>
      </c>
      <c r="AI119" s="10">
        <v>18041</v>
      </c>
      <c r="AJ119" s="10">
        <v>22222</v>
      </c>
      <c r="AK119" s="10">
        <v>21485</v>
      </c>
      <c r="AL119" s="10">
        <v>2214</v>
      </c>
      <c r="AM119" s="10">
        <v>0</v>
      </c>
      <c r="AN119" s="10">
        <v>0</v>
      </c>
      <c r="AO119" s="10">
        <v>34500</v>
      </c>
      <c r="AP119" s="10">
        <v>0</v>
      </c>
      <c r="AQ119" s="10">
        <v>1914</v>
      </c>
      <c r="AR119" s="10">
        <v>0</v>
      </c>
      <c r="AS119" s="10">
        <v>0</v>
      </c>
      <c r="AT119" s="10">
        <v>0</v>
      </c>
      <c r="AU119" s="10">
        <v>156</v>
      </c>
      <c r="AV119" s="10">
        <v>88</v>
      </c>
      <c r="AW119" s="10">
        <v>6</v>
      </c>
      <c r="AX119" s="10">
        <v>-16</v>
      </c>
      <c r="AY119" s="10">
        <v>-13</v>
      </c>
      <c r="AZ119" s="10">
        <v>-21</v>
      </c>
      <c r="BA119" s="10">
        <v>-2</v>
      </c>
      <c r="BB119" s="10">
        <f t="shared" si="7"/>
        <v>198</v>
      </c>
      <c r="BC119" s="6">
        <v>0</v>
      </c>
      <c r="BD119" s="10">
        <v>4</v>
      </c>
      <c r="BE119" s="10">
        <v>4</v>
      </c>
      <c r="BF119" s="10">
        <v>12</v>
      </c>
      <c r="BG119" s="10">
        <v>1</v>
      </c>
    </row>
    <row r="120" spans="1:59">
      <c r="A120" s="6">
        <v>12</v>
      </c>
      <c r="B120" s="6" t="s">
        <v>190</v>
      </c>
      <c r="C120" s="7" t="s">
        <v>108</v>
      </c>
      <c r="D120" s="6" t="s">
        <v>633</v>
      </c>
      <c r="E120" s="6" t="s">
        <v>284</v>
      </c>
      <c r="F120" s="7" t="s">
        <v>441</v>
      </c>
      <c r="G120" s="7" t="s">
        <v>295</v>
      </c>
      <c r="H120" s="10">
        <v>1137317</v>
      </c>
      <c r="I120" s="10">
        <v>1139844</v>
      </c>
      <c r="J120" s="10">
        <v>107791</v>
      </c>
      <c r="K120" s="10">
        <v>269168</v>
      </c>
      <c r="L120" s="10">
        <v>255520</v>
      </c>
      <c r="M120" s="10">
        <v>260669</v>
      </c>
      <c r="N120" s="10">
        <v>108173</v>
      </c>
      <c r="O120" s="10">
        <v>0</v>
      </c>
      <c r="P120" s="10">
        <v>0</v>
      </c>
      <c r="Q120" s="10">
        <v>988158</v>
      </c>
      <c r="R120" s="12">
        <v>0.11020000000000001</v>
      </c>
      <c r="S120" s="10">
        <v>0</v>
      </c>
      <c r="T120" s="24">
        <f>89832/988158</f>
        <v>9.0908538917865364E-2</v>
      </c>
      <c r="U120" s="10">
        <v>87598</v>
      </c>
      <c r="V120" s="10">
        <v>0</v>
      </c>
      <c r="W120" s="10">
        <f>1613+430+12</f>
        <v>2055</v>
      </c>
      <c r="X120" s="10">
        <v>10692</v>
      </c>
      <c r="Y120" s="10">
        <v>984</v>
      </c>
      <c r="Z120" s="10">
        <v>1101</v>
      </c>
      <c r="AA120" s="10">
        <v>4658</v>
      </c>
      <c r="AB120" s="10">
        <v>0</v>
      </c>
      <c r="AC120" s="10">
        <v>3285</v>
      </c>
      <c r="AD120" s="10">
        <v>0</v>
      </c>
      <c r="AE120" s="10">
        <f>1836+3709+2055</f>
        <v>7600</v>
      </c>
      <c r="AF120" s="10">
        <v>4901</v>
      </c>
      <c r="AG120" s="10">
        <v>0</v>
      </c>
      <c r="AH120" s="10">
        <v>1234</v>
      </c>
      <c r="AI120" s="10">
        <v>40451</v>
      </c>
      <c r="AJ120" s="10">
        <v>46062</v>
      </c>
      <c r="AK120" s="10">
        <v>49320</v>
      </c>
      <c r="AL120" s="10">
        <v>0</v>
      </c>
      <c r="AM120" s="10">
        <v>73</v>
      </c>
      <c r="AN120" s="10">
        <v>0</v>
      </c>
      <c r="AO120" s="10">
        <v>45657</v>
      </c>
      <c r="AP120" s="10">
        <v>0</v>
      </c>
      <c r="AQ120" s="10">
        <v>0</v>
      </c>
      <c r="AR120" s="10">
        <v>0</v>
      </c>
      <c r="AS120" s="10">
        <v>0</v>
      </c>
      <c r="AT120" s="10">
        <v>0</v>
      </c>
      <c r="AU120" s="10">
        <v>309</v>
      </c>
      <c r="AV120" s="10">
        <v>126</v>
      </c>
      <c r="AW120" s="10">
        <v>0</v>
      </c>
      <c r="AX120" s="10">
        <v>-54</v>
      </c>
      <c r="AY120" s="10">
        <v>-24</v>
      </c>
      <c r="AZ120" s="10">
        <v>-55</v>
      </c>
      <c r="BA120" s="10">
        <v>0</v>
      </c>
      <c r="BB120" s="10">
        <f t="shared" si="7"/>
        <v>302</v>
      </c>
      <c r="BC120" s="6">
        <v>0</v>
      </c>
      <c r="BD120" s="10">
        <v>9</v>
      </c>
      <c r="BE120" s="10">
        <v>4</v>
      </c>
      <c r="BF120" s="10">
        <v>38</v>
      </c>
      <c r="BG120" s="10">
        <v>4</v>
      </c>
    </row>
    <row r="121" spans="1:59">
      <c r="A121" s="6">
        <v>12</v>
      </c>
      <c r="B121" s="6" t="s">
        <v>215</v>
      </c>
      <c r="C121" s="7" t="s">
        <v>390</v>
      </c>
      <c r="D121" s="6" t="s">
        <v>63</v>
      </c>
      <c r="E121" s="6" t="s">
        <v>404</v>
      </c>
      <c r="F121" s="7"/>
      <c r="G121" s="7" t="s">
        <v>399</v>
      </c>
      <c r="H121" s="10">
        <v>271053</v>
      </c>
      <c r="I121" s="10">
        <v>271294</v>
      </c>
      <c r="J121" s="10">
        <v>3671</v>
      </c>
      <c r="K121" s="10">
        <v>82462</v>
      </c>
      <c r="L121" s="10">
        <v>39652</v>
      </c>
      <c r="M121" s="10">
        <v>92069</v>
      </c>
      <c r="N121" s="10">
        <v>12673</v>
      </c>
      <c r="O121" s="10">
        <v>0</v>
      </c>
      <c r="P121" s="10">
        <v>0</v>
      </c>
      <c r="Q121" s="10">
        <v>249542</v>
      </c>
      <c r="R121" s="12">
        <v>0.11138000000000001</v>
      </c>
      <c r="S121" s="10">
        <v>0</v>
      </c>
      <c r="T121" s="24"/>
      <c r="U121" s="10"/>
      <c r="V121" s="10">
        <v>0</v>
      </c>
      <c r="W121" s="10">
        <f>241+25+11</f>
        <v>277</v>
      </c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>
        <v>464</v>
      </c>
      <c r="AM121" s="10">
        <v>0</v>
      </c>
      <c r="AN121" s="10">
        <v>0</v>
      </c>
      <c r="AO121" s="10">
        <v>3750</v>
      </c>
      <c r="AP121" s="10">
        <v>0</v>
      </c>
      <c r="AQ121" s="10">
        <v>459</v>
      </c>
      <c r="AR121" s="10">
        <v>0</v>
      </c>
      <c r="AS121" s="10">
        <v>0</v>
      </c>
      <c r="AT121" s="10">
        <v>0</v>
      </c>
      <c r="AU121" s="10">
        <v>89</v>
      </c>
      <c r="AV121" s="10">
        <v>46</v>
      </c>
      <c r="AW121" s="10">
        <v>0</v>
      </c>
      <c r="AX121" s="10">
        <v>-11</v>
      </c>
      <c r="AY121" s="10">
        <v>-13</v>
      </c>
      <c r="AZ121" s="10">
        <v>-11</v>
      </c>
      <c r="BA121" s="10">
        <v>0</v>
      </c>
      <c r="BB121" s="10">
        <f t="shared" si="7"/>
        <v>100</v>
      </c>
      <c r="BC121" s="6">
        <v>0</v>
      </c>
      <c r="BD121" s="10">
        <v>4</v>
      </c>
      <c r="BE121" s="10">
        <v>1</v>
      </c>
      <c r="BF121" s="10">
        <v>4</v>
      </c>
      <c r="BG121" s="10">
        <v>2</v>
      </c>
    </row>
    <row r="122" spans="1:59">
      <c r="A122" s="6">
        <v>12</v>
      </c>
      <c r="B122" s="6" t="s">
        <v>393</v>
      </c>
      <c r="C122" s="7" t="s">
        <v>299</v>
      </c>
      <c r="D122" s="6" t="s">
        <v>398</v>
      </c>
      <c r="E122" s="6" t="s">
        <v>404</v>
      </c>
      <c r="F122" s="7"/>
      <c r="G122" s="7" t="s">
        <v>399</v>
      </c>
      <c r="H122" s="10">
        <v>37898241</v>
      </c>
      <c r="I122" s="10">
        <v>38083980</v>
      </c>
      <c r="J122" s="10">
        <v>481579</v>
      </c>
      <c r="K122" s="10">
        <v>14714617</v>
      </c>
      <c r="L122" s="10">
        <v>7009684</v>
      </c>
      <c r="M122" s="10">
        <v>10947455</v>
      </c>
      <c r="N122" s="10">
        <v>2831014</v>
      </c>
      <c r="O122" s="10">
        <v>550</v>
      </c>
      <c r="P122" s="10">
        <v>0</v>
      </c>
      <c r="Q122" s="10">
        <v>36819098</v>
      </c>
      <c r="R122" s="12">
        <v>0.14349999999999999</v>
      </c>
      <c r="S122" s="10">
        <v>0</v>
      </c>
      <c r="T122" s="24">
        <f>1323795/35502770</f>
        <v>3.7287090556596007E-2</v>
      </c>
      <c r="U122" s="10">
        <v>1315778</v>
      </c>
      <c r="V122" s="10">
        <v>0</v>
      </c>
      <c r="W122" s="10">
        <f>170532+15393+6260</f>
        <v>192185</v>
      </c>
      <c r="X122" s="10">
        <v>670466</v>
      </c>
      <c r="Y122" s="10">
        <v>54720</v>
      </c>
      <c r="Z122" s="10">
        <v>220497</v>
      </c>
      <c r="AA122" s="10">
        <v>131243</v>
      </c>
      <c r="AB122" s="10">
        <v>16285</v>
      </c>
      <c r="AC122" s="10">
        <v>27677</v>
      </c>
      <c r="AD122" s="10">
        <v>26761</v>
      </c>
      <c r="AE122" s="10">
        <f>23995+27000+34148</f>
        <v>85143</v>
      </c>
      <c r="AF122" s="10">
        <v>1652</v>
      </c>
      <c r="AG122" s="10">
        <v>20757</v>
      </c>
      <c r="AH122" s="10">
        <v>23470</v>
      </c>
      <c r="AI122" s="10">
        <v>25856</v>
      </c>
      <c r="AJ122" s="10">
        <v>1315007</v>
      </c>
      <c r="AK122" s="10">
        <v>1322478</v>
      </c>
      <c r="AL122" s="10">
        <v>162100</v>
      </c>
      <c r="AM122" s="10">
        <v>0</v>
      </c>
      <c r="AN122" s="10">
        <v>515</v>
      </c>
      <c r="AO122" s="10">
        <v>139491</v>
      </c>
      <c r="AP122" s="10" t="s">
        <v>660</v>
      </c>
      <c r="AQ122" s="10">
        <v>216876</v>
      </c>
      <c r="AR122" s="10">
        <v>0</v>
      </c>
      <c r="AS122" s="10">
        <v>0</v>
      </c>
      <c r="AT122" s="10">
        <v>0</v>
      </c>
      <c r="AU122" s="10">
        <v>9727</v>
      </c>
      <c r="AV122" s="10">
        <v>4273</v>
      </c>
      <c r="AW122" s="10">
        <v>41</v>
      </c>
      <c r="AX122" s="10">
        <v>-716</v>
      </c>
      <c r="AY122" s="10">
        <v>-2415</v>
      </c>
      <c r="AZ122" s="10">
        <v>-1283</v>
      </c>
      <c r="BA122" s="10">
        <v>0</v>
      </c>
      <c r="BB122" s="10">
        <f t="shared" si="7"/>
        <v>9627</v>
      </c>
      <c r="BC122" s="6">
        <v>47</v>
      </c>
      <c r="BD122" s="10">
        <v>578</v>
      </c>
      <c r="BE122" s="10">
        <v>167</v>
      </c>
      <c r="BF122" s="10">
        <v>526</v>
      </c>
      <c r="BG122" s="10">
        <v>12</v>
      </c>
    </row>
    <row r="123" spans="1:59">
      <c r="A123" s="6">
        <v>12</v>
      </c>
      <c r="B123" s="6" t="s">
        <v>630</v>
      </c>
      <c r="C123" s="7" t="s">
        <v>27</v>
      </c>
      <c r="D123" s="6" t="s">
        <v>173</v>
      </c>
      <c r="E123" s="6" t="s">
        <v>284</v>
      </c>
      <c r="F123" s="7" t="s">
        <v>568</v>
      </c>
      <c r="G123" s="7" t="s">
        <v>295</v>
      </c>
      <c r="H123" s="10">
        <v>6066071</v>
      </c>
      <c r="I123" s="10">
        <v>6075405</v>
      </c>
      <c r="J123" s="10">
        <v>151217</v>
      </c>
      <c r="K123" s="10">
        <v>2702335</v>
      </c>
      <c r="L123" s="10">
        <v>475525</v>
      </c>
      <c r="M123" s="10">
        <v>1924870</v>
      </c>
      <c r="N123" s="10">
        <v>337871</v>
      </c>
      <c r="O123" s="10">
        <v>0</v>
      </c>
      <c r="P123" s="10">
        <v>0</v>
      </c>
      <c r="Q123" s="10">
        <v>5918062</v>
      </c>
      <c r="R123" s="12">
        <v>7.8E-2</v>
      </c>
      <c r="S123" s="10">
        <v>0</v>
      </c>
      <c r="T123" s="24">
        <f>403836/5441487</f>
        <v>7.4214272679508378E-2</v>
      </c>
      <c r="U123" s="10">
        <v>403235</v>
      </c>
      <c r="V123" s="10">
        <v>0</v>
      </c>
      <c r="W123" s="10">
        <f>9334+483</f>
        <v>9817</v>
      </c>
      <c r="X123" s="10">
        <v>156658</v>
      </c>
      <c r="Y123" s="10">
        <v>12452</v>
      </c>
      <c r="Z123" s="10">
        <v>30007</v>
      </c>
      <c r="AA123" s="10">
        <f>24837+710</f>
        <v>25547</v>
      </c>
      <c r="AB123" s="10">
        <v>0</v>
      </c>
      <c r="AC123" s="10">
        <v>1233</v>
      </c>
      <c r="AD123" s="10">
        <v>0</v>
      </c>
      <c r="AE123" s="10">
        <f>5511+8400+6694</f>
        <v>20605</v>
      </c>
      <c r="AF123" s="10">
        <v>5070</v>
      </c>
      <c r="AG123" s="10">
        <v>3181</v>
      </c>
      <c r="AH123" s="10">
        <v>12164</v>
      </c>
      <c r="AI123" s="10">
        <v>0</v>
      </c>
      <c r="AJ123" s="10">
        <v>287622</v>
      </c>
      <c r="AK123" s="10">
        <v>286279</v>
      </c>
      <c r="AL123" s="10">
        <v>49870</v>
      </c>
      <c r="AM123" s="10">
        <v>932</v>
      </c>
      <c r="AN123" s="10">
        <v>0</v>
      </c>
      <c r="AO123" s="10">
        <v>129052</v>
      </c>
      <c r="AP123" s="10">
        <v>0</v>
      </c>
      <c r="AQ123" s="10">
        <v>46248</v>
      </c>
      <c r="AR123" s="10">
        <v>0</v>
      </c>
      <c r="AS123" s="10">
        <v>0</v>
      </c>
      <c r="AT123" s="10">
        <v>0</v>
      </c>
      <c r="AU123" s="10">
        <v>1303</v>
      </c>
      <c r="AV123" s="10">
        <v>482</v>
      </c>
      <c r="AW123" s="10">
        <v>22</v>
      </c>
      <c r="AX123" s="10">
        <v>-154</v>
      </c>
      <c r="AY123" s="10">
        <v>-174</v>
      </c>
      <c r="AZ123" s="10">
        <v>-222</v>
      </c>
      <c r="BA123" s="10">
        <v>0</v>
      </c>
      <c r="BB123" s="10">
        <f t="shared" si="7"/>
        <v>1257</v>
      </c>
      <c r="BC123" s="6">
        <v>0</v>
      </c>
      <c r="BD123" s="10">
        <v>107</v>
      </c>
      <c r="BE123" s="10">
        <v>34</v>
      </c>
      <c r="BF123" s="10">
        <v>80</v>
      </c>
      <c r="BG123" s="10">
        <v>1</v>
      </c>
    </row>
    <row r="124" spans="1:59">
      <c r="A124" s="6">
        <v>12</v>
      </c>
      <c r="B124" s="6" t="s">
        <v>636</v>
      </c>
      <c r="C124" s="7"/>
      <c r="D124" s="6" t="s">
        <v>15</v>
      </c>
      <c r="E124" s="6" t="s">
        <v>552</v>
      </c>
      <c r="F124" s="7"/>
      <c r="G124" s="7" t="s">
        <v>567</v>
      </c>
      <c r="H124" s="10">
        <v>1323640</v>
      </c>
      <c r="I124" s="10">
        <v>1329721</v>
      </c>
      <c r="J124" s="10">
        <v>40701</v>
      </c>
      <c r="K124" s="10">
        <v>375573</v>
      </c>
      <c r="L124" s="10">
        <v>156092</v>
      </c>
      <c r="M124" s="10">
        <v>506284</v>
      </c>
      <c r="N124" s="10">
        <v>47945</v>
      </c>
      <c r="O124" s="10">
        <v>0</v>
      </c>
      <c r="P124" s="10">
        <v>0</v>
      </c>
      <c r="Q124" s="10">
        <v>1195404</v>
      </c>
      <c r="R124" s="12">
        <v>0.1482</v>
      </c>
      <c r="S124" s="10">
        <v>0</v>
      </c>
      <c r="T124" s="24">
        <f>108440/1192959</f>
        <v>9.0900022548972767E-2</v>
      </c>
      <c r="U124" s="10">
        <v>107050</v>
      </c>
      <c r="V124" s="10">
        <v>24450</v>
      </c>
      <c r="W124" s="10">
        <f>1986+73+71</f>
        <v>2130</v>
      </c>
      <c r="X124" s="10">
        <v>18208</v>
      </c>
      <c r="Y124" s="10">
        <v>0</v>
      </c>
      <c r="Z124" s="10">
        <v>934</v>
      </c>
      <c r="AA124" s="10">
        <f>7904+590</f>
        <v>8494</v>
      </c>
      <c r="AB124" s="10">
        <v>0</v>
      </c>
      <c r="AC124" s="10">
        <v>3678</v>
      </c>
      <c r="AD124" s="10">
        <v>0</v>
      </c>
      <c r="AE124" s="10">
        <f>630+3673+3152</f>
        <v>7455</v>
      </c>
      <c r="AF124" s="10">
        <v>2564</v>
      </c>
      <c r="AG124" s="10">
        <v>94</v>
      </c>
      <c r="AH124" s="10">
        <v>10103</v>
      </c>
      <c r="AI124" s="10">
        <v>31968</v>
      </c>
      <c r="AJ124" s="10">
        <v>55660</v>
      </c>
      <c r="AK124" s="10">
        <v>65745</v>
      </c>
      <c r="AL124" s="10">
        <v>0</v>
      </c>
      <c r="AM124" s="10">
        <v>0</v>
      </c>
      <c r="AN124" s="10">
        <v>0</v>
      </c>
      <c r="AO124" s="10">
        <v>54748</v>
      </c>
      <c r="AP124" s="10">
        <v>0</v>
      </c>
      <c r="AQ124" s="10">
        <v>395</v>
      </c>
      <c r="AR124" s="10">
        <v>0</v>
      </c>
      <c r="AS124" s="10">
        <v>0</v>
      </c>
      <c r="AT124" s="10">
        <v>0</v>
      </c>
      <c r="AU124" s="10">
        <v>219</v>
      </c>
      <c r="AV124" s="10">
        <v>119</v>
      </c>
      <c r="AW124" s="10">
        <v>8</v>
      </c>
      <c r="AX124" s="10">
        <v>-30</v>
      </c>
      <c r="AY124" s="10">
        <v>-79</v>
      </c>
      <c r="AZ124" s="10">
        <v>-23</v>
      </c>
      <c r="BA124" s="10">
        <v>0</v>
      </c>
      <c r="BB124" s="10">
        <f t="shared" si="7"/>
        <v>214</v>
      </c>
      <c r="BC124" s="6">
        <v>56</v>
      </c>
      <c r="BD124" s="10">
        <v>12</v>
      </c>
      <c r="BE124" s="10">
        <v>1</v>
      </c>
      <c r="BF124" s="10">
        <v>11</v>
      </c>
      <c r="BG124" s="10">
        <v>0</v>
      </c>
    </row>
    <row r="125" spans="1:59">
      <c r="A125" s="6">
        <v>13</v>
      </c>
      <c r="B125" s="6" t="s">
        <v>145</v>
      </c>
      <c r="C125" s="7" t="s">
        <v>157</v>
      </c>
      <c r="D125" s="6" t="s">
        <v>440</v>
      </c>
      <c r="E125" s="6" t="s">
        <v>45</v>
      </c>
      <c r="F125" s="7" t="s">
        <v>193</v>
      </c>
      <c r="G125" s="7" t="s">
        <v>47</v>
      </c>
      <c r="H125" s="10">
        <v>65306335</v>
      </c>
      <c r="I125" s="10">
        <v>65541554</v>
      </c>
      <c r="J125" s="10">
        <v>2252171</v>
      </c>
      <c r="K125" s="10">
        <v>45193646</v>
      </c>
      <c r="L125" s="10">
        <v>5086743</v>
      </c>
      <c r="M125" s="10">
        <v>5557167</v>
      </c>
      <c r="N125" s="10">
        <v>4849755</v>
      </c>
      <c r="O125" s="10">
        <v>0</v>
      </c>
      <c r="P125" s="10">
        <v>242432</v>
      </c>
      <c r="Q125" s="10">
        <v>62945810</v>
      </c>
      <c r="R125" s="12">
        <v>0.04</v>
      </c>
      <c r="S125" s="10">
        <v>0</v>
      </c>
      <c r="T125" s="24">
        <f>1841291/62901779</f>
        <v>2.9272478923052399E-2</v>
      </c>
      <c r="U125" s="10">
        <v>1841236</v>
      </c>
      <c r="V125" s="10">
        <v>0</v>
      </c>
      <c r="W125" s="10">
        <f>235219+5408</f>
        <v>240627</v>
      </c>
      <c r="X125" s="10">
        <v>1266586</v>
      </c>
      <c r="Y125" s="10">
        <v>98793</v>
      </c>
      <c r="Z125" s="10">
        <v>215162</v>
      </c>
      <c r="AA125" s="10">
        <v>149303</v>
      </c>
      <c r="AB125" s="10">
        <v>3005</v>
      </c>
      <c r="AC125" s="10">
        <v>21764</v>
      </c>
      <c r="AD125" s="10">
        <v>0</v>
      </c>
      <c r="AE125" s="10">
        <f>30036+144100+71158</f>
        <v>245294</v>
      </c>
      <c r="AF125" s="10">
        <v>17857</v>
      </c>
      <c r="AG125" s="10">
        <v>2785</v>
      </c>
      <c r="AH125" s="10">
        <v>112753</v>
      </c>
      <c r="AI125" s="10">
        <v>0</v>
      </c>
      <c r="AJ125" s="10">
        <v>2245941</v>
      </c>
      <c r="AK125" s="10">
        <v>2291332</v>
      </c>
      <c r="AL125" s="10">
        <v>297688</v>
      </c>
      <c r="AM125" s="10">
        <v>2361</v>
      </c>
      <c r="AN125" s="10">
        <v>0</v>
      </c>
      <c r="AO125" s="10">
        <v>129052</v>
      </c>
      <c r="AP125" s="10">
        <v>0</v>
      </c>
      <c r="AQ125" s="10">
        <v>251049</v>
      </c>
      <c r="AR125" s="10">
        <v>0</v>
      </c>
      <c r="AS125" s="10">
        <v>0</v>
      </c>
      <c r="AT125" s="10">
        <v>0</v>
      </c>
      <c r="AU125" s="10">
        <v>13891</v>
      </c>
      <c r="AV125" s="10">
        <v>6371</v>
      </c>
      <c r="AW125" s="10">
        <f>6+62-1</f>
        <v>67</v>
      </c>
      <c r="AX125" s="10">
        <v>-660</v>
      </c>
      <c r="AY125" s="10">
        <v>-2815</v>
      </c>
      <c r="AZ125" s="10">
        <v>-1553</v>
      </c>
      <c r="BA125" s="10">
        <v>-15</v>
      </c>
      <c r="BB125" s="10">
        <f t="shared" si="7"/>
        <v>15286</v>
      </c>
      <c r="BC125" s="6">
        <v>45</v>
      </c>
      <c r="BD125" s="10">
        <v>352</v>
      </c>
      <c r="BE125" s="10">
        <v>166</v>
      </c>
      <c r="BF125" s="10">
        <v>791</v>
      </c>
      <c r="BG125" s="10">
        <v>214</v>
      </c>
    </row>
    <row r="126" spans="1:59">
      <c r="A126" s="6">
        <v>13</v>
      </c>
      <c r="B126" s="6" t="s">
        <v>218</v>
      </c>
      <c r="C126" s="7" t="s">
        <v>517</v>
      </c>
      <c r="D126" s="6" t="s">
        <v>314</v>
      </c>
      <c r="E126" s="6" t="s">
        <v>405</v>
      </c>
      <c r="F126" s="7" t="s">
        <v>640</v>
      </c>
      <c r="G126" s="7" t="s">
        <v>403</v>
      </c>
      <c r="H126" s="10">
        <v>15568408</v>
      </c>
      <c r="I126" s="10">
        <v>15620921</v>
      </c>
      <c r="J126" s="10">
        <v>687089</v>
      </c>
      <c r="K126" s="10">
        <v>8260917</v>
      </c>
      <c r="L126" s="10">
        <v>1370280</v>
      </c>
      <c r="M126" s="10">
        <v>3276556</v>
      </c>
      <c r="N126" s="10">
        <v>680265</v>
      </c>
      <c r="O126" s="10">
        <v>18403</v>
      </c>
      <c r="P126" s="10">
        <v>0</v>
      </c>
      <c r="Q126" s="10">
        <v>14415537</v>
      </c>
      <c r="R126" s="12">
        <v>0.08</v>
      </c>
      <c r="S126" s="10">
        <v>1914198</v>
      </c>
      <c r="T126" s="24">
        <f>769926/12482936</f>
        <v>6.1678278251206288E-2</v>
      </c>
      <c r="U126" s="10">
        <v>769093</v>
      </c>
      <c r="V126" s="10">
        <v>0</v>
      </c>
      <c r="W126" s="10">
        <f>52513+856</f>
        <v>53369</v>
      </c>
      <c r="X126" s="10">
        <v>404487</v>
      </c>
      <c r="Y126" s="10">
        <v>31891</v>
      </c>
      <c r="Z126" s="10">
        <v>55963</v>
      </c>
      <c r="AA126" s="10">
        <v>48490</v>
      </c>
      <c r="AB126" s="10">
        <v>7769</v>
      </c>
      <c r="AC126" s="10">
        <v>17066</v>
      </c>
      <c r="AD126" s="10">
        <v>4890</v>
      </c>
      <c r="AE126" s="10">
        <f>8906+39687+19824</f>
        <v>68417</v>
      </c>
      <c r="AF126" s="10">
        <v>7630</v>
      </c>
      <c r="AG126" s="10">
        <v>-162</v>
      </c>
      <c r="AH126" s="10">
        <v>29192</v>
      </c>
      <c r="AI126" s="10">
        <v>106963</v>
      </c>
      <c r="AJ126" s="10">
        <v>714138</v>
      </c>
      <c r="AK126" s="10">
        <v>743096</v>
      </c>
      <c r="AL126" s="10">
        <v>76893</v>
      </c>
      <c r="AM126" s="10">
        <v>803</v>
      </c>
      <c r="AN126" s="10">
        <v>0</v>
      </c>
      <c r="AO126" s="10">
        <v>129052</v>
      </c>
      <c r="AP126" s="10">
        <v>0</v>
      </c>
      <c r="AQ126" s="10">
        <v>74568</v>
      </c>
      <c r="AR126" s="10">
        <v>0</v>
      </c>
      <c r="AS126" s="10">
        <v>0</v>
      </c>
      <c r="AT126" s="10">
        <v>0</v>
      </c>
      <c r="AU126" s="10">
        <v>2565</v>
      </c>
      <c r="AV126" s="10">
        <v>1757</v>
      </c>
      <c r="AW126" s="10">
        <v>-3</v>
      </c>
      <c r="AX126" s="10">
        <v>-194</v>
      </c>
      <c r="AY126" s="10">
        <v>-788</v>
      </c>
      <c r="AZ126" s="10">
        <v>-361</v>
      </c>
      <c r="BA126" s="10">
        <v>-4</v>
      </c>
      <c r="BB126" s="10">
        <f t="shared" si="7"/>
        <v>2972</v>
      </c>
      <c r="BC126" s="6">
        <v>3</v>
      </c>
      <c r="BD126" s="10">
        <v>135</v>
      </c>
      <c r="BE126" s="10">
        <v>39</v>
      </c>
      <c r="BF126" s="10">
        <v>179</v>
      </c>
      <c r="BG126" s="10">
        <v>8</v>
      </c>
    </row>
    <row r="127" spans="1:59">
      <c r="A127" s="6">
        <v>13</v>
      </c>
      <c r="B127" s="6" t="s">
        <v>331</v>
      </c>
      <c r="C127" s="7" t="s">
        <v>308</v>
      </c>
      <c r="D127" s="6" t="s">
        <v>574</v>
      </c>
      <c r="E127" s="6" t="s">
        <v>405</v>
      </c>
      <c r="F127" s="7" t="s">
        <v>192</v>
      </c>
      <c r="G127" s="7" t="s">
        <v>403</v>
      </c>
      <c r="H127" s="10">
        <v>43798996</v>
      </c>
      <c r="I127" s="10">
        <v>43997364</v>
      </c>
      <c r="J127" s="10">
        <v>789476</v>
      </c>
      <c r="K127" s="10">
        <v>25290896</v>
      </c>
      <c r="L127" s="10">
        <v>2683489</v>
      </c>
      <c r="M127" s="10">
        <v>9229841</v>
      </c>
      <c r="N127" s="10">
        <v>4056190</v>
      </c>
      <c r="O127" s="10">
        <v>27216</v>
      </c>
      <c r="P127" s="10">
        <v>0</v>
      </c>
      <c r="Q127" s="10">
        <v>42550976</v>
      </c>
      <c r="R127" s="12">
        <v>0.06</v>
      </c>
      <c r="S127" s="10">
        <v>1679340</v>
      </c>
      <c r="T127" s="24">
        <f>1241992/40580302</f>
        <v>3.0605785043196575E-2</v>
      </c>
      <c r="U127" s="10">
        <v>1241992</v>
      </c>
      <c r="V127" s="10">
        <v>0</v>
      </c>
      <c r="W127" s="10">
        <f>198368+2140</f>
        <v>200508</v>
      </c>
      <c r="X127" s="10">
        <v>673363</v>
      </c>
      <c r="Y127" s="10">
        <v>57486</v>
      </c>
      <c r="Z127" s="10">
        <v>160276</v>
      </c>
      <c r="AA127" s="10">
        <v>148251</v>
      </c>
      <c r="AB127" s="10">
        <v>2443</v>
      </c>
      <c r="AC127" s="10">
        <v>32377</v>
      </c>
      <c r="AD127" s="10">
        <v>10219</v>
      </c>
      <c r="AE127" s="10">
        <f>11346+64226+30653</f>
        <v>106225</v>
      </c>
      <c r="AF127" s="10">
        <v>8789</v>
      </c>
      <c r="AG127" s="10">
        <v>1004</v>
      </c>
      <c r="AH127" s="10">
        <v>40592</v>
      </c>
      <c r="AI127" s="10">
        <v>71117</v>
      </c>
      <c r="AJ127" s="10">
        <v>1341756</v>
      </c>
      <c r="AK127" s="10">
        <v>1376355</v>
      </c>
      <c r="AL127" s="10">
        <v>131273</v>
      </c>
      <c r="AM127" s="10">
        <v>0</v>
      </c>
      <c r="AN127" s="10">
        <v>0</v>
      </c>
      <c r="AO127" s="10">
        <v>129052</v>
      </c>
      <c r="AP127" s="10">
        <v>0</v>
      </c>
      <c r="AQ127" s="10">
        <v>132464</v>
      </c>
      <c r="AR127" s="10">
        <v>0</v>
      </c>
      <c r="AS127" s="10">
        <v>0</v>
      </c>
      <c r="AT127" s="10">
        <v>0</v>
      </c>
      <c r="AU127" s="10">
        <v>8695</v>
      </c>
      <c r="AV127" s="10">
        <v>5742</v>
      </c>
      <c r="AW127" s="10">
        <f>40-2</f>
        <v>38</v>
      </c>
      <c r="AX127" s="10">
        <v>-542</v>
      </c>
      <c r="AY127" s="10">
        <v>-3171</v>
      </c>
      <c r="AZ127" s="10">
        <v>-1238</v>
      </c>
      <c r="BA127" s="10">
        <v>-6</v>
      </c>
      <c r="BB127" s="10">
        <f t="shared" si="7"/>
        <v>9518</v>
      </c>
      <c r="BC127" s="6">
        <v>16</v>
      </c>
      <c r="BD127" s="10">
        <v>458</v>
      </c>
      <c r="BE127" s="10">
        <v>176</v>
      </c>
      <c r="BF127" s="10">
        <v>560</v>
      </c>
      <c r="BG127" s="10">
        <v>44</v>
      </c>
    </row>
    <row r="128" spans="1:59">
      <c r="A128" s="6">
        <v>13</v>
      </c>
      <c r="B128" s="6" t="s">
        <v>339</v>
      </c>
      <c r="C128" s="7" t="s">
        <v>316</v>
      </c>
      <c r="D128" s="6" t="s">
        <v>459</v>
      </c>
      <c r="E128" s="6" t="s">
        <v>425</v>
      </c>
      <c r="F128" s="7"/>
      <c r="G128" s="7" t="s">
        <v>427</v>
      </c>
      <c r="H128" s="10">
        <v>9059139</v>
      </c>
      <c r="I128" s="10">
        <v>9073923</v>
      </c>
      <c r="J128" s="10">
        <v>254427</v>
      </c>
      <c r="K128" s="10">
        <v>4419978</v>
      </c>
      <c r="L128" s="10">
        <v>632126</v>
      </c>
      <c r="M128" s="10">
        <v>1922304</v>
      </c>
      <c r="N128" s="10">
        <v>1253442</v>
      </c>
      <c r="O128" s="10">
        <v>7980</v>
      </c>
      <c r="P128" s="10">
        <v>0</v>
      </c>
      <c r="Q128" s="10">
        <v>8912336</v>
      </c>
      <c r="R128" s="12">
        <v>0.09</v>
      </c>
      <c r="S128" s="10">
        <v>0</v>
      </c>
      <c r="T128" s="24">
        <f>683032/8973888</f>
        <v>7.6113274424641802E-2</v>
      </c>
      <c r="U128" s="10">
        <v>676506</v>
      </c>
      <c r="V128" s="10">
        <v>0</v>
      </c>
      <c r="W128" s="10">
        <f>14784+2180</f>
        <v>16964</v>
      </c>
      <c r="X128" s="10">
        <v>268974</v>
      </c>
      <c r="Y128" s="10">
        <v>21067</v>
      </c>
      <c r="Z128" s="10">
        <v>34822</v>
      </c>
      <c r="AA128" s="10">
        <f>46774+2175</f>
        <v>48949</v>
      </c>
      <c r="AB128" s="10">
        <v>4134</v>
      </c>
      <c r="AC128" s="10">
        <v>0</v>
      </c>
      <c r="AD128" s="10">
        <v>29790</v>
      </c>
      <c r="AE128" s="10">
        <f>10300+26447+27744</f>
        <v>64491</v>
      </c>
      <c r="AF128" s="10">
        <v>5970</v>
      </c>
      <c r="AG128" s="10">
        <v>0</v>
      </c>
      <c r="AH128" s="10">
        <v>30524</v>
      </c>
      <c r="AI128" s="10">
        <v>4231</v>
      </c>
      <c r="AJ128" s="10">
        <v>573872</v>
      </c>
      <c r="AK128" s="10">
        <v>606852</v>
      </c>
      <c r="AL128" s="10">
        <v>84461</v>
      </c>
      <c r="AM128" s="10">
        <v>0</v>
      </c>
      <c r="AN128" s="10">
        <v>0</v>
      </c>
      <c r="AO128" s="10">
        <v>129052</v>
      </c>
      <c r="AP128" s="10">
        <v>0</v>
      </c>
      <c r="AQ128" s="10">
        <v>83368</v>
      </c>
      <c r="AR128" s="10">
        <v>0</v>
      </c>
      <c r="AS128" s="10">
        <v>0</v>
      </c>
      <c r="AT128" s="10">
        <v>0</v>
      </c>
      <c r="AU128" s="10">
        <v>2172</v>
      </c>
      <c r="AV128" s="10">
        <v>859</v>
      </c>
      <c r="AW128" s="10">
        <v>39</v>
      </c>
      <c r="AX128" s="10">
        <v>-148</v>
      </c>
      <c r="AY128" s="10">
        <v>-287</v>
      </c>
      <c r="AZ128" s="10">
        <v>-341</v>
      </c>
      <c r="BA128" s="10">
        <v>-2</v>
      </c>
      <c r="BB128" s="10">
        <f t="shared" si="7"/>
        <v>2292</v>
      </c>
      <c r="BC128" s="6">
        <v>1</v>
      </c>
      <c r="BD128" s="10">
        <v>66</v>
      </c>
      <c r="BE128" s="10">
        <v>23</v>
      </c>
      <c r="BF128" s="10">
        <v>170</v>
      </c>
      <c r="BG128" s="10">
        <v>76</v>
      </c>
    </row>
    <row r="129" spans="1:59">
      <c r="A129" s="6">
        <v>14</v>
      </c>
      <c r="B129" s="6" t="s">
        <v>92</v>
      </c>
      <c r="C129" s="6" t="s">
        <v>535</v>
      </c>
      <c r="D129" s="6" t="s">
        <v>483</v>
      </c>
      <c r="E129" s="7" t="s">
        <v>54</v>
      </c>
      <c r="F129" s="7"/>
      <c r="G129" s="7" t="s">
        <v>46</v>
      </c>
      <c r="H129" s="10">
        <v>14202240</v>
      </c>
      <c r="I129" s="10">
        <v>14289028</v>
      </c>
      <c r="J129" s="10">
        <v>762475</v>
      </c>
      <c r="K129" s="10">
        <v>6750462</v>
      </c>
      <c r="L129" s="10">
        <v>1687799</v>
      </c>
      <c r="M129" s="10">
        <v>2033369</v>
      </c>
      <c r="N129" s="10">
        <v>1599147</v>
      </c>
      <c r="O129" s="10">
        <v>75309</v>
      </c>
      <c r="P129" s="10">
        <v>0</v>
      </c>
      <c r="Q129" s="10">
        <v>12699779</v>
      </c>
      <c r="R129" s="12">
        <v>0.22</v>
      </c>
      <c r="S129" s="10">
        <v>0</v>
      </c>
      <c r="T129" s="24">
        <f>736375/12624470</f>
        <v>5.8329181343850477E-2</v>
      </c>
      <c r="U129" s="10">
        <v>733410</v>
      </c>
      <c r="V129" s="10">
        <v>0</v>
      </c>
      <c r="W129" s="10">
        <f>86788+284</f>
        <v>87072</v>
      </c>
      <c r="X129" s="10">
        <v>391709</v>
      </c>
      <c r="Y129" s="10">
        <v>30918</v>
      </c>
      <c r="Z129" s="10">
        <v>48623</v>
      </c>
      <c r="AA129" s="10">
        <v>67530</v>
      </c>
      <c r="AB129" s="10">
        <v>8450</v>
      </c>
      <c r="AC129" s="10">
        <v>16741</v>
      </c>
      <c r="AD129" s="10">
        <v>0</v>
      </c>
      <c r="AE129" s="10">
        <f>11238+15357+20224</f>
        <v>46819</v>
      </c>
      <c r="AF129" s="10">
        <v>5176</v>
      </c>
      <c r="AG129" s="10">
        <v>2337</v>
      </c>
      <c r="AH129" s="10">
        <v>77181</v>
      </c>
      <c r="AI129" s="10">
        <v>0</v>
      </c>
      <c r="AJ129" s="10">
        <v>781754</v>
      </c>
      <c r="AK129" s="10">
        <v>787004</v>
      </c>
      <c r="AL129" s="10">
        <v>111050</v>
      </c>
      <c r="AM129" s="10">
        <v>0</v>
      </c>
      <c r="AN129" s="10">
        <v>0</v>
      </c>
      <c r="AO129" s="10">
        <v>129052</v>
      </c>
      <c r="AP129" s="10">
        <v>0</v>
      </c>
      <c r="AQ129" s="10">
        <v>108220</v>
      </c>
      <c r="AR129" s="10">
        <v>0</v>
      </c>
      <c r="AS129" s="10">
        <v>0</v>
      </c>
      <c r="AT129" s="10">
        <v>0</v>
      </c>
      <c r="AU129" s="10">
        <v>3585</v>
      </c>
      <c r="AV129" s="10">
        <v>1897</v>
      </c>
      <c r="AW129" s="10">
        <f>13-4</f>
        <v>9</v>
      </c>
      <c r="AX129" s="10">
        <v>-209</v>
      </c>
      <c r="AY129" s="10">
        <v>-1219</v>
      </c>
      <c r="AZ129" s="10">
        <v>-460</v>
      </c>
      <c r="BA129" s="10">
        <v>-4</v>
      </c>
      <c r="BB129" s="10">
        <f t="shared" si="7"/>
        <v>3599</v>
      </c>
      <c r="BC129" s="6">
        <v>7</v>
      </c>
      <c r="BD129" s="10">
        <v>63</v>
      </c>
      <c r="BE129" s="10">
        <v>36</v>
      </c>
      <c r="BF129" s="10">
        <v>354</v>
      </c>
      <c r="BG129" s="10">
        <v>7</v>
      </c>
    </row>
    <row r="130" spans="1:59">
      <c r="A130" s="6">
        <v>14</v>
      </c>
      <c r="B130" s="6" t="s">
        <v>296</v>
      </c>
      <c r="C130" s="7" t="s">
        <v>370</v>
      </c>
      <c r="D130" s="6" t="s">
        <v>614</v>
      </c>
      <c r="E130" s="6" t="s">
        <v>54</v>
      </c>
      <c r="F130" s="6"/>
      <c r="G130" s="6" t="s">
        <v>46</v>
      </c>
      <c r="H130" s="10">
        <v>1540881</v>
      </c>
      <c r="I130" s="10">
        <v>1543020</v>
      </c>
      <c r="J130" s="10">
        <v>15670</v>
      </c>
      <c r="K130" s="10">
        <v>576776</v>
      </c>
      <c r="L130" s="10">
        <v>353316</v>
      </c>
      <c r="M130" s="10">
        <v>544436</v>
      </c>
      <c r="N130" s="10">
        <v>14213</v>
      </c>
      <c r="O130" s="10">
        <v>858</v>
      </c>
      <c r="P130" s="10">
        <v>0</v>
      </c>
      <c r="Q130" s="10">
        <v>1630525</v>
      </c>
      <c r="R130" s="12">
        <v>0.06</v>
      </c>
      <c r="S130" s="10">
        <v>0</v>
      </c>
      <c r="T130" s="24">
        <f>137585/1593238</f>
        <v>8.6355585292341761E-2</v>
      </c>
      <c r="U130" s="10">
        <v>137595</v>
      </c>
      <c r="V130" s="10">
        <v>0</v>
      </c>
      <c r="W130" s="10">
        <f>1927+404</f>
        <v>2331</v>
      </c>
      <c r="X130" s="10">
        <v>24424</v>
      </c>
      <c r="Y130" s="10">
        <v>2468</v>
      </c>
      <c r="Z130" s="10">
        <v>814</v>
      </c>
      <c r="AA130" s="10">
        <v>1993</v>
      </c>
      <c r="AB130" s="10">
        <v>12703</v>
      </c>
      <c r="AC130" s="10">
        <v>4800</v>
      </c>
      <c r="AD130" s="10">
        <v>7073</v>
      </c>
      <c r="AE130" s="10">
        <f>1619+2452+1532</f>
        <v>5603</v>
      </c>
      <c r="AF130" s="10">
        <v>0</v>
      </c>
      <c r="AG130" s="10">
        <v>0</v>
      </c>
      <c r="AH130" s="10">
        <v>0</v>
      </c>
      <c r="AI130" s="10">
        <v>0</v>
      </c>
      <c r="AJ130" s="10">
        <v>74141</v>
      </c>
      <c r="AK130" s="10">
        <v>76939</v>
      </c>
      <c r="AL130" s="10">
        <v>24582</v>
      </c>
      <c r="AM130" s="10">
        <v>0</v>
      </c>
      <c r="AN130" s="10">
        <v>0</v>
      </c>
      <c r="AO130" s="10">
        <v>77044</v>
      </c>
      <c r="AP130" s="10">
        <v>783</v>
      </c>
      <c r="AQ130" s="10">
        <v>17352</v>
      </c>
      <c r="AR130" s="10">
        <v>4748</v>
      </c>
      <c r="AS130" s="10">
        <v>5531</v>
      </c>
      <c r="AT130" s="10">
        <v>0</v>
      </c>
      <c r="AU130" s="10">
        <v>521</v>
      </c>
      <c r="AV130" s="10">
        <v>0</v>
      </c>
      <c r="AW130" s="10">
        <v>-1</v>
      </c>
      <c r="AX130" s="10">
        <v>-11</v>
      </c>
      <c r="AY130" s="10">
        <v>-47</v>
      </c>
      <c r="AZ130" s="10">
        <v>-190</v>
      </c>
      <c r="BA130" s="10">
        <v>0</v>
      </c>
      <c r="BB130" s="10">
        <f t="shared" si="7"/>
        <v>272</v>
      </c>
      <c r="BC130" s="6">
        <v>0</v>
      </c>
      <c r="BD130" s="42"/>
      <c r="BE130" s="42"/>
      <c r="BF130" s="10"/>
      <c r="BG130" s="10"/>
    </row>
    <row r="131" spans="1:59">
      <c r="A131" s="6">
        <v>14</v>
      </c>
      <c r="B131" s="6" t="s">
        <v>321</v>
      </c>
      <c r="C131" s="6" t="s">
        <v>175</v>
      </c>
      <c r="D131" s="6" t="s">
        <v>614</v>
      </c>
      <c r="E131" s="7" t="s">
        <v>54</v>
      </c>
      <c r="F131" s="7"/>
      <c r="G131" s="7" t="s">
        <v>46</v>
      </c>
      <c r="H131" s="10">
        <v>3783424</v>
      </c>
      <c r="I131" s="10">
        <v>3833808</v>
      </c>
      <c r="J131" s="10">
        <v>164401</v>
      </c>
      <c r="K131" s="10">
        <v>1259163</v>
      </c>
      <c r="L131" s="10">
        <v>184363</v>
      </c>
      <c r="M131" s="10">
        <v>584230</v>
      </c>
      <c r="N131" s="10">
        <v>767926</v>
      </c>
      <c r="O131" s="10">
        <v>7231</v>
      </c>
      <c r="P131" s="10">
        <v>0</v>
      </c>
      <c r="Q131" s="10">
        <v>3103212</v>
      </c>
      <c r="R131" s="12">
        <v>0.38</v>
      </c>
      <c r="S131" s="10">
        <v>0</v>
      </c>
      <c r="T131" s="24">
        <f>299287/2992873</f>
        <v>9.9999899761867614E-2</v>
      </c>
      <c r="U131" s="10">
        <v>299302</v>
      </c>
      <c r="V131" s="10">
        <v>0</v>
      </c>
      <c r="W131" s="10">
        <f>36125+2768+704</f>
        <v>39597</v>
      </c>
      <c r="X131" s="10">
        <v>82222</v>
      </c>
      <c r="Y131" s="10">
        <v>8242</v>
      </c>
      <c r="Z131" s="10">
        <v>0</v>
      </c>
      <c r="AA131" s="10">
        <v>5652</v>
      </c>
      <c r="AB131" s="10">
        <v>968</v>
      </c>
      <c r="AC131" s="10">
        <v>17140</v>
      </c>
      <c r="AD131" s="10">
        <v>4261</v>
      </c>
      <c r="AE131" s="10">
        <f>4645+5573+9139</f>
        <v>19357</v>
      </c>
      <c r="AF131" s="10">
        <v>4721</v>
      </c>
      <c r="AG131" s="10">
        <v>494</v>
      </c>
      <c r="AH131" s="10">
        <v>32630</v>
      </c>
      <c r="AI131" s="10">
        <v>5652</v>
      </c>
      <c r="AJ131" s="10">
        <v>189705</v>
      </c>
      <c r="AK131" s="10">
        <v>187738</v>
      </c>
      <c r="AL131" s="10">
        <v>27215</v>
      </c>
      <c r="AM131" s="10">
        <v>0</v>
      </c>
      <c r="AN131" s="10">
        <v>0</v>
      </c>
      <c r="AO131" s="10">
        <v>129016</v>
      </c>
      <c r="AP131" s="10">
        <v>0</v>
      </c>
      <c r="AQ131" s="10">
        <v>31841</v>
      </c>
      <c r="AR131" s="10">
        <v>0</v>
      </c>
      <c r="AS131" s="10">
        <v>0</v>
      </c>
      <c r="AT131" s="10">
        <v>0</v>
      </c>
      <c r="AU131" s="10">
        <v>934</v>
      </c>
      <c r="AV131" s="10">
        <v>858</v>
      </c>
      <c r="AW131" s="10">
        <v>0</v>
      </c>
      <c r="AX131" s="10">
        <v>-44</v>
      </c>
      <c r="AY131" s="10">
        <v>-275</v>
      </c>
      <c r="AZ131" s="10">
        <v>-3</v>
      </c>
      <c r="BA131" s="10">
        <v>-1</v>
      </c>
      <c r="BB131" s="10">
        <f t="shared" si="7"/>
        <v>1469</v>
      </c>
      <c r="BC131" s="6">
        <v>0</v>
      </c>
      <c r="BD131" s="42">
        <v>2</v>
      </c>
      <c r="BE131" s="42">
        <v>1</v>
      </c>
      <c r="BF131" s="42">
        <v>0</v>
      </c>
      <c r="BG131" s="42">
        <v>0</v>
      </c>
    </row>
    <row r="132" spans="1:59">
      <c r="A132" s="6">
        <v>14</v>
      </c>
      <c r="B132" s="6" t="s">
        <v>379</v>
      </c>
      <c r="C132" s="7" t="s">
        <v>499</v>
      </c>
      <c r="D132" s="6" t="s">
        <v>483</v>
      </c>
      <c r="E132" s="6" t="s">
        <v>54</v>
      </c>
      <c r="F132" s="6"/>
      <c r="G132" s="6" t="s">
        <v>46</v>
      </c>
      <c r="H132" s="10">
        <v>14602858</v>
      </c>
      <c r="I132" s="10">
        <v>14745331</v>
      </c>
      <c r="J132" s="10">
        <v>1227208</v>
      </c>
      <c r="K132" s="10">
        <v>6677795</v>
      </c>
      <c r="L132" s="10">
        <v>2265325</v>
      </c>
      <c r="M132" s="10">
        <v>2107917</v>
      </c>
      <c r="N132" s="10">
        <v>1749554</v>
      </c>
      <c r="O132" s="10">
        <v>71949</v>
      </c>
      <c r="P132" s="10">
        <v>0</v>
      </c>
      <c r="Q132" s="10">
        <v>13645666</v>
      </c>
      <c r="R132" s="12">
        <v>0.22</v>
      </c>
      <c r="S132" s="10">
        <v>0</v>
      </c>
      <c r="T132" s="24">
        <f>771529/13535599</f>
        <v>5.699998943526622E-2</v>
      </c>
      <c r="U132" s="10">
        <v>770008</v>
      </c>
      <c r="V132" s="10">
        <v>0</v>
      </c>
      <c r="W132" s="10">
        <f>131946+12206+2049</f>
        <v>146201</v>
      </c>
      <c r="X132" s="10">
        <v>452636</v>
      </c>
      <c r="Y132" s="10">
        <v>36137</v>
      </c>
      <c r="Z132" s="10">
        <v>71925</v>
      </c>
      <c r="AA132" s="10">
        <v>57440</v>
      </c>
      <c r="AB132" s="10">
        <v>1406</v>
      </c>
      <c r="AC132" s="10">
        <v>11541</v>
      </c>
      <c r="AD132" s="10">
        <v>21185</v>
      </c>
      <c r="AE132" s="10">
        <f>11038+21080+28399</f>
        <v>60517</v>
      </c>
      <c r="AF132" s="10">
        <v>7394</v>
      </c>
      <c r="AG132" s="10">
        <v>5495</v>
      </c>
      <c r="AH132" s="10">
        <v>12434</v>
      </c>
      <c r="AI132" s="10">
        <v>73828</v>
      </c>
      <c r="AJ132" s="10">
        <v>821138</v>
      </c>
      <c r="AK132" s="10">
        <v>793948</v>
      </c>
      <c r="AL132" s="10">
        <v>65592</v>
      </c>
      <c r="AM132" s="10">
        <v>0</v>
      </c>
      <c r="AN132" s="10">
        <v>1000</v>
      </c>
      <c r="AO132" s="10">
        <v>129052</v>
      </c>
      <c r="AP132" s="10">
        <v>0</v>
      </c>
      <c r="AQ132" s="10">
        <v>103561</v>
      </c>
      <c r="AR132" s="10">
        <v>0</v>
      </c>
      <c r="AS132" s="10">
        <v>0</v>
      </c>
      <c r="AT132" s="10">
        <v>0</v>
      </c>
      <c r="AU132" s="10">
        <v>3788</v>
      </c>
      <c r="AV132" s="10">
        <v>1908</v>
      </c>
      <c r="AW132" s="10">
        <f>38-6</f>
        <v>32</v>
      </c>
      <c r="AX132" s="10">
        <v>-246</v>
      </c>
      <c r="AY132" s="10">
        <v>-1301</v>
      </c>
      <c r="AZ132" s="10">
        <v>-543</v>
      </c>
      <c r="BA132" s="10">
        <v>0</v>
      </c>
      <c r="BB132" s="10">
        <f t="shared" si="7"/>
        <v>3638</v>
      </c>
      <c r="BC132" s="6">
        <v>28</v>
      </c>
      <c r="BD132" s="10">
        <v>66</v>
      </c>
      <c r="BE132" s="10">
        <v>51</v>
      </c>
      <c r="BF132" s="10">
        <v>410</v>
      </c>
      <c r="BG132" s="10">
        <v>14</v>
      </c>
    </row>
    <row r="133" spans="1:59">
      <c r="A133" s="6">
        <v>14</v>
      </c>
      <c r="B133" s="6" t="s">
        <v>563</v>
      </c>
      <c r="C133" s="7" t="s">
        <v>303</v>
      </c>
      <c r="D133" s="6" t="s">
        <v>662</v>
      </c>
      <c r="E133" s="6" t="s">
        <v>54</v>
      </c>
      <c r="F133" s="6"/>
      <c r="G133" s="6" t="s">
        <v>46</v>
      </c>
      <c r="H133" s="10">
        <v>67314</v>
      </c>
      <c r="I133" s="10">
        <v>68044</v>
      </c>
      <c r="J133" s="10">
        <v>480</v>
      </c>
      <c r="K133" s="10">
        <v>13610</v>
      </c>
      <c r="L133" s="10">
        <v>19621</v>
      </c>
      <c r="M133" s="10">
        <v>20401</v>
      </c>
      <c r="N133" s="10">
        <v>375</v>
      </c>
      <c r="O133" s="10">
        <v>0</v>
      </c>
      <c r="P133" s="10">
        <v>0</v>
      </c>
      <c r="Q133" s="10">
        <v>66717</v>
      </c>
      <c r="R133" s="12">
        <v>0.79700000000000004</v>
      </c>
      <c r="S133" s="10">
        <v>0</v>
      </c>
      <c r="T133" s="24">
        <f>6671/66716</f>
        <v>9.9991006655075237E-2</v>
      </c>
      <c r="U133" s="10">
        <v>6789</v>
      </c>
      <c r="V133" s="10">
        <v>0</v>
      </c>
      <c r="W133" s="10">
        <f>678+66</f>
        <v>744</v>
      </c>
      <c r="X133" s="10">
        <v>3916</v>
      </c>
      <c r="Y133" s="10">
        <v>0</v>
      </c>
      <c r="Z133" s="10">
        <v>0</v>
      </c>
      <c r="AA133" s="10">
        <v>0</v>
      </c>
      <c r="AB133" s="10">
        <v>0</v>
      </c>
      <c r="AC133" s="10">
        <v>2072</v>
      </c>
      <c r="AD133" s="10">
        <v>0</v>
      </c>
      <c r="AE133" s="10">
        <v>120</v>
      </c>
      <c r="AF133" s="10">
        <v>0</v>
      </c>
      <c r="AG133" s="10">
        <v>0</v>
      </c>
      <c r="AH133" s="10">
        <v>0</v>
      </c>
      <c r="AI133" s="10">
        <v>3916</v>
      </c>
      <c r="AJ133" s="10">
        <v>6767</v>
      </c>
      <c r="AK133" s="10">
        <v>10850</v>
      </c>
      <c r="AL133" s="10">
        <v>55</v>
      </c>
      <c r="AM133" s="10">
        <v>0</v>
      </c>
      <c r="AN133" s="10">
        <v>0</v>
      </c>
      <c r="AO133" s="10">
        <v>750</v>
      </c>
      <c r="AP133" s="10">
        <v>0</v>
      </c>
      <c r="AQ133" s="10">
        <v>71</v>
      </c>
      <c r="AR133" s="10">
        <v>0</v>
      </c>
      <c r="AS133" s="10">
        <v>0</v>
      </c>
      <c r="AT133" s="10">
        <v>0</v>
      </c>
      <c r="AU133" s="10">
        <v>41</v>
      </c>
      <c r="AV133" s="10">
        <v>0</v>
      </c>
      <c r="AW133" s="10">
        <v>0</v>
      </c>
      <c r="AX133" s="10">
        <v>0</v>
      </c>
      <c r="AY133" s="10">
        <v>-4</v>
      </c>
      <c r="AZ133" s="10">
        <v>-12</v>
      </c>
      <c r="BA133" s="10">
        <v>-1</v>
      </c>
      <c r="BB133" s="10">
        <f t="shared" si="7"/>
        <v>24</v>
      </c>
      <c r="BC133" s="6">
        <v>18</v>
      </c>
      <c r="BD133" s="42" t="s">
        <v>419</v>
      </c>
      <c r="BE133" s="42" t="s">
        <v>418</v>
      </c>
      <c r="BF133" s="42" t="s">
        <v>418</v>
      </c>
      <c r="BG133" s="42" t="s">
        <v>418</v>
      </c>
    </row>
    <row r="134" spans="1:59">
      <c r="A134" s="6">
        <v>15</v>
      </c>
      <c r="B134" s="6" t="s">
        <v>74</v>
      </c>
      <c r="C134" s="6" t="s">
        <v>597</v>
      </c>
      <c r="D134" s="6" t="s">
        <v>542</v>
      </c>
      <c r="E134" s="7" t="s">
        <v>102</v>
      </c>
      <c r="F134" s="7" t="s">
        <v>568</v>
      </c>
      <c r="G134" s="7" t="s">
        <v>103</v>
      </c>
      <c r="H134" s="10">
        <v>22120138</v>
      </c>
      <c r="I134" s="10">
        <v>22227208</v>
      </c>
      <c r="J134" s="10">
        <v>745712</v>
      </c>
      <c r="K134" s="10">
        <v>8467651</v>
      </c>
      <c r="L134" s="10">
        <v>4019399</v>
      </c>
      <c r="M134" s="10">
        <v>5222830</v>
      </c>
      <c r="N134" s="10">
        <v>2534634</v>
      </c>
      <c r="O134" s="10">
        <v>59749</v>
      </c>
      <c r="P134" s="10">
        <v>0</v>
      </c>
      <c r="Q134" s="10">
        <v>21207077</v>
      </c>
      <c r="R134" s="12">
        <v>0.11</v>
      </c>
      <c r="S134" s="10">
        <v>0</v>
      </c>
      <c r="T134" s="24">
        <f>900655/21147328</f>
        <v>4.2589541335907782E-2</v>
      </c>
      <c r="U134" s="10">
        <v>902814</v>
      </c>
      <c r="V134" s="10">
        <v>0</v>
      </c>
      <c r="W134" s="10">
        <f>107070+4854</f>
        <v>111924</v>
      </c>
      <c r="X134" s="10">
        <v>437444</v>
      </c>
      <c r="Y134" s="10">
        <v>35987</v>
      </c>
      <c r="Z134" s="10">
        <v>49437</v>
      </c>
      <c r="AA134" s="10">
        <v>80983</v>
      </c>
      <c r="AB134" s="10">
        <v>9391</v>
      </c>
      <c r="AC134" s="10">
        <v>69331</v>
      </c>
      <c r="AD134" s="10">
        <v>6174</v>
      </c>
      <c r="AE134" s="10">
        <f>7006+53529+59902</f>
        <v>120437</v>
      </c>
      <c r="AF134" s="10">
        <v>8054</v>
      </c>
      <c r="AG134" s="10">
        <v>674</v>
      </c>
      <c r="AH134" s="10">
        <v>23652</v>
      </c>
      <c r="AI134" s="10">
        <v>0</v>
      </c>
      <c r="AJ134" s="10">
        <v>940649</v>
      </c>
      <c r="AK134" s="10">
        <v>942549</v>
      </c>
      <c r="AL134" s="10">
        <v>143799</v>
      </c>
      <c r="AM134" s="10">
        <v>1391</v>
      </c>
      <c r="AN134" s="10">
        <v>0</v>
      </c>
      <c r="AO134" s="10">
        <v>129052</v>
      </c>
      <c r="AP134" s="10">
        <v>0</v>
      </c>
      <c r="AQ134" s="10">
        <v>147194</v>
      </c>
      <c r="AR134" s="10">
        <v>0</v>
      </c>
      <c r="AS134" s="10">
        <v>0</v>
      </c>
      <c r="AT134" s="10">
        <v>0</v>
      </c>
      <c r="AU134" s="10">
        <v>4609</v>
      </c>
      <c r="AV134" s="10">
        <v>2383</v>
      </c>
      <c r="AW134" s="10">
        <v>0</v>
      </c>
      <c r="AX134" s="10">
        <v>-301</v>
      </c>
      <c r="AY134" s="10">
        <v>-1459</v>
      </c>
      <c r="AZ134" s="10">
        <v>-645</v>
      </c>
      <c r="BA134" s="10">
        <v>-2</v>
      </c>
      <c r="BB134" s="10">
        <f t="shared" si="7"/>
        <v>4585</v>
      </c>
      <c r="BC134" s="6">
        <v>35</v>
      </c>
      <c r="BD134" s="10">
        <v>248</v>
      </c>
      <c r="BE134" s="10">
        <v>30</v>
      </c>
      <c r="BF134" s="10">
        <v>95</v>
      </c>
      <c r="BG134" s="10">
        <v>189</v>
      </c>
    </row>
    <row r="135" spans="1:59">
      <c r="A135" s="6">
        <v>15</v>
      </c>
      <c r="B135" s="6" t="s">
        <v>280</v>
      </c>
      <c r="C135" s="7" t="s">
        <v>278</v>
      </c>
      <c r="D135" s="6" t="s">
        <v>275</v>
      </c>
      <c r="E135" s="6" t="s">
        <v>272</v>
      </c>
      <c r="F135" s="7"/>
      <c r="G135" s="7" t="s">
        <v>264</v>
      </c>
      <c r="H135" s="10">
        <v>2240953</v>
      </c>
      <c r="I135" s="10">
        <v>2260915</v>
      </c>
      <c r="J135" s="10">
        <v>96591</v>
      </c>
      <c r="K135" s="10">
        <v>1045158</v>
      </c>
      <c r="L135" s="10">
        <v>225605</v>
      </c>
      <c r="M135" s="10">
        <v>632368</v>
      </c>
      <c r="N135" s="10">
        <v>56495</v>
      </c>
      <c r="O135" s="10">
        <v>988</v>
      </c>
      <c r="P135" s="10">
        <v>0</v>
      </c>
      <c r="Q135" s="10">
        <v>2175171</v>
      </c>
      <c r="R135" s="12">
        <v>0.24349999999999999</v>
      </c>
      <c r="S135" s="10">
        <v>0</v>
      </c>
      <c r="T135" s="24">
        <f>217418/2174183</f>
        <v>9.9999862017134719E-2</v>
      </c>
      <c r="U135" s="10">
        <v>214557</v>
      </c>
      <c r="V135" s="10">
        <v>0</v>
      </c>
      <c r="W135" s="10">
        <f>19437+625+400</f>
        <v>20462</v>
      </c>
      <c r="X135" s="10">
        <v>51170</v>
      </c>
      <c r="Y135" s="10">
        <v>5116</v>
      </c>
      <c r="Z135" s="10">
        <v>414</v>
      </c>
      <c r="AA135" s="10">
        <v>12684</v>
      </c>
      <c r="AB135" s="10">
        <v>761</v>
      </c>
      <c r="AC135" s="10">
        <v>6624</v>
      </c>
      <c r="AD135" s="10">
        <v>229</v>
      </c>
      <c r="AE135" s="10">
        <f>2973+2068+6783</f>
        <v>11824</v>
      </c>
      <c r="AF135" s="10">
        <v>2692</v>
      </c>
      <c r="AG135" s="10">
        <v>2167</v>
      </c>
      <c r="AH135" s="10">
        <v>19388</v>
      </c>
      <c r="AI135" s="10">
        <v>35885</v>
      </c>
      <c r="AJ135" s="10">
        <v>130142</v>
      </c>
      <c r="AK135" s="10">
        <v>140287</v>
      </c>
      <c r="AL135" s="10">
        <v>0</v>
      </c>
      <c r="AM135" s="10">
        <v>0</v>
      </c>
      <c r="AN135" s="10">
        <v>0</v>
      </c>
      <c r="AO135" s="10">
        <v>106180</v>
      </c>
      <c r="AP135" s="10">
        <v>0</v>
      </c>
      <c r="AQ135" s="10">
        <v>0</v>
      </c>
      <c r="AR135" s="10">
        <v>0</v>
      </c>
      <c r="AS135" s="10">
        <v>0</v>
      </c>
      <c r="AT135" s="10">
        <v>0</v>
      </c>
      <c r="AU135" s="10">
        <v>447</v>
      </c>
      <c r="AV135" s="10">
        <v>568</v>
      </c>
      <c r="AW135" s="10">
        <v>-377</v>
      </c>
      <c r="AX135" s="10">
        <v>0</v>
      </c>
      <c r="AY135" s="10">
        <v>0</v>
      </c>
      <c r="AZ135" s="10">
        <v>0</v>
      </c>
      <c r="BA135" s="10">
        <v>0</v>
      </c>
      <c r="BB135" s="10">
        <f t="shared" si="7"/>
        <v>638</v>
      </c>
      <c r="BC135" s="6">
        <v>2</v>
      </c>
      <c r="BD135" s="10">
        <v>11</v>
      </c>
      <c r="BE135" s="10">
        <v>3</v>
      </c>
      <c r="BF135" s="10">
        <v>6</v>
      </c>
      <c r="BG135" s="10">
        <v>0</v>
      </c>
    </row>
    <row r="136" spans="1:59">
      <c r="A136" s="6">
        <v>15</v>
      </c>
      <c r="B136" s="6" t="s">
        <v>562</v>
      </c>
      <c r="C136" s="7" t="s">
        <v>157</v>
      </c>
      <c r="D136" s="6" t="s">
        <v>542</v>
      </c>
      <c r="E136" s="6" t="s">
        <v>102</v>
      </c>
      <c r="F136" s="7" t="s">
        <v>568</v>
      </c>
      <c r="G136" s="7" t="s">
        <v>103</v>
      </c>
      <c r="H136" s="10">
        <v>21460325</v>
      </c>
      <c r="I136" s="10">
        <v>21539906</v>
      </c>
      <c r="J136" s="10">
        <v>757013</v>
      </c>
      <c r="K136" s="10">
        <v>8856833</v>
      </c>
      <c r="L136" s="10">
        <v>3491953</v>
      </c>
      <c r="M136" s="10">
        <v>5534140</v>
      </c>
      <c r="N136" s="10">
        <v>2249800</v>
      </c>
      <c r="O136" s="10">
        <v>19818</v>
      </c>
      <c r="P136" s="10">
        <v>0</v>
      </c>
      <c r="Q136" s="10">
        <v>21128423</v>
      </c>
      <c r="R136" s="12">
        <v>7.0000000000000007E-2</v>
      </c>
      <c r="S136" s="10">
        <v>0</v>
      </c>
      <c r="T136" s="24">
        <f>926827/20915409</f>
        <v>4.431311861986538E-2</v>
      </c>
      <c r="U136" s="10">
        <v>926438</v>
      </c>
      <c r="V136" s="10">
        <v>0</v>
      </c>
      <c r="W136" s="10">
        <f>79581+1424</f>
        <v>81005</v>
      </c>
      <c r="X136" s="10">
        <v>507827</v>
      </c>
      <c r="Y136" s="10">
        <v>42962</v>
      </c>
      <c r="Z136" s="10">
        <v>79806</v>
      </c>
      <c r="AA136" s="10">
        <f>91350+1296</f>
        <v>92646</v>
      </c>
      <c r="AB136" s="10">
        <v>3000</v>
      </c>
      <c r="AC136" s="10">
        <v>16296</v>
      </c>
      <c r="AD136" s="10">
        <v>0</v>
      </c>
      <c r="AE136" s="10">
        <f>9157+67665+35657</f>
        <v>112479</v>
      </c>
      <c r="AF136" s="10">
        <v>5782</v>
      </c>
      <c r="AG136" s="10">
        <v>1155</v>
      </c>
      <c r="AH136" s="10">
        <v>7676</v>
      </c>
      <c r="AI136" s="10">
        <v>0</v>
      </c>
      <c r="AJ136" s="10">
        <v>920908</v>
      </c>
      <c r="AK136" s="10">
        <v>946372</v>
      </c>
      <c r="AL136" s="10">
        <v>103117</v>
      </c>
      <c r="AM136" s="10">
        <v>0</v>
      </c>
      <c r="AN136" s="10">
        <v>0</v>
      </c>
      <c r="AO136" s="10">
        <v>129052</v>
      </c>
      <c r="AP136" s="10">
        <v>0</v>
      </c>
      <c r="AQ136" s="10">
        <v>129857</v>
      </c>
      <c r="AR136" s="10">
        <v>0</v>
      </c>
      <c r="AS136" s="10">
        <v>0</v>
      </c>
      <c r="AT136" s="10">
        <v>0</v>
      </c>
      <c r="AU136" s="10">
        <v>4536</v>
      </c>
      <c r="AV136" s="10">
        <v>2261</v>
      </c>
      <c r="AW136" s="10">
        <v>17</v>
      </c>
      <c r="AX136" s="10">
        <v>-291</v>
      </c>
      <c r="AY136" s="10">
        <v>-1351</v>
      </c>
      <c r="AZ136" s="10">
        <v>-607</v>
      </c>
      <c r="BA136" s="10">
        <v>0</v>
      </c>
      <c r="BB136" s="10">
        <f t="shared" si="7"/>
        <v>4565</v>
      </c>
      <c r="BC136" s="6">
        <v>2</v>
      </c>
      <c r="BD136" s="10">
        <v>328</v>
      </c>
      <c r="BE136" s="10">
        <v>38</v>
      </c>
      <c r="BF136" s="10">
        <v>89</v>
      </c>
      <c r="BG136" s="10">
        <v>152</v>
      </c>
    </row>
    <row r="137" spans="1:59">
      <c r="A137" s="6">
        <v>16</v>
      </c>
      <c r="B137" s="6" t="s">
        <v>132</v>
      </c>
      <c r="C137" s="7" t="s">
        <v>32</v>
      </c>
      <c r="D137" s="6" t="s">
        <v>462</v>
      </c>
      <c r="E137" s="6" t="s">
        <v>102</v>
      </c>
      <c r="F137" s="7" t="s">
        <v>112</v>
      </c>
      <c r="G137" s="7" t="s">
        <v>103</v>
      </c>
      <c r="H137" s="10">
        <v>39636780</v>
      </c>
      <c r="I137" s="10">
        <v>39909424</v>
      </c>
      <c r="J137" s="10">
        <v>1707258</v>
      </c>
      <c r="K137" s="10">
        <v>18882865</v>
      </c>
      <c r="L137" s="10">
        <v>8205794</v>
      </c>
      <c r="M137" s="10">
        <v>6945758</v>
      </c>
      <c r="N137" s="10">
        <v>2042347</v>
      </c>
      <c r="O137" s="10">
        <v>60850</v>
      </c>
      <c r="P137" s="10">
        <v>0</v>
      </c>
      <c r="Q137" s="10">
        <v>37654942</v>
      </c>
      <c r="R137" s="12">
        <v>0.04</v>
      </c>
      <c r="S137" s="10">
        <v>0</v>
      </c>
      <c r="T137" s="24">
        <f>1351452/37594092</f>
        <v>3.5948520847371442E-2</v>
      </c>
      <c r="U137" s="10">
        <v>1341345</v>
      </c>
      <c r="V137" s="10">
        <v>0</v>
      </c>
      <c r="W137" s="10">
        <f>164014+13070+3791</f>
        <v>180875</v>
      </c>
      <c r="X137" s="10">
        <v>754843</v>
      </c>
      <c r="Y137" s="10">
        <v>62897</v>
      </c>
      <c r="Z137" s="10">
        <v>107915</v>
      </c>
      <c r="AA137" s="10">
        <v>157548</v>
      </c>
      <c r="AB137" s="10">
        <v>13863</v>
      </c>
      <c r="AC137" s="10">
        <v>19308</v>
      </c>
      <c r="AD137" s="10">
        <v>26741</v>
      </c>
      <c r="AE137" s="10">
        <f>22286+56598+50311</f>
        <v>129195</v>
      </c>
      <c r="AF137" s="10">
        <v>12845</v>
      </c>
      <c r="AG137" s="10">
        <v>13405</v>
      </c>
      <c r="AH137" s="10">
        <v>54247</v>
      </c>
      <c r="AI137" s="10">
        <v>50</v>
      </c>
      <c r="AJ137" s="10">
        <v>1431736</v>
      </c>
      <c r="AK137" s="10">
        <v>1489053</v>
      </c>
      <c r="AL137" s="10">
        <v>206081</v>
      </c>
      <c r="AM137" s="10">
        <v>4993</v>
      </c>
      <c r="AN137" s="10">
        <v>0</v>
      </c>
      <c r="AO137" s="10">
        <v>129052</v>
      </c>
      <c r="AP137" s="10">
        <v>0</v>
      </c>
      <c r="AQ137" s="10">
        <v>255860</v>
      </c>
      <c r="AR137" s="10">
        <v>12465</v>
      </c>
      <c r="AS137" s="10">
        <v>12465</v>
      </c>
      <c r="AT137" s="10">
        <v>0</v>
      </c>
      <c r="AU137" s="10">
        <v>6795</v>
      </c>
      <c r="AV137" s="10">
        <v>6405</v>
      </c>
      <c r="AW137" s="10">
        <v>0</v>
      </c>
      <c r="AX137" s="10">
        <v>-826</v>
      </c>
      <c r="AY137" s="10">
        <v>-4863</v>
      </c>
      <c r="AZ137" s="10">
        <v>-601</v>
      </c>
      <c r="BA137" s="10">
        <v>-22</v>
      </c>
      <c r="BB137" s="10">
        <f t="shared" si="7"/>
        <v>6888</v>
      </c>
      <c r="BC137" s="6">
        <v>8</v>
      </c>
      <c r="BD137" s="10">
        <v>388</v>
      </c>
      <c r="BE137" s="10">
        <v>29</v>
      </c>
      <c r="BF137" s="10">
        <v>89</v>
      </c>
      <c r="BG137" s="10">
        <v>38</v>
      </c>
    </row>
    <row r="138" spans="1:59">
      <c r="A138" s="6">
        <v>16</v>
      </c>
      <c r="B138" s="6" t="s">
        <v>152</v>
      </c>
      <c r="C138" s="7" t="s">
        <v>420</v>
      </c>
      <c r="D138" s="6" t="s">
        <v>353</v>
      </c>
      <c r="E138" s="6" t="s">
        <v>102</v>
      </c>
      <c r="F138" s="7" t="s">
        <v>112</v>
      </c>
      <c r="G138" s="7" t="s">
        <v>103</v>
      </c>
      <c r="H138" s="10">
        <v>27978455</v>
      </c>
      <c r="I138" s="10">
        <v>28014007</v>
      </c>
      <c r="J138" s="10">
        <v>1619578</v>
      </c>
      <c r="K138" s="10">
        <v>13431592</v>
      </c>
      <c r="L138" s="10">
        <v>5321688</v>
      </c>
      <c r="M138" s="10">
        <v>3530571</v>
      </c>
      <c r="N138" s="10">
        <v>2399406</v>
      </c>
      <c r="O138" s="10">
        <v>46075</v>
      </c>
      <c r="P138" s="10">
        <v>0</v>
      </c>
      <c r="Q138" s="10">
        <v>26088633</v>
      </c>
      <c r="R138" s="12">
        <v>0.05</v>
      </c>
      <c r="S138" s="10">
        <v>0</v>
      </c>
      <c r="T138" s="24">
        <f>1358416/26042558</f>
        <v>5.2161389061704304E-2</v>
      </c>
      <c r="U138" s="10">
        <v>1359301</v>
      </c>
      <c r="V138" s="10">
        <v>0</v>
      </c>
      <c r="W138" s="10">
        <f>35552+1408</f>
        <v>36960</v>
      </c>
      <c r="X138" s="10">
        <v>708633</v>
      </c>
      <c r="Y138" s="10">
        <v>57723</v>
      </c>
      <c r="Z138" s="10">
        <v>55130</v>
      </c>
      <c r="AA138" s="10">
        <v>142091</v>
      </c>
      <c r="AB138" s="10">
        <v>9588</v>
      </c>
      <c r="AC138" s="10">
        <v>50931</v>
      </c>
      <c r="AD138" s="10">
        <v>16000</v>
      </c>
      <c r="AE138" s="10">
        <f>17968+36942+59445</f>
        <v>114355</v>
      </c>
      <c r="AF138" s="10">
        <v>12328</v>
      </c>
      <c r="AG138" s="10">
        <v>16228</v>
      </c>
      <c r="AH138" s="10">
        <v>30010</v>
      </c>
      <c r="AI138" s="10">
        <v>0</v>
      </c>
      <c r="AJ138" s="10">
        <v>1310004</v>
      </c>
      <c r="AK138" s="10">
        <v>1317096</v>
      </c>
      <c r="AL138" s="10">
        <v>137965</v>
      </c>
      <c r="AM138" s="10">
        <v>1800</v>
      </c>
      <c r="AN138" s="10">
        <v>0</v>
      </c>
      <c r="AO138" s="10">
        <v>129052</v>
      </c>
      <c r="AP138" s="10">
        <v>0</v>
      </c>
      <c r="AQ138" s="10">
        <v>143349</v>
      </c>
      <c r="AR138" s="10">
        <v>0</v>
      </c>
      <c r="AS138" s="10">
        <v>0</v>
      </c>
      <c r="AT138" s="10">
        <v>0</v>
      </c>
      <c r="AU138" s="10">
        <v>5069</v>
      </c>
      <c r="AV138" s="10">
        <v>6808</v>
      </c>
      <c r="AW138" s="10">
        <f>1+59-2</f>
        <v>58</v>
      </c>
      <c r="AX138" s="10">
        <v>-713</v>
      </c>
      <c r="AY138" s="10">
        <v>-4737</v>
      </c>
      <c r="AZ138" s="10">
        <v>-466</v>
      </c>
      <c r="BA138" s="10">
        <v>0</v>
      </c>
      <c r="BB138" s="10">
        <f t="shared" si="7"/>
        <v>6019</v>
      </c>
      <c r="BC138" s="6">
        <v>0</v>
      </c>
      <c r="BD138" s="10">
        <v>182</v>
      </c>
      <c r="BE138" s="10">
        <v>12</v>
      </c>
      <c r="BF138" s="10">
        <v>108</v>
      </c>
      <c r="BG138" s="10">
        <v>138</v>
      </c>
    </row>
    <row r="139" spans="1:59">
      <c r="A139" s="6">
        <v>16</v>
      </c>
      <c r="B139" s="6" t="s">
        <v>187</v>
      </c>
      <c r="C139" s="7" t="s">
        <v>196</v>
      </c>
      <c r="D139" s="6" t="s">
        <v>353</v>
      </c>
      <c r="E139" s="6" t="s">
        <v>102</v>
      </c>
      <c r="F139" s="7" t="s">
        <v>112</v>
      </c>
      <c r="G139" s="7" t="s">
        <v>103</v>
      </c>
      <c r="H139" s="10">
        <v>26025091</v>
      </c>
      <c r="I139" s="10">
        <v>26116516</v>
      </c>
      <c r="J139" s="10">
        <v>1863116</v>
      </c>
      <c r="K139" s="10">
        <v>11548310</v>
      </c>
      <c r="L139" s="10">
        <v>4313689</v>
      </c>
      <c r="M139" s="10">
        <v>3647381</v>
      </c>
      <c r="N139" s="10">
        <v>2549856</v>
      </c>
      <c r="O139" s="10">
        <v>82999</v>
      </c>
      <c r="P139" s="10">
        <v>0</v>
      </c>
      <c r="Q139" s="10">
        <v>23662701</v>
      </c>
      <c r="R139" s="12">
        <v>0.13</v>
      </c>
      <c r="S139" s="10">
        <v>0</v>
      </c>
      <c r="T139" s="24">
        <f>1518295/22990500</f>
        <v>6.604010352101955E-2</v>
      </c>
      <c r="U139" s="10">
        <v>1520466</v>
      </c>
      <c r="V139" s="10">
        <v>0</v>
      </c>
      <c r="W139" s="10">
        <f>91425+8604</f>
        <v>100029</v>
      </c>
      <c r="X139" s="10">
        <v>721165</v>
      </c>
      <c r="Y139" s="10">
        <v>65758</v>
      </c>
      <c r="Z139" s="10">
        <v>118415</v>
      </c>
      <c r="AA139" s="10">
        <f>193839+175</f>
        <v>194014</v>
      </c>
      <c r="AB139" s="10">
        <v>8865</v>
      </c>
      <c r="AC139" s="10">
        <v>20540</v>
      </c>
      <c r="AD139" s="10">
        <v>25192</v>
      </c>
      <c r="AE139" s="10">
        <f>18038+42003+62212</f>
        <v>122253</v>
      </c>
      <c r="AF139" s="10">
        <v>16379</v>
      </c>
      <c r="AG139" s="10">
        <v>28291</v>
      </c>
      <c r="AH139" s="10">
        <v>72941</v>
      </c>
      <c r="AI139" s="10">
        <v>0</v>
      </c>
      <c r="AJ139" s="10">
        <v>1646492</v>
      </c>
      <c r="AK139" s="10">
        <v>1650597</v>
      </c>
      <c r="AL139" s="10">
        <v>310538</v>
      </c>
      <c r="AM139" s="10">
        <v>0</v>
      </c>
      <c r="AN139" s="10">
        <v>0</v>
      </c>
      <c r="AO139" s="10">
        <v>129052</v>
      </c>
      <c r="AP139" s="10">
        <v>0</v>
      </c>
      <c r="AQ139" s="10">
        <v>238738</v>
      </c>
      <c r="AR139" s="10">
        <v>0</v>
      </c>
      <c r="AS139" s="10">
        <v>0</v>
      </c>
      <c r="AT139" s="10">
        <v>0</v>
      </c>
      <c r="AU139" s="10">
        <v>4321</v>
      </c>
      <c r="AV139" s="10">
        <v>7884</v>
      </c>
      <c r="AW139" s="10">
        <f>4+82-6+82</f>
        <v>162</v>
      </c>
      <c r="AX139" s="10">
        <v>-809</v>
      </c>
      <c r="AY139" s="10">
        <v>-5864</v>
      </c>
      <c r="AZ139" s="10">
        <v>-399</v>
      </c>
      <c r="BA139" s="10">
        <v>-2</v>
      </c>
      <c r="BB139" s="10">
        <f t="shared" si="7"/>
        <v>5293</v>
      </c>
      <c r="BC139" s="6">
        <v>7</v>
      </c>
      <c r="BD139" s="10">
        <v>214</v>
      </c>
      <c r="BE139" s="10">
        <v>19</v>
      </c>
      <c r="BF139" s="10">
        <v>88</v>
      </c>
      <c r="BG139" s="10">
        <v>72</v>
      </c>
    </row>
    <row r="140" spans="1:59">
      <c r="A140" s="6">
        <v>17</v>
      </c>
      <c r="B140" s="6" t="s">
        <v>90</v>
      </c>
      <c r="C140" s="7" t="s">
        <v>373</v>
      </c>
      <c r="D140" s="6" t="s">
        <v>24</v>
      </c>
      <c r="E140" s="6" t="s">
        <v>102</v>
      </c>
      <c r="F140" s="7" t="s">
        <v>441</v>
      </c>
      <c r="G140" s="7" t="s">
        <v>103</v>
      </c>
      <c r="H140" s="10">
        <v>30759557</v>
      </c>
      <c r="I140">
        <v>30864594</v>
      </c>
      <c r="J140" s="10">
        <v>1195571</v>
      </c>
      <c r="K140" s="10">
        <v>15420814</v>
      </c>
      <c r="L140" s="10">
        <v>5134675</v>
      </c>
      <c r="M140" s="10">
        <v>4815619</v>
      </c>
      <c r="N140" s="10">
        <v>2226965</v>
      </c>
      <c r="O140" s="10">
        <v>0</v>
      </c>
      <c r="P140" s="10">
        <v>0</v>
      </c>
      <c r="Q140" s="10">
        <v>29057836</v>
      </c>
      <c r="R140" s="12">
        <v>0.11</v>
      </c>
      <c r="S140" s="10">
        <v>0</v>
      </c>
      <c r="T140" s="24">
        <f>1442254/29057836</f>
        <v>4.9633909421197088E-2</v>
      </c>
      <c r="U140" s="10">
        <v>1442867</v>
      </c>
      <c r="V140" s="10">
        <v>0</v>
      </c>
      <c r="W140" s="10">
        <f>105037+2887</f>
        <v>107924</v>
      </c>
      <c r="X140" s="10">
        <v>731387</v>
      </c>
      <c r="Y140" s="10">
        <v>60084</v>
      </c>
      <c r="Z140" s="10">
        <v>84763</v>
      </c>
      <c r="AA140" s="10">
        <f>92844+0</f>
        <v>92844</v>
      </c>
      <c r="AB140" s="10">
        <v>3270</v>
      </c>
      <c r="AC140" s="10">
        <v>17628</v>
      </c>
      <c r="AD140" s="10">
        <v>1250</v>
      </c>
      <c r="AE140" s="10">
        <f>11941+55008+61176</f>
        <v>128125</v>
      </c>
      <c r="AF140" s="10">
        <v>11417</v>
      </c>
      <c r="AG140" s="10">
        <v>17008</v>
      </c>
      <c r="AH140" s="10">
        <v>8910</v>
      </c>
      <c r="AI140" s="10">
        <v>0</v>
      </c>
      <c r="AJ140" s="10">
        <v>1225002</v>
      </c>
      <c r="AK140" s="10">
        <v>1279022</v>
      </c>
      <c r="AL140" s="10">
        <v>108664</v>
      </c>
      <c r="AM140" s="10">
        <v>0</v>
      </c>
      <c r="AN140" s="10">
        <v>0</v>
      </c>
      <c r="AO140" s="10">
        <v>129052</v>
      </c>
      <c r="AP140" s="10">
        <v>0</v>
      </c>
      <c r="AQ140" s="10">
        <v>330921</v>
      </c>
      <c r="AR140" s="10">
        <v>122667</v>
      </c>
      <c r="AS140" s="10">
        <v>122667</v>
      </c>
      <c r="AT140" s="10">
        <v>0</v>
      </c>
      <c r="AU140" s="10">
        <v>5961</v>
      </c>
      <c r="AV140" s="10">
        <v>3310</v>
      </c>
      <c r="AW140" s="10">
        <f>19-5</f>
        <v>14</v>
      </c>
      <c r="AX140" s="10">
        <v>-258</v>
      </c>
      <c r="AY140" s="10">
        <v>-1793</v>
      </c>
      <c r="AZ140" s="10">
        <v>-822</v>
      </c>
      <c r="BA140" s="10">
        <v>-3</v>
      </c>
      <c r="BB140" s="10">
        <f t="shared" ref="BB140:BB171" si="8">SUM(AU140:BA140)</f>
        <v>6409</v>
      </c>
      <c r="BC140" s="6">
        <v>18</v>
      </c>
      <c r="BD140" s="10">
        <v>176</v>
      </c>
      <c r="BE140" s="10">
        <v>67</v>
      </c>
      <c r="BF140" s="10">
        <v>443</v>
      </c>
      <c r="BG140" s="10">
        <v>136</v>
      </c>
    </row>
    <row r="141" spans="1:59">
      <c r="A141" s="6">
        <v>17</v>
      </c>
      <c r="B141" s="6" t="s">
        <v>97</v>
      </c>
      <c r="C141" s="7" t="s">
        <v>157</v>
      </c>
      <c r="D141" s="6" t="s">
        <v>229</v>
      </c>
      <c r="E141" s="6" t="s">
        <v>102</v>
      </c>
      <c r="F141" s="7" t="s">
        <v>441</v>
      </c>
      <c r="G141" s="7" t="s">
        <v>103</v>
      </c>
      <c r="H141" s="10">
        <v>24241645</v>
      </c>
      <c r="I141" s="10">
        <v>24309802</v>
      </c>
      <c r="J141" s="10">
        <v>1041226</v>
      </c>
      <c r="K141" s="10">
        <v>10326099</v>
      </c>
      <c r="L141" s="10">
        <v>5285796</v>
      </c>
      <c r="M141" s="10">
        <v>4641238</v>
      </c>
      <c r="N141" s="10">
        <v>1625710</v>
      </c>
      <c r="O141" s="10">
        <v>0</v>
      </c>
      <c r="P141" s="10">
        <v>0</v>
      </c>
      <c r="Q141" s="10">
        <v>23075903</v>
      </c>
      <c r="R141" s="12">
        <v>7.0999999999999994E-2</v>
      </c>
      <c r="S141" s="10">
        <v>0</v>
      </c>
      <c r="T141" s="24">
        <f>1190038/23070375</f>
        <v>5.1582949995394527E-2</v>
      </c>
      <c r="U141" s="10">
        <v>1190323</v>
      </c>
      <c r="V141" s="10">
        <v>0</v>
      </c>
      <c r="W141" s="10">
        <f>68157+8486</f>
        <v>76643</v>
      </c>
      <c r="X141" s="10">
        <v>646282</v>
      </c>
      <c r="Y141" s="10">
        <v>58054</v>
      </c>
      <c r="Z141" s="10">
        <v>76557</v>
      </c>
      <c r="AA141" s="10">
        <f>121168+0</f>
        <v>121168</v>
      </c>
      <c r="AB141" s="10">
        <v>4947</v>
      </c>
      <c r="AC141" s="10">
        <v>25021</v>
      </c>
      <c r="AD141" s="10">
        <v>4473</v>
      </c>
      <c r="AE141" s="10">
        <f>17883+58188+48537</f>
        <v>124608</v>
      </c>
      <c r="AF141" s="10">
        <v>12437</v>
      </c>
      <c r="AG141" s="10">
        <v>1250</v>
      </c>
      <c r="AH141" s="10">
        <v>50414</v>
      </c>
      <c r="AI141" s="10">
        <v>0</v>
      </c>
      <c r="AJ141" s="10">
        <v>1182915</v>
      </c>
      <c r="AK141" s="10">
        <v>1254458</v>
      </c>
      <c r="AL141" s="10">
        <v>200370</v>
      </c>
      <c r="AM141" s="10">
        <v>483</v>
      </c>
      <c r="AN141" s="10">
        <v>0</v>
      </c>
      <c r="AO141" s="10">
        <v>129052</v>
      </c>
      <c r="AP141" s="10">
        <v>0</v>
      </c>
      <c r="AQ141" s="10">
        <v>161270</v>
      </c>
      <c r="AR141" s="10">
        <v>0</v>
      </c>
      <c r="AS141" s="10">
        <v>0</v>
      </c>
      <c r="AT141" s="10">
        <v>0</v>
      </c>
      <c r="AU141" s="10">
        <v>4755</v>
      </c>
      <c r="AV141" s="10">
        <v>2111</v>
      </c>
      <c r="AW141" s="10">
        <f>2+7-32</f>
        <v>-23</v>
      </c>
      <c r="AX141" s="10">
        <v>-156</v>
      </c>
      <c r="AY141" s="10">
        <v>-795</v>
      </c>
      <c r="AZ141" s="10">
        <v>-968</v>
      </c>
      <c r="BA141" s="10">
        <v>-11</v>
      </c>
      <c r="BB141" s="10">
        <f t="shared" si="8"/>
        <v>4913</v>
      </c>
      <c r="BC141" s="6">
        <v>95</v>
      </c>
      <c r="BD141" s="10">
        <v>107</v>
      </c>
      <c r="BE141" s="10">
        <v>35</v>
      </c>
      <c r="BF141" s="10">
        <v>650</v>
      </c>
      <c r="BG141" s="10">
        <v>139</v>
      </c>
    </row>
    <row r="142" spans="1:59">
      <c r="A142" s="6">
        <v>17</v>
      </c>
      <c r="B142" s="6" t="s">
        <v>171</v>
      </c>
      <c r="C142" s="6" t="s">
        <v>174</v>
      </c>
      <c r="D142" s="6" t="s">
        <v>105</v>
      </c>
      <c r="E142" s="6" t="s">
        <v>102</v>
      </c>
      <c r="F142" s="7" t="s">
        <v>441</v>
      </c>
      <c r="G142" s="7" t="s">
        <v>103</v>
      </c>
      <c r="H142" s="10">
        <v>37778608</v>
      </c>
      <c r="I142" s="10">
        <v>37878883</v>
      </c>
      <c r="J142" s="10">
        <v>1423347</v>
      </c>
      <c r="K142" s="10">
        <v>16925189</v>
      </c>
      <c r="L142" s="10">
        <v>6488207</v>
      </c>
      <c r="M142" s="10">
        <v>6115746</v>
      </c>
      <c r="N142" s="10">
        <v>4645904</v>
      </c>
      <c r="O142" s="10">
        <v>43553</v>
      </c>
      <c r="P142" s="10">
        <v>0</v>
      </c>
      <c r="Q142" s="10">
        <v>35899713</v>
      </c>
      <c r="R142" s="12">
        <v>8.5000000000000006E-2</v>
      </c>
      <c r="S142" s="10">
        <v>0</v>
      </c>
      <c r="T142" s="24">
        <f>1644100/35856160</f>
        <v>4.585265125992298E-2</v>
      </c>
      <c r="U142" s="10">
        <v>1644595</v>
      </c>
      <c r="V142" s="10">
        <v>0</v>
      </c>
      <c r="W142" s="2">
        <v>100275</v>
      </c>
      <c r="X142" s="10">
        <v>925056</v>
      </c>
      <c r="Y142" s="10">
        <v>73815</v>
      </c>
      <c r="Z142" s="10">
        <v>112049</v>
      </c>
      <c r="AA142" s="10">
        <f>209400+0</f>
        <v>209400</v>
      </c>
      <c r="AB142" s="10">
        <v>0</v>
      </c>
      <c r="AC142" s="10">
        <v>23357</v>
      </c>
      <c r="AD142" s="10">
        <v>1304</v>
      </c>
      <c r="AE142" s="10">
        <f>16536+74772+48651</f>
        <v>139959</v>
      </c>
      <c r="AF142" s="10">
        <v>19082</v>
      </c>
      <c r="AG142" s="10">
        <v>48793</v>
      </c>
      <c r="AH142" s="10">
        <v>57061</v>
      </c>
      <c r="AI142" s="10">
        <v>0</v>
      </c>
      <c r="AJ142" s="10">
        <v>1702768</v>
      </c>
      <c r="AK142" s="10">
        <v>1723931</v>
      </c>
      <c r="AL142" s="10">
        <v>255012</v>
      </c>
      <c r="AM142" s="10">
        <v>0</v>
      </c>
      <c r="AN142" s="10">
        <v>0</v>
      </c>
      <c r="AO142" s="10">
        <v>129052</v>
      </c>
      <c r="AP142" s="10">
        <v>0</v>
      </c>
      <c r="AQ142" s="10">
        <v>246528</v>
      </c>
      <c r="AR142" s="10">
        <v>0</v>
      </c>
      <c r="AS142" s="10">
        <v>0</v>
      </c>
      <c r="AT142" s="10">
        <v>0</v>
      </c>
      <c r="AU142" s="10">
        <v>7802</v>
      </c>
      <c r="AV142" s="10">
        <v>3570</v>
      </c>
      <c r="AW142" s="10">
        <f>1+35-1</f>
        <v>35</v>
      </c>
      <c r="AX142" s="10">
        <v>-246</v>
      </c>
      <c r="AY142" s="10">
        <v>-1542</v>
      </c>
      <c r="AZ142" s="10">
        <v>-1280</v>
      </c>
      <c r="BA142" s="10">
        <f>-13</f>
        <v>-13</v>
      </c>
      <c r="BB142" s="10">
        <f t="shared" si="8"/>
        <v>8326</v>
      </c>
      <c r="BC142" s="6">
        <v>191</v>
      </c>
      <c r="BD142" s="10">
        <v>117</v>
      </c>
      <c r="BE142" s="10">
        <v>25</v>
      </c>
      <c r="BF142" s="10">
        <v>1121</v>
      </c>
      <c r="BG142" s="10">
        <v>17</v>
      </c>
    </row>
    <row r="143" spans="1:59">
      <c r="A143" s="6">
        <v>17</v>
      </c>
      <c r="B143" s="6" t="s">
        <v>204</v>
      </c>
      <c r="C143" s="7" t="s">
        <v>361</v>
      </c>
      <c r="D143" s="6" t="s">
        <v>233</v>
      </c>
      <c r="E143" s="6" t="s">
        <v>102</v>
      </c>
      <c r="F143" s="7" t="s">
        <v>192</v>
      </c>
      <c r="G143" s="7" t="s">
        <v>103</v>
      </c>
      <c r="H143" s="10">
        <v>13180578</v>
      </c>
      <c r="I143" s="10">
        <v>13281069</v>
      </c>
      <c r="J143" s="10">
        <v>578937</v>
      </c>
      <c r="K143" s="10">
        <v>7445854</v>
      </c>
      <c r="L143" s="10">
        <v>1517633</v>
      </c>
      <c r="M143" s="10">
        <v>2348729</v>
      </c>
      <c r="N143" s="10">
        <v>657493</v>
      </c>
      <c r="O143" s="10">
        <v>45712</v>
      </c>
      <c r="P143" s="10">
        <v>0</v>
      </c>
      <c r="Q143" s="10">
        <v>12845717</v>
      </c>
      <c r="R143" s="12">
        <v>0.11</v>
      </c>
      <c r="S143" s="10">
        <v>0</v>
      </c>
      <c r="T143" s="24">
        <f>830296/12730535</f>
        <v>6.5220825362013457E-2</v>
      </c>
      <c r="U143" s="10">
        <v>830296</v>
      </c>
      <c r="V143" s="10">
        <v>0</v>
      </c>
      <c r="W143" s="10">
        <f>100491+0+1903</f>
        <v>102394</v>
      </c>
      <c r="X143" s="10">
        <v>373189</v>
      </c>
      <c r="Y143" s="10">
        <v>29700</v>
      </c>
      <c r="Z143" s="10">
        <v>58382</v>
      </c>
      <c r="AA143" s="10">
        <f>45811+7054</f>
        <v>52865</v>
      </c>
      <c r="AB143" s="10">
        <v>15250</v>
      </c>
      <c r="AC143" s="10">
        <v>64901</v>
      </c>
      <c r="AD143" s="10">
        <v>43496</v>
      </c>
      <c r="AE143" s="10">
        <f>8682+54702+57002</f>
        <v>120386</v>
      </c>
      <c r="AF143" s="10">
        <v>8834</v>
      </c>
      <c r="AG143" s="10">
        <v>1284</v>
      </c>
      <c r="AH143" s="10">
        <v>2499</v>
      </c>
      <c r="AI143" s="10">
        <v>41040</v>
      </c>
      <c r="AJ143" s="10">
        <v>826589</v>
      </c>
      <c r="AK143" s="10">
        <v>856446</v>
      </c>
      <c r="AL143" s="10">
        <v>104267</v>
      </c>
      <c r="AM143" s="10">
        <v>0</v>
      </c>
      <c r="AN143" s="10">
        <v>0</v>
      </c>
      <c r="AO143" s="10">
        <v>129052</v>
      </c>
      <c r="AP143" s="10">
        <v>0</v>
      </c>
      <c r="AQ143" s="10">
        <v>127028</v>
      </c>
      <c r="AR143" s="10">
        <v>0</v>
      </c>
      <c r="AS143" s="10">
        <v>0</v>
      </c>
      <c r="AT143" s="10">
        <v>0</v>
      </c>
      <c r="AU143" s="10">
        <v>2150</v>
      </c>
      <c r="AV143" s="10">
        <v>1141</v>
      </c>
      <c r="AW143" s="10">
        <v>0</v>
      </c>
      <c r="AX143" s="10">
        <v>-188</v>
      </c>
      <c r="AY143" s="10">
        <v>-691</v>
      </c>
      <c r="AZ143" s="10">
        <v>-354</v>
      </c>
      <c r="BA143" s="10">
        <v>-3</v>
      </c>
      <c r="BB143" s="10">
        <f t="shared" si="8"/>
        <v>2055</v>
      </c>
      <c r="BC143" s="6">
        <v>46</v>
      </c>
      <c r="BD143" s="10">
        <v>168</v>
      </c>
      <c r="BE143" s="10">
        <v>20</v>
      </c>
      <c r="BF143" s="10">
        <v>94</v>
      </c>
      <c r="BG143" s="10">
        <v>75</v>
      </c>
    </row>
    <row r="144" spans="1:59">
      <c r="A144" s="6">
        <v>17</v>
      </c>
      <c r="B144" s="6" t="s">
        <v>349</v>
      </c>
      <c r="C144" s="7" t="s">
        <v>342</v>
      </c>
      <c r="D144" s="6" t="s">
        <v>536</v>
      </c>
      <c r="E144" s="6" t="s">
        <v>102</v>
      </c>
      <c r="F144" s="7" t="s">
        <v>192</v>
      </c>
      <c r="G144" s="7" t="s">
        <v>103</v>
      </c>
      <c r="H144" s="10">
        <v>24044761</v>
      </c>
      <c r="I144" s="10">
        <v>24135206</v>
      </c>
      <c r="J144" s="10">
        <v>1636879</v>
      </c>
      <c r="K144" s="10">
        <v>11385321</v>
      </c>
      <c r="L144" s="10">
        <v>3065185</v>
      </c>
      <c r="M144" s="10">
        <v>4070629</v>
      </c>
      <c r="N144" s="10">
        <v>1091258</v>
      </c>
      <c r="O144" s="10">
        <v>135386</v>
      </c>
      <c r="P144" s="10">
        <v>0</v>
      </c>
      <c r="Q144" s="10">
        <v>21019609</v>
      </c>
      <c r="R144" s="12">
        <v>0.15</v>
      </c>
      <c r="S144" s="10">
        <v>0</v>
      </c>
      <c r="T144" s="24">
        <f>1218471/20884223</f>
        <v>5.8344090656377308E-2</v>
      </c>
      <c r="U144" s="10">
        <v>1216042</v>
      </c>
      <c r="V144" s="10">
        <v>0</v>
      </c>
      <c r="W144" s="10">
        <f>90445+1960+4568</f>
        <v>96973</v>
      </c>
      <c r="X144" s="10">
        <v>760839</v>
      </c>
      <c r="Y144" s="10">
        <v>63819</v>
      </c>
      <c r="Z144" s="10">
        <v>90603</v>
      </c>
      <c r="AA144" s="10">
        <v>97427</v>
      </c>
      <c r="AB144" s="10">
        <v>8439</v>
      </c>
      <c r="AC144" s="10">
        <v>19060</v>
      </c>
      <c r="AD144" s="10">
        <v>10837</v>
      </c>
      <c r="AE144" s="10">
        <f>28084+68795+50895</f>
        <v>147774</v>
      </c>
      <c r="AF144" s="10">
        <v>13745</v>
      </c>
      <c r="AG144" s="10">
        <v>4042</v>
      </c>
      <c r="AH144" s="10">
        <v>67871</v>
      </c>
      <c r="AI144" s="10">
        <v>0</v>
      </c>
      <c r="AJ144" s="10">
        <v>1373492</v>
      </c>
      <c r="AK144" s="10">
        <v>1413205</v>
      </c>
      <c r="AL144" s="10">
        <v>183821</v>
      </c>
      <c r="AM144" s="10">
        <v>760</v>
      </c>
      <c r="AN144" s="10">
        <v>0</v>
      </c>
      <c r="AO144" s="10">
        <v>129052</v>
      </c>
      <c r="AP144" s="10">
        <v>0</v>
      </c>
      <c r="AQ144" s="10">
        <v>183277</v>
      </c>
      <c r="AR144" s="10">
        <v>0</v>
      </c>
      <c r="AS144" s="10">
        <v>0</v>
      </c>
      <c r="AT144" s="10">
        <v>0</v>
      </c>
      <c r="AU144" s="10">
        <v>5293</v>
      </c>
      <c r="AV144" s="10">
        <v>2995</v>
      </c>
      <c r="AW144" s="10">
        <f>31-2</f>
        <v>29</v>
      </c>
      <c r="AX144" s="10">
        <v>-478</v>
      </c>
      <c r="AY144" s="10">
        <v>-1792</v>
      </c>
      <c r="AZ144" s="10">
        <v>-360</v>
      </c>
      <c r="BA144" s="10">
        <v>-3</v>
      </c>
      <c r="BB144" s="10">
        <f t="shared" si="8"/>
        <v>5684</v>
      </c>
      <c r="BC144" s="6">
        <v>13</v>
      </c>
      <c r="BD144" s="10">
        <v>222</v>
      </c>
      <c r="BE144" s="10">
        <v>26</v>
      </c>
      <c r="BF144" s="10">
        <v>87</v>
      </c>
      <c r="BG144" s="10">
        <v>23</v>
      </c>
    </row>
    <row r="145" spans="1:59">
      <c r="A145" s="6">
        <v>17</v>
      </c>
      <c r="B145" s="6" t="s">
        <v>378</v>
      </c>
      <c r="C145" s="7" t="s">
        <v>316</v>
      </c>
      <c r="D145" s="6" t="s">
        <v>337</v>
      </c>
      <c r="E145" s="6" t="s">
        <v>446</v>
      </c>
      <c r="F145" s="7"/>
      <c r="G145" s="7" t="s">
        <v>428</v>
      </c>
      <c r="H145" s="10">
        <v>21704665</v>
      </c>
      <c r="I145" s="10">
        <v>21864168</v>
      </c>
      <c r="J145" s="10">
        <v>933031</v>
      </c>
      <c r="K145" s="10">
        <v>8023639</v>
      </c>
      <c r="L145" s="10">
        <v>3327819</v>
      </c>
      <c r="M145" s="10">
        <v>4217605</v>
      </c>
      <c r="N145" s="10">
        <v>3541554</v>
      </c>
      <c r="O145" s="10">
        <v>56509</v>
      </c>
      <c r="P145" s="10">
        <v>0</v>
      </c>
      <c r="Q145" s="10">
        <v>20324324</v>
      </c>
      <c r="R145" s="12">
        <v>0.1222</v>
      </c>
      <c r="S145" s="10">
        <v>0</v>
      </c>
      <c r="T145" s="24">
        <f>1037540/20140638</f>
        <v>5.151475340552767E-2</v>
      </c>
      <c r="U145" s="10">
        <v>1035458</v>
      </c>
      <c r="V145" s="10">
        <v>2491</v>
      </c>
      <c r="W145" s="10">
        <f>159503+8095</f>
        <v>167598</v>
      </c>
      <c r="X145" s="10">
        <v>666458</v>
      </c>
      <c r="Y145" s="10">
        <v>62213</v>
      </c>
      <c r="Z145" s="10">
        <v>70618</v>
      </c>
      <c r="AA145" s="10">
        <f>104715+0</f>
        <v>104715</v>
      </c>
      <c r="AB145" s="10">
        <v>1129</v>
      </c>
      <c r="AC145" s="10">
        <v>16296</v>
      </c>
      <c r="AD145" s="10">
        <v>22857</v>
      </c>
      <c r="AE145" s="10">
        <f>16396+34291+45036</f>
        <v>95723</v>
      </c>
      <c r="AF145" s="10">
        <v>6808</v>
      </c>
      <c r="AG145" s="10">
        <v>7821</v>
      </c>
      <c r="AH145" s="10">
        <v>24227</v>
      </c>
      <c r="AI145" s="10">
        <v>0</v>
      </c>
      <c r="AJ145" s="10">
        <v>1139814</v>
      </c>
      <c r="AK145" s="10">
        <v>1152071</v>
      </c>
      <c r="AL145" s="10">
        <v>175324</v>
      </c>
      <c r="AM145" s="10">
        <v>124</v>
      </c>
      <c r="AN145" s="10">
        <v>0</v>
      </c>
      <c r="AO145" s="10">
        <v>129052</v>
      </c>
      <c r="AP145" s="10">
        <v>0</v>
      </c>
      <c r="AQ145" s="10">
        <v>166207</v>
      </c>
      <c r="AR145" s="10">
        <v>0</v>
      </c>
      <c r="AS145" s="10">
        <v>0</v>
      </c>
      <c r="AT145" s="10">
        <v>0</v>
      </c>
      <c r="AU145" s="10">
        <v>5961</v>
      </c>
      <c r="AV145" s="10">
        <v>3514</v>
      </c>
      <c r="AW145" s="10">
        <f>21-1</f>
        <v>20</v>
      </c>
      <c r="AX145" s="10">
        <v>-263</v>
      </c>
      <c r="AY145" s="10">
        <v>-1272</v>
      </c>
      <c r="AZ145" s="10">
        <v>-523</v>
      </c>
      <c r="BA145" s="10">
        <v>0</v>
      </c>
      <c r="BB145" s="10">
        <f t="shared" si="8"/>
        <v>7437</v>
      </c>
      <c r="BC145" s="6">
        <v>43</v>
      </c>
      <c r="BD145" s="10">
        <v>76</v>
      </c>
      <c r="BE145" s="10">
        <v>38</v>
      </c>
      <c r="BF145" s="10">
        <v>221</v>
      </c>
      <c r="BG145" s="10">
        <v>188</v>
      </c>
    </row>
    <row r="146" spans="1:59">
      <c r="A146" s="6">
        <v>17</v>
      </c>
      <c r="B146" s="6" t="s">
        <v>387</v>
      </c>
      <c r="C146" s="7" t="s">
        <v>390</v>
      </c>
      <c r="D146" s="6" t="s">
        <v>406</v>
      </c>
      <c r="E146" s="6" t="s">
        <v>102</v>
      </c>
      <c r="F146" s="7" t="s">
        <v>192</v>
      </c>
      <c r="G146" s="7" t="s">
        <v>103</v>
      </c>
      <c r="H146" s="10">
        <v>17757598</v>
      </c>
      <c r="I146" s="10">
        <v>17825906</v>
      </c>
      <c r="J146" s="10">
        <v>583305</v>
      </c>
      <c r="K146" s="10">
        <v>10986198</v>
      </c>
      <c r="L146" s="10">
        <v>1864507</v>
      </c>
      <c r="M146" s="10">
        <v>2527971</v>
      </c>
      <c r="N146" s="10">
        <v>709793</v>
      </c>
      <c r="O146" s="10">
        <v>30661</v>
      </c>
      <c r="P146" s="10">
        <v>0</v>
      </c>
      <c r="Q146" s="10">
        <v>17040959</v>
      </c>
      <c r="R146" s="12">
        <v>3.5999999999999997E-2</v>
      </c>
      <c r="S146" s="10">
        <v>4884196</v>
      </c>
      <c r="T146" s="24">
        <f>924161/12126102</f>
        <v>7.6212537219297674E-2</v>
      </c>
      <c r="U146" s="10">
        <v>924907</v>
      </c>
      <c r="V146" s="10">
        <v>0</v>
      </c>
      <c r="W146" s="10">
        <f>66554+0+810</f>
        <v>67364</v>
      </c>
      <c r="X146" s="10">
        <v>492547</v>
      </c>
      <c r="Y146" s="10">
        <v>40506</v>
      </c>
      <c r="Z146" s="10">
        <v>44457</v>
      </c>
      <c r="AA146" s="10">
        <f>91692+6773</f>
        <v>98465</v>
      </c>
      <c r="AB146" s="10">
        <v>4200</v>
      </c>
      <c r="AC146" s="10">
        <v>15002</v>
      </c>
      <c r="AD146" s="10">
        <v>3233</v>
      </c>
      <c r="AE146" s="10">
        <f>21383+37766+50006</f>
        <v>109155</v>
      </c>
      <c r="AF146" s="10">
        <v>9618</v>
      </c>
      <c r="AG146" s="10">
        <v>11280</v>
      </c>
      <c r="AH146" s="10">
        <v>16264</v>
      </c>
      <c r="AI146" s="10">
        <v>0</v>
      </c>
      <c r="AJ146" s="10">
        <v>898018</v>
      </c>
      <c r="AK146" s="10">
        <v>938724</v>
      </c>
      <c r="AL146" s="10">
        <v>140167</v>
      </c>
      <c r="AM146" s="10">
        <v>67</v>
      </c>
      <c r="AN146" s="10">
        <v>0</v>
      </c>
      <c r="AO146" s="10">
        <v>129052</v>
      </c>
      <c r="AP146" s="10">
        <v>0</v>
      </c>
      <c r="AQ146" s="10">
        <v>136029</v>
      </c>
      <c r="AR146" s="10">
        <v>0</v>
      </c>
      <c r="AS146" s="10">
        <v>0</v>
      </c>
      <c r="AT146" s="10">
        <v>0</v>
      </c>
      <c r="AU146" s="10">
        <v>3029</v>
      </c>
      <c r="AV146" s="10">
        <v>1018</v>
      </c>
      <c r="AW146" s="10">
        <v>0</v>
      </c>
      <c r="AX146" s="10">
        <v>-263</v>
      </c>
      <c r="AY146" s="10">
        <v>-574</v>
      </c>
      <c r="AZ146" s="10">
        <v>-585</v>
      </c>
      <c r="BA146" s="10"/>
      <c r="BB146" s="10">
        <f t="shared" si="8"/>
        <v>2625</v>
      </c>
      <c r="BC146" s="6">
        <v>41</v>
      </c>
      <c r="BD146" s="10">
        <v>168</v>
      </c>
      <c r="BE146" s="10">
        <v>28</v>
      </c>
      <c r="BF146" s="10">
        <v>245</v>
      </c>
      <c r="BG146" s="10">
        <v>144</v>
      </c>
    </row>
    <row r="147" spans="1:59">
      <c r="A147" s="6">
        <v>17</v>
      </c>
      <c r="B147" s="6" t="s">
        <v>548</v>
      </c>
      <c r="C147" s="7" t="s">
        <v>33</v>
      </c>
      <c r="D147" s="6" t="s">
        <v>511</v>
      </c>
      <c r="E147" s="6" t="s">
        <v>446</v>
      </c>
      <c r="F147" s="7"/>
      <c r="G147" s="7" t="s">
        <v>428</v>
      </c>
      <c r="H147" s="10">
        <v>4396331</v>
      </c>
      <c r="I147" s="10">
        <v>4421379</v>
      </c>
      <c r="J147" s="10">
        <v>211456</v>
      </c>
      <c r="K147" s="10">
        <v>1403332</v>
      </c>
      <c r="L147" s="10">
        <v>643084</v>
      </c>
      <c r="M147" s="10">
        <v>1173275</v>
      </c>
      <c r="N147" s="10">
        <v>522235</v>
      </c>
      <c r="O147" s="10">
        <v>5946</v>
      </c>
      <c r="P147" s="10">
        <v>0</v>
      </c>
      <c r="Q147" s="10">
        <v>4086586</v>
      </c>
      <c r="R147" s="12">
        <v>0.15</v>
      </c>
      <c r="S147" s="10">
        <v>0</v>
      </c>
      <c r="T147" s="24">
        <f>339019/4080640</f>
        <v>8.3079860021957344E-2</v>
      </c>
      <c r="U147" s="10">
        <v>338714</v>
      </c>
      <c r="V147" s="10">
        <v>0</v>
      </c>
      <c r="W147" s="2">
        <f>20741+4967+556</f>
        <v>26264</v>
      </c>
      <c r="X147" s="10">
        <v>122854</v>
      </c>
      <c r="Y147" s="10">
        <v>12449</v>
      </c>
      <c r="Z147" s="10">
        <v>5474</v>
      </c>
      <c r="AA147" s="10">
        <f>17280+3319</f>
        <v>20599</v>
      </c>
      <c r="AB147" s="10">
        <v>6479</v>
      </c>
      <c r="AC147" s="10">
        <v>6963</v>
      </c>
      <c r="AD147" s="10">
        <v>16246</v>
      </c>
      <c r="AE147" s="10">
        <f>4781+8104+6151</f>
        <v>19036</v>
      </c>
      <c r="AF147" s="10">
        <v>3619</v>
      </c>
      <c r="AG147" s="10">
        <v>1849</v>
      </c>
      <c r="AH147" s="10">
        <v>11543</v>
      </c>
      <c r="AI147" s="10">
        <v>58910</v>
      </c>
      <c r="AJ147" s="10">
        <v>244523</v>
      </c>
      <c r="AK147" s="10">
        <v>241448</v>
      </c>
      <c r="AL147" s="10">
        <v>29500</v>
      </c>
      <c r="AM147" s="10">
        <v>259</v>
      </c>
      <c r="AN147" s="10">
        <v>0</v>
      </c>
      <c r="AO147" s="10">
        <v>129052</v>
      </c>
      <c r="AP147" s="10">
        <v>0</v>
      </c>
      <c r="AQ147" s="10">
        <v>26849</v>
      </c>
      <c r="AR147" s="10">
        <v>0</v>
      </c>
      <c r="AS147" s="10">
        <v>0</v>
      </c>
      <c r="AT147" s="10">
        <v>0</v>
      </c>
      <c r="AU147" s="10">
        <v>941</v>
      </c>
      <c r="AV147" s="10">
        <v>465</v>
      </c>
      <c r="AW147" s="10">
        <f>10-1</f>
        <v>9</v>
      </c>
      <c r="AX147" s="10">
        <v>-80</v>
      </c>
      <c r="AY147" s="10">
        <v>-188</v>
      </c>
      <c r="AZ147" s="10">
        <v>-157</v>
      </c>
      <c r="BA147" s="10">
        <v>-2</v>
      </c>
      <c r="BB147" s="10">
        <f t="shared" si="8"/>
        <v>988</v>
      </c>
      <c r="BC147" s="6">
        <v>3</v>
      </c>
      <c r="BD147" s="10">
        <v>35</v>
      </c>
      <c r="BE147" s="10">
        <v>25</v>
      </c>
      <c r="BF147" s="10">
        <v>93</v>
      </c>
      <c r="BG147" s="10">
        <v>4</v>
      </c>
    </row>
    <row r="148" spans="1:59">
      <c r="A148" s="6">
        <v>18</v>
      </c>
      <c r="B148" s="6" t="s">
        <v>93</v>
      </c>
      <c r="C148" s="7" t="s">
        <v>155</v>
      </c>
      <c r="D148" s="6" t="s">
        <v>572</v>
      </c>
      <c r="E148" s="6" t="s">
        <v>627</v>
      </c>
      <c r="F148" s="7" t="s">
        <v>192</v>
      </c>
      <c r="G148" s="7" t="s">
        <v>631</v>
      </c>
      <c r="H148" s="10">
        <v>9574905</v>
      </c>
      <c r="I148" s="10">
        <v>9607987</v>
      </c>
      <c r="J148" s="10">
        <v>844330</v>
      </c>
      <c r="K148" s="10">
        <v>4816351</v>
      </c>
      <c r="L148" s="10">
        <v>1195286</v>
      </c>
      <c r="M148" s="10">
        <v>1667731</v>
      </c>
      <c r="N148" s="10">
        <v>648531</v>
      </c>
      <c r="O148" s="10">
        <v>79845</v>
      </c>
      <c r="P148" s="10">
        <v>115676</v>
      </c>
      <c r="Q148" s="10">
        <v>9124955</v>
      </c>
      <c r="R148" s="12">
        <v>0.14000000000000001</v>
      </c>
      <c r="S148" s="10">
        <f>1275992+115676</f>
        <v>1391668</v>
      </c>
      <c r="T148" s="24">
        <f>604951/7653022</f>
        <v>7.904733581061181E-2</v>
      </c>
      <c r="U148" s="10">
        <v>601115</v>
      </c>
      <c r="V148" s="10">
        <v>0</v>
      </c>
      <c r="W148" s="10">
        <f>33082+1614</f>
        <v>34696</v>
      </c>
      <c r="X148" s="10">
        <v>349040</v>
      </c>
      <c r="Y148" s="10">
        <v>30628</v>
      </c>
      <c r="Z148" s="10">
        <v>43823</v>
      </c>
      <c r="AA148" s="10">
        <v>38643</v>
      </c>
      <c r="AB148" s="10">
        <v>0</v>
      </c>
      <c r="AC148" s="10">
        <v>21378</v>
      </c>
      <c r="AD148" s="10">
        <v>5408</v>
      </c>
      <c r="AE148" s="10">
        <f>16536+74772+48651</f>
        <v>139959</v>
      </c>
      <c r="AF148" s="10">
        <v>10863</v>
      </c>
      <c r="AG148" s="10">
        <v>9118</v>
      </c>
      <c r="AH148" s="10">
        <v>72836</v>
      </c>
      <c r="AI148" s="10">
        <v>0</v>
      </c>
      <c r="AJ148" s="10">
        <v>679313</v>
      </c>
      <c r="AK148" s="10">
        <v>700122</v>
      </c>
      <c r="AL148" s="10">
        <v>81459</v>
      </c>
      <c r="AM148" s="10">
        <v>0</v>
      </c>
      <c r="AN148" s="10">
        <v>0</v>
      </c>
      <c r="AO148" s="10">
        <v>129052</v>
      </c>
      <c r="AP148" s="10">
        <v>0</v>
      </c>
      <c r="AQ148" s="10">
        <v>104411</v>
      </c>
      <c r="AR148" s="10">
        <v>0</v>
      </c>
      <c r="AS148" s="10">
        <v>0</v>
      </c>
      <c r="AT148" s="10">
        <v>0</v>
      </c>
      <c r="AU148" s="10">
        <v>2388</v>
      </c>
      <c r="AV148" s="10">
        <v>1245</v>
      </c>
      <c r="AW148" s="10">
        <f>58-4</f>
        <v>54</v>
      </c>
      <c r="AX148" s="10">
        <v>-255</v>
      </c>
      <c r="AY148" s="10">
        <v>-548</v>
      </c>
      <c r="AZ148" s="10">
        <v>-192</v>
      </c>
      <c r="BA148" s="10">
        <v>0</v>
      </c>
      <c r="BB148" s="10">
        <f t="shared" si="8"/>
        <v>2692</v>
      </c>
      <c r="BC148" s="6">
        <v>42</v>
      </c>
      <c r="BD148" s="10">
        <v>52</v>
      </c>
      <c r="BE148" s="10">
        <v>20</v>
      </c>
      <c r="BF148" s="10">
        <v>54</v>
      </c>
      <c r="BG148" s="10">
        <v>58</v>
      </c>
    </row>
    <row r="149" spans="1:59">
      <c r="A149" s="6">
        <v>18</v>
      </c>
      <c r="B149" s="6" t="s">
        <v>138</v>
      </c>
      <c r="C149" s="7" t="s">
        <v>336</v>
      </c>
      <c r="D149" s="6" t="s">
        <v>34</v>
      </c>
      <c r="E149" s="6" t="s">
        <v>22</v>
      </c>
      <c r="F149" s="7"/>
      <c r="G149" s="7" t="s">
        <v>25</v>
      </c>
      <c r="H149" s="10">
        <v>1623555</v>
      </c>
      <c r="I149" s="10">
        <v>1627108</v>
      </c>
      <c r="J149" s="10">
        <v>145328</v>
      </c>
      <c r="K149" s="10">
        <v>808254</v>
      </c>
      <c r="L149" s="10">
        <v>200728</v>
      </c>
      <c r="M149" s="10">
        <v>253737</v>
      </c>
      <c r="N149" s="10">
        <v>72147</v>
      </c>
      <c r="O149" s="10">
        <v>10032</v>
      </c>
      <c r="P149" s="10">
        <v>0</v>
      </c>
      <c r="Q149" s="10">
        <v>1494112</v>
      </c>
      <c r="R149" s="12">
        <v>0.09</v>
      </c>
      <c r="S149" s="10">
        <v>0</v>
      </c>
      <c r="T149" s="24">
        <f>148358/1483577</f>
        <v>0.10000020221397339</v>
      </c>
      <c r="U149" s="10">
        <v>148352</v>
      </c>
      <c r="V149" s="10">
        <v>0</v>
      </c>
      <c r="W149" s="10">
        <f>3249+227+221</f>
        <v>3697</v>
      </c>
      <c r="X149" s="10">
        <v>47137</v>
      </c>
      <c r="Y149" s="10">
        <v>5735</v>
      </c>
      <c r="Z149" s="10">
        <v>660</v>
      </c>
      <c r="AA149" s="10">
        <v>10700</v>
      </c>
      <c r="AB149" s="10">
        <v>0</v>
      </c>
      <c r="AC149" s="10">
        <v>3024</v>
      </c>
      <c r="AD149" s="10">
        <v>0</v>
      </c>
      <c r="AE149" s="10">
        <f>6326+1738+2880</f>
        <v>10944</v>
      </c>
      <c r="AF149" s="10">
        <v>1489</v>
      </c>
      <c r="AG149" s="10">
        <v>216</v>
      </c>
      <c r="AH149" s="10">
        <v>3258</v>
      </c>
      <c r="AI149" s="10">
        <v>27917</v>
      </c>
      <c r="AJ149" s="10">
        <v>89533</v>
      </c>
      <c r="AK149" s="10">
        <v>86187</v>
      </c>
      <c r="AL149" s="10">
        <v>2591</v>
      </c>
      <c r="AM149" s="10">
        <v>0</v>
      </c>
      <c r="AN149" s="10">
        <v>0</v>
      </c>
      <c r="AO149" s="10">
        <v>73876</v>
      </c>
      <c r="AP149" s="10">
        <v>0</v>
      </c>
      <c r="AQ149" s="10">
        <v>1833</v>
      </c>
      <c r="AR149" s="10">
        <v>0</v>
      </c>
      <c r="AS149" s="10">
        <v>0</v>
      </c>
      <c r="AT149" s="10">
        <v>0</v>
      </c>
      <c r="AU149" s="10">
        <v>226</v>
      </c>
      <c r="AV149" s="10">
        <v>141</v>
      </c>
      <c r="AW149" s="10">
        <f>1+9</f>
        <v>10</v>
      </c>
      <c r="AX149" s="10">
        <v>-32</v>
      </c>
      <c r="AY149" s="10">
        <v>-69</v>
      </c>
      <c r="AZ149" s="10">
        <v>-18</v>
      </c>
      <c r="BA149" s="10">
        <v>-3</v>
      </c>
      <c r="BB149" s="10">
        <f t="shared" si="8"/>
        <v>255</v>
      </c>
      <c r="BC149" s="6">
        <v>1</v>
      </c>
      <c r="BD149" s="10">
        <v>5</v>
      </c>
      <c r="BE149" s="10">
        <v>2</v>
      </c>
      <c r="BF149" s="10">
        <v>12</v>
      </c>
      <c r="BG149" s="10">
        <v>2</v>
      </c>
    </row>
    <row r="150" spans="1:59">
      <c r="A150" s="6">
        <v>18</v>
      </c>
      <c r="B150" s="6" t="s">
        <v>189</v>
      </c>
      <c r="C150" s="7" t="s">
        <v>522</v>
      </c>
      <c r="D150" s="6" t="s">
        <v>249</v>
      </c>
      <c r="E150" s="6" t="s">
        <v>413</v>
      </c>
      <c r="F150" s="7"/>
      <c r="G150" s="7" t="s">
        <v>408</v>
      </c>
      <c r="H150" s="10">
        <v>4029306</v>
      </c>
      <c r="I150" s="10">
        <v>4043299</v>
      </c>
      <c r="J150" s="10">
        <v>253990</v>
      </c>
      <c r="K150" s="10">
        <v>1917989</v>
      </c>
      <c r="L150" s="10">
        <v>310226</v>
      </c>
      <c r="M150" s="10">
        <v>808805</v>
      </c>
      <c r="N150" s="10">
        <v>334747</v>
      </c>
      <c r="O150" s="10">
        <v>650</v>
      </c>
      <c r="P150" s="10">
        <v>0</v>
      </c>
      <c r="Q150" s="10">
        <v>3759384</v>
      </c>
      <c r="R150" s="12">
        <v>9.9000000000000005E-2</v>
      </c>
      <c r="S150" s="10">
        <v>0</v>
      </c>
      <c r="T150" s="24">
        <f>341281/3758734</f>
        <v>9.0796794878275508E-2</v>
      </c>
      <c r="U150" s="10">
        <v>340292</v>
      </c>
      <c r="V150" s="10">
        <v>0</v>
      </c>
      <c r="W150" s="10">
        <f>8508+2964+466</f>
        <v>11938</v>
      </c>
      <c r="X150" s="10">
        <v>68262</v>
      </c>
      <c r="Y150" s="10">
        <v>0</v>
      </c>
      <c r="Z150" s="10">
        <v>0</v>
      </c>
      <c r="AA150" s="10">
        <v>12520</v>
      </c>
      <c r="AB150" s="10">
        <v>9345</v>
      </c>
      <c r="AC150" s="10">
        <v>13128</v>
      </c>
      <c r="AD150" s="10">
        <v>200</v>
      </c>
      <c r="AE150" s="10">
        <f>7784+8989+7207</f>
        <v>23980</v>
      </c>
      <c r="AF150" s="10">
        <v>4116</v>
      </c>
      <c r="AG150" s="10">
        <v>3634</v>
      </c>
      <c r="AH150" s="10">
        <v>31218</v>
      </c>
      <c r="AI150" s="10">
        <v>9620</v>
      </c>
      <c r="AJ150" s="10">
        <v>192145</v>
      </c>
      <c r="AK150" s="10">
        <v>199850</v>
      </c>
      <c r="AL150" s="10">
        <v>1052</v>
      </c>
      <c r="AM150" s="10">
        <v>0</v>
      </c>
      <c r="AN150" s="10">
        <v>0</v>
      </c>
      <c r="AO150" s="10">
        <v>129052</v>
      </c>
      <c r="AP150" s="10">
        <v>0</v>
      </c>
      <c r="AQ150" s="10">
        <v>33845</v>
      </c>
      <c r="AR150" s="10">
        <v>1180</v>
      </c>
      <c r="AS150" s="10">
        <v>1180</v>
      </c>
      <c r="AT150" s="10">
        <v>0</v>
      </c>
      <c r="AU150" s="10">
        <v>1223</v>
      </c>
      <c r="AV150" s="10">
        <v>708</v>
      </c>
      <c r="AW150" s="10">
        <f>1+20-2</f>
        <v>19</v>
      </c>
      <c r="AX150" s="10">
        <v>-145</v>
      </c>
      <c r="AY150" s="10">
        <v>-278</v>
      </c>
      <c r="AZ150" s="10">
        <v>-115</v>
      </c>
      <c r="BA150" s="10">
        <v>0</v>
      </c>
      <c r="BB150" s="10">
        <f t="shared" si="8"/>
        <v>1412</v>
      </c>
      <c r="BC150" s="6">
        <v>1</v>
      </c>
      <c r="BD150" s="10">
        <v>21</v>
      </c>
      <c r="BE150" s="10">
        <v>6</v>
      </c>
      <c r="BF150" s="10">
        <v>71</v>
      </c>
      <c r="BG150" s="10">
        <v>18</v>
      </c>
    </row>
    <row r="151" spans="1:59">
      <c r="A151" s="6">
        <v>18</v>
      </c>
      <c r="B151" s="6" t="s">
        <v>220</v>
      </c>
      <c r="C151" s="7" t="s">
        <v>329</v>
      </c>
      <c r="D151" s="6" t="s">
        <v>487</v>
      </c>
      <c r="E151" s="6" t="s">
        <v>285</v>
      </c>
      <c r="F151" s="7"/>
      <c r="G151" s="7" t="s">
        <v>286</v>
      </c>
      <c r="H151" s="10">
        <v>2455594</v>
      </c>
      <c r="I151" s="10">
        <v>2458378</v>
      </c>
      <c r="J151" s="10">
        <v>148640</v>
      </c>
      <c r="K151" s="10">
        <v>1151980</v>
      </c>
      <c r="L151" s="10">
        <v>304538</v>
      </c>
      <c r="M151" s="10">
        <v>632838</v>
      </c>
      <c r="N151" s="10">
        <v>79897</v>
      </c>
      <c r="O151" s="10">
        <v>494</v>
      </c>
      <c r="P151" s="10">
        <v>0</v>
      </c>
      <c r="Q151" s="10">
        <v>2385690</v>
      </c>
      <c r="R151" s="12">
        <v>0.06</v>
      </c>
      <c r="S151" s="10">
        <v>0</v>
      </c>
      <c r="T151" s="24">
        <f>213514/2383996</f>
        <v>8.9561391881530006E-2</v>
      </c>
      <c r="U151" s="10">
        <v>213015</v>
      </c>
      <c r="V151" s="10">
        <v>0</v>
      </c>
      <c r="W151" s="10">
        <f>2784+128</f>
        <v>2912</v>
      </c>
      <c r="X151" s="10">
        <v>55248</v>
      </c>
      <c r="Y151" s="10">
        <v>5027</v>
      </c>
      <c r="Z151" s="10">
        <v>8800</v>
      </c>
      <c r="AA151" s="10">
        <v>12120</v>
      </c>
      <c r="AB151" s="10">
        <v>894</v>
      </c>
      <c r="AC151" s="10">
        <v>9043</v>
      </c>
      <c r="AD151" s="10">
        <v>1023</v>
      </c>
      <c r="AE151" s="10">
        <f>4199+3992+2719</f>
        <v>10910</v>
      </c>
      <c r="AF151" s="10">
        <v>742</v>
      </c>
      <c r="AG151" s="10">
        <v>3418</v>
      </c>
      <c r="AH151" s="10">
        <v>0</v>
      </c>
      <c r="AI151" s="10">
        <v>0</v>
      </c>
      <c r="AJ151" s="10">
        <v>114879</v>
      </c>
      <c r="AK151" s="10">
        <v>121101</v>
      </c>
      <c r="AL151" s="10">
        <v>10108</v>
      </c>
      <c r="AM151" s="10">
        <v>0</v>
      </c>
      <c r="AN151" s="10">
        <v>0</v>
      </c>
      <c r="AO151" s="10">
        <v>111818</v>
      </c>
      <c r="AP151" s="10">
        <v>0</v>
      </c>
      <c r="AQ151" s="10">
        <v>21</v>
      </c>
      <c r="AR151" s="10">
        <v>0</v>
      </c>
      <c r="AS151" s="10">
        <v>0</v>
      </c>
      <c r="AT151" s="10">
        <v>0</v>
      </c>
      <c r="AU151" s="10">
        <v>540</v>
      </c>
      <c r="AV151" s="10">
        <v>315</v>
      </c>
      <c r="AW151" s="10">
        <f>17+1</f>
        <v>18</v>
      </c>
      <c r="AX151" s="10">
        <v>-60</v>
      </c>
      <c r="AY151" s="10">
        <v>-87</v>
      </c>
      <c r="AZ151" s="10">
        <v>-122</v>
      </c>
      <c r="BA151" s="10">
        <v>0</v>
      </c>
      <c r="BB151" s="10">
        <f t="shared" si="8"/>
        <v>604</v>
      </c>
      <c r="BC151" s="6">
        <v>0</v>
      </c>
      <c r="BD151" s="10">
        <v>36</v>
      </c>
      <c r="BE151" s="10">
        <v>11</v>
      </c>
      <c r="BF151" s="10">
        <v>81</v>
      </c>
      <c r="BG151" s="10">
        <v>0</v>
      </c>
    </row>
    <row r="152" spans="1:59">
      <c r="A152" s="6">
        <v>18</v>
      </c>
      <c r="B152" s="6" t="s">
        <v>225</v>
      </c>
      <c r="C152" s="7" t="s">
        <v>315</v>
      </c>
      <c r="D152" s="6" t="s">
        <v>351</v>
      </c>
      <c r="E152" s="6" t="s">
        <v>627</v>
      </c>
      <c r="F152" s="7" t="s">
        <v>640</v>
      </c>
      <c r="G152" s="7" t="s">
        <v>631</v>
      </c>
      <c r="H152" s="10">
        <v>5670874</v>
      </c>
      <c r="I152" s="10">
        <v>5690796</v>
      </c>
      <c r="J152" s="10">
        <v>333769</v>
      </c>
      <c r="K152" s="10">
        <v>2842090</v>
      </c>
      <c r="L152" s="10">
        <v>566082</v>
      </c>
      <c r="M152" s="10">
        <v>954940</v>
      </c>
      <c r="N152" s="10">
        <v>399470</v>
      </c>
      <c r="O152" s="10">
        <v>6986</v>
      </c>
      <c r="P152" s="10">
        <v>0</v>
      </c>
      <c r="Q152" s="10">
        <v>5287455</v>
      </c>
      <c r="R152" s="12">
        <v>0.09</v>
      </c>
      <c r="S152" s="10">
        <v>0</v>
      </c>
      <c r="T152" s="24">
        <f>486036/5280469</f>
        <v>9.204409684064048E-2</v>
      </c>
      <c r="U152" s="10">
        <v>485488</v>
      </c>
      <c r="V152" s="10">
        <v>0</v>
      </c>
      <c r="W152" s="10">
        <f>19922+415</f>
        <v>20337</v>
      </c>
      <c r="X152" s="10">
        <v>233048</v>
      </c>
      <c r="Y152" s="10">
        <v>19658</v>
      </c>
      <c r="Z152" s="10">
        <v>20632</v>
      </c>
      <c r="AA152" s="10">
        <f>22646+2101</f>
        <v>24747</v>
      </c>
      <c r="AB152" s="10">
        <v>0</v>
      </c>
      <c r="AC152" s="10">
        <v>18682</v>
      </c>
      <c r="AD152" s="10">
        <v>12949</v>
      </c>
      <c r="AE152" s="10">
        <f>8596+19239+14230</f>
        <v>42065</v>
      </c>
      <c r="AF152" s="10">
        <v>3191</v>
      </c>
      <c r="AG152" s="10">
        <v>0</v>
      </c>
      <c r="AH152" s="10">
        <v>4976</v>
      </c>
      <c r="AI152" s="10">
        <v>0</v>
      </c>
      <c r="AJ152" s="10">
        <v>409252</v>
      </c>
      <c r="AK152" s="10">
        <v>552329</v>
      </c>
      <c r="AL152" s="10">
        <v>62223</v>
      </c>
      <c r="AM152" s="10">
        <v>0</v>
      </c>
      <c r="AN152" s="10">
        <v>0</v>
      </c>
      <c r="AO152" s="10">
        <v>93366</v>
      </c>
      <c r="AP152" s="10">
        <v>0</v>
      </c>
      <c r="AQ152" s="10">
        <v>80445</v>
      </c>
      <c r="AR152" s="10">
        <v>0</v>
      </c>
      <c r="AS152" s="10">
        <v>0</v>
      </c>
      <c r="AT152" s="10">
        <v>0</v>
      </c>
      <c r="AU152" s="10">
        <v>1848</v>
      </c>
      <c r="AV152" s="10">
        <v>508</v>
      </c>
      <c r="AW152" s="10">
        <f>3-1</f>
        <v>2</v>
      </c>
      <c r="AX152" s="10">
        <v>-116</v>
      </c>
      <c r="AY152" s="10">
        <v>-398</v>
      </c>
      <c r="AZ152" s="10">
        <v>-176</v>
      </c>
      <c r="BA152" s="10">
        <v>0</v>
      </c>
      <c r="BB152" s="10">
        <f t="shared" si="8"/>
        <v>1668</v>
      </c>
      <c r="BC152" s="6">
        <v>11</v>
      </c>
      <c r="BD152" s="10">
        <v>82</v>
      </c>
      <c r="BE152" s="10">
        <v>20</v>
      </c>
      <c r="BF152" s="10">
        <v>109</v>
      </c>
      <c r="BG152" s="10">
        <v>14</v>
      </c>
    </row>
    <row r="153" spans="1:59">
      <c r="A153" s="6">
        <v>18</v>
      </c>
      <c r="B153" s="6" t="s">
        <v>279</v>
      </c>
      <c r="C153" s="7" t="s">
        <v>157</v>
      </c>
      <c r="D153" s="6" t="s">
        <v>553</v>
      </c>
      <c r="E153" s="6" t="s">
        <v>627</v>
      </c>
      <c r="F153" s="7" t="s">
        <v>640</v>
      </c>
      <c r="G153" s="7" t="s">
        <v>631</v>
      </c>
      <c r="H153" s="10">
        <v>17100868</v>
      </c>
      <c r="I153" s="10">
        <v>17151700</v>
      </c>
      <c r="J153" s="10">
        <v>751785</v>
      </c>
      <c r="K153" s="10">
        <v>9724708</v>
      </c>
      <c r="L153" s="10">
        <v>1782720</v>
      </c>
      <c r="M153" s="10">
        <v>2394856</v>
      </c>
      <c r="N153" s="10">
        <v>837452</v>
      </c>
      <c r="O153" s="10">
        <v>14029</v>
      </c>
      <c r="P153" s="10">
        <v>0</v>
      </c>
      <c r="Q153" s="10">
        <v>15687832</v>
      </c>
      <c r="R153" s="12">
        <v>9.1399999999999995E-2</v>
      </c>
      <c r="S153" s="10">
        <v>0</v>
      </c>
      <c r="T153" s="24">
        <f>845835/15673803</f>
        <v>5.3964886505208726E-2</v>
      </c>
      <c r="U153" s="10">
        <v>845826</v>
      </c>
      <c r="V153" s="10">
        <v>0</v>
      </c>
      <c r="W153" s="10">
        <f>47716+1650+2703</f>
        <v>52069</v>
      </c>
      <c r="X153" s="10">
        <v>372546</v>
      </c>
      <c r="Y153" s="10">
        <v>30804</v>
      </c>
      <c r="Z153" s="10">
        <v>61834</v>
      </c>
      <c r="AA153" s="10">
        <v>66287</v>
      </c>
      <c r="AB153" s="10">
        <v>1409</v>
      </c>
      <c r="AC153" s="10">
        <v>30375</v>
      </c>
      <c r="AD153" s="10">
        <v>7456</v>
      </c>
      <c r="AE153" s="10">
        <f>13887+35166+23163</f>
        <v>72216</v>
      </c>
      <c r="AF153" s="10">
        <v>12258</v>
      </c>
      <c r="AG153" s="10">
        <v>1299</v>
      </c>
      <c r="AH153" s="10">
        <v>25573</v>
      </c>
      <c r="AI153" s="10">
        <v>0</v>
      </c>
      <c r="AJ153" s="10">
        <v>742385</v>
      </c>
      <c r="AK153" s="10">
        <v>749818</v>
      </c>
      <c r="AL153" s="10">
        <v>83317</v>
      </c>
      <c r="AM153" s="10">
        <v>0</v>
      </c>
      <c r="AN153" s="10">
        <v>0</v>
      </c>
      <c r="AO153" s="10">
        <v>129052</v>
      </c>
      <c r="AP153" s="10">
        <v>0</v>
      </c>
      <c r="AQ153" s="10">
        <v>123804</v>
      </c>
      <c r="AR153" s="10">
        <v>0</v>
      </c>
      <c r="AS153" s="10">
        <v>0</v>
      </c>
      <c r="AT153" s="10">
        <v>0</v>
      </c>
      <c r="AU153" s="10">
        <v>1918</v>
      </c>
      <c r="AV153" s="10">
        <v>1183</v>
      </c>
      <c r="AW153" s="10">
        <f>2+10-1</f>
        <v>11</v>
      </c>
      <c r="AX153" s="10">
        <v>-170</v>
      </c>
      <c r="AY153" s="10">
        <f>-515+7</f>
        <v>-508</v>
      </c>
      <c r="AZ153" s="10">
        <v>-226</v>
      </c>
      <c r="BA153" s="10">
        <v>-2</v>
      </c>
      <c r="BB153" s="10">
        <f t="shared" si="8"/>
        <v>2206</v>
      </c>
      <c r="BC153" s="6">
        <v>3</v>
      </c>
      <c r="BD153" s="10">
        <v>162</v>
      </c>
      <c r="BE153" s="10">
        <v>15</v>
      </c>
      <c r="BF153" s="10">
        <v>27</v>
      </c>
      <c r="BG153" s="10">
        <v>22</v>
      </c>
    </row>
    <row r="154" spans="1:59">
      <c r="A154" s="6">
        <v>18</v>
      </c>
      <c r="B154" s="6" t="s">
        <v>325</v>
      </c>
      <c r="C154" s="7" t="s">
        <v>308</v>
      </c>
      <c r="D154" s="6" t="s">
        <v>76</v>
      </c>
      <c r="E154" s="6" t="s">
        <v>285</v>
      </c>
      <c r="F154" s="7"/>
      <c r="G154" s="7" t="s">
        <v>286</v>
      </c>
      <c r="H154" s="10">
        <v>3001224</v>
      </c>
      <c r="I154" s="10">
        <v>3008257</v>
      </c>
      <c r="J154" s="10">
        <v>128914</v>
      </c>
      <c r="K154" s="10">
        <v>1234117</v>
      </c>
      <c r="L154" s="10">
        <v>374756</v>
      </c>
      <c r="M154" s="10">
        <v>618960</v>
      </c>
      <c r="N154" s="10">
        <v>270776</v>
      </c>
      <c r="O154" s="10">
        <v>2842</v>
      </c>
      <c r="P154" s="10">
        <v>0</v>
      </c>
      <c r="Q154" s="10">
        <v>2811037</v>
      </c>
      <c r="R154" s="12">
        <v>0.11</v>
      </c>
      <c r="S154" s="10">
        <v>31540</v>
      </c>
      <c r="T154" s="24">
        <f>277666/2776655</f>
        <v>0.10000018007278542</v>
      </c>
      <c r="U154" s="10">
        <v>277676</v>
      </c>
      <c r="V154" s="10">
        <v>0</v>
      </c>
      <c r="W154" s="10">
        <f>7031+257</f>
        <v>7288</v>
      </c>
      <c r="X154" s="10">
        <v>75452</v>
      </c>
      <c r="Y154">
        <v>7297</v>
      </c>
      <c r="Z154" s="10">
        <v>4808</v>
      </c>
      <c r="AA154" s="10">
        <f>8094+890</f>
        <v>8984</v>
      </c>
      <c r="AB154" s="10">
        <v>350</v>
      </c>
      <c r="AC154" s="10">
        <v>18385</v>
      </c>
      <c r="AD154" s="10">
        <v>0</v>
      </c>
      <c r="AE154" s="10">
        <f>1864+3606+2274</f>
        <v>7744</v>
      </c>
      <c r="AF154" s="10">
        <v>2418</v>
      </c>
      <c r="AG154" s="10">
        <v>5058</v>
      </c>
      <c r="AH154" s="10">
        <v>14750</v>
      </c>
      <c r="AI154" s="10">
        <v>8094</v>
      </c>
      <c r="AJ154" s="10">
        <v>155105</v>
      </c>
      <c r="AK154" s="10">
        <v>155409</v>
      </c>
      <c r="AL154" s="10">
        <v>12797</v>
      </c>
      <c r="AM154" s="10">
        <v>0</v>
      </c>
      <c r="AN154" s="10">
        <v>0</v>
      </c>
      <c r="AO154" s="10">
        <v>129052</v>
      </c>
      <c r="AP154" s="10">
        <v>0</v>
      </c>
      <c r="AQ154" s="10">
        <v>16462</v>
      </c>
      <c r="AR154" s="10">
        <v>0</v>
      </c>
      <c r="AS154" s="10">
        <v>0</v>
      </c>
      <c r="AT154" s="10">
        <v>0</v>
      </c>
      <c r="AU154" s="10">
        <v>766</v>
      </c>
      <c r="AV154" s="10">
        <v>571</v>
      </c>
      <c r="AW154" s="10">
        <v>20</v>
      </c>
      <c r="AX154" s="10">
        <v>-86</v>
      </c>
      <c r="AY154" s="10">
        <v>-153</v>
      </c>
      <c r="AZ154" s="10">
        <v>-67</v>
      </c>
      <c r="BA154" s="10">
        <v>0</v>
      </c>
      <c r="BB154" s="10">
        <f t="shared" si="8"/>
        <v>1051</v>
      </c>
      <c r="BC154" s="6">
        <v>7</v>
      </c>
      <c r="BD154" s="10">
        <v>15</v>
      </c>
      <c r="BE154" s="10">
        <v>12</v>
      </c>
      <c r="BF154" s="10">
        <v>40</v>
      </c>
      <c r="BG154" s="10">
        <v>0</v>
      </c>
    </row>
    <row r="155" spans="1:59">
      <c r="A155" s="6">
        <v>18</v>
      </c>
      <c r="B155" s="6" t="s">
        <v>350</v>
      </c>
      <c r="C155" s="7" t="s">
        <v>231</v>
      </c>
      <c r="D155" s="6" t="s">
        <v>206</v>
      </c>
      <c r="E155" s="6" t="s">
        <v>461</v>
      </c>
      <c r="F155" s="7"/>
      <c r="G155" s="7" t="s">
        <v>463</v>
      </c>
      <c r="H155" s="10">
        <v>12852500</v>
      </c>
      <c r="I155" s="10">
        <v>12872923</v>
      </c>
      <c r="J155" s="10">
        <v>526386</v>
      </c>
      <c r="K155" s="10">
        <v>4189669</v>
      </c>
      <c r="L155" s="10">
        <v>2475822</v>
      </c>
      <c r="M155" s="10">
        <v>2446422</v>
      </c>
      <c r="N155" s="10">
        <v>1350856</v>
      </c>
      <c r="O155" s="10">
        <v>0</v>
      </c>
      <c r="P155" s="10">
        <v>0</v>
      </c>
      <c r="Q155" s="10">
        <v>11349109</v>
      </c>
      <c r="R155" s="12">
        <v>0.1903</v>
      </c>
      <c r="S155" s="10">
        <v>0</v>
      </c>
      <c r="T155" s="24">
        <f>887455/11321027</f>
        <v>7.8389972923834567E-2</v>
      </c>
      <c r="U155" s="10">
        <v>886123</v>
      </c>
      <c r="V155">
        <v>0</v>
      </c>
      <c r="W155" s="10">
        <f>17880+1483+2819</f>
        <v>22182</v>
      </c>
      <c r="X155" s="10">
        <v>385488</v>
      </c>
      <c r="Y155" s="10">
        <v>39343</v>
      </c>
      <c r="Z155" s="10">
        <v>87503</v>
      </c>
      <c r="AA155" s="10">
        <v>49054</v>
      </c>
      <c r="AB155" s="10">
        <v>0</v>
      </c>
      <c r="AC155" s="10">
        <v>13431</v>
      </c>
      <c r="AD155" s="10">
        <v>8464</v>
      </c>
      <c r="AE155" s="10">
        <f>10025+19684+17309</f>
        <v>47018</v>
      </c>
      <c r="AF155" s="10">
        <v>9546</v>
      </c>
      <c r="AG155" s="10">
        <v>4535</v>
      </c>
      <c r="AH155" s="10">
        <v>522</v>
      </c>
      <c r="AI155" s="10">
        <v>0</v>
      </c>
      <c r="AJ155" s="10">
        <v>764092</v>
      </c>
      <c r="AK155" s="10">
        <v>792066</v>
      </c>
      <c r="AL155" s="10">
        <v>104450</v>
      </c>
      <c r="AM155" s="10">
        <v>0</v>
      </c>
      <c r="AN155" s="10">
        <v>1000</v>
      </c>
      <c r="AO155" s="10">
        <v>129052</v>
      </c>
      <c r="AP155" s="10">
        <v>0</v>
      </c>
      <c r="AQ155" s="10">
        <v>118611</v>
      </c>
      <c r="AR155" s="10">
        <v>0</v>
      </c>
      <c r="AS155" s="10">
        <v>0</v>
      </c>
      <c r="AT155" s="10">
        <v>0</v>
      </c>
      <c r="AU155" s="10">
        <v>3197</v>
      </c>
      <c r="AV155" s="10">
        <v>1377</v>
      </c>
      <c r="AW155" s="10">
        <f>49-3</f>
        <v>46</v>
      </c>
      <c r="AX155" s="10">
        <v>-187</v>
      </c>
      <c r="AY155" s="10">
        <v>-717</v>
      </c>
      <c r="AZ155" s="10">
        <v>-592</v>
      </c>
      <c r="BA155" s="10">
        <v>-1</v>
      </c>
      <c r="BB155" s="10">
        <f t="shared" si="8"/>
        <v>3123</v>
      </c>
      <c r="BC155" s="6">
        <v>0</v>
      </c>
      <c r="BD155" s="10">
        <v>119</v>
      </c>
      <c r="BE155" s="10">
        <v>35</v>
      </c>
      <c r="BF155" s="10">
        <v>202</v>
      </c>
      <c r="BG155" s="10">
        <v>237</v>
      </c>
    </row>
    <row r="156" spans="1:59">
      <c r="A156" s="6">
        <v>18</v>
      </c>
      <c r="B156" s="6" t="s">
        <v>498</v>
      </c>
      <c r="C156" s="7" t="s">
        <v>73</v>
      </c>
      <c r="D156" s="6" t="s">
        <v>76</v>
      </c>
      <c r="E156" s="6" t="s">
        <v>285</v>
      </c>
      <c r="F156" s="7"/>
      <c r="G156" s="7" t="s">
        <v>286</v>
      </c>
      <c r="H156" s="10">
        <v>2734434</v>
      </c>
      <c r="I156" s="10">
        <v>2750667</v>
      </c>
      <c r="J156" s="10">
        <v>157428</v>
      </c>
      <c r="K156" s="10">
        <v>1180321</v>
      </c>
      <c r="L156" s="10">
        <v>364182</v>
      </c>
      <c r="M156" s="10">
        <v>500723</v>
      </c>
      <c r="N156" s="10">
        <v>240444</v>
      </c>
      <c r="O156" s="10">
        <v>1831</v>
      </c>
      <c r="P156" s="10">
        <v>0</v>
      </c>
      <c r="Q156" s="10">
        <v>2546650</v>
      </c>
      <c r="R156" s="12">
        <v>0.113</v>
      </c>
      <c r="S156" s="10">
        <v>0</v>
      </c>
      <c r="T156" s="24">
        <f>253154/2531539</f>
        <v>0.10000003950166282</v>
      </c>
      <c r="U156" s="10">
        <v>251140</v>
      </c>
      <c r="V156" s="10">
        <v>0</v>
      </c>
      <c r="W156" s="10">
        <f>16186+36+1339</f>
        <v>17561</v>
      </c>
      <c r="X156" s="10">
        <v>85576</v>
      </c>
      <c r="Y156" s="10">
        <v>7157</v>
      </c>
      <c r="Z156" s="10">
        <v>9585</v>
      </c>
      <c r="AA156" s="10">
        <v>10560</v>
      </c>
      <c r="AB156" s="10">
        <v>9371</v>
      </c>
      <c r="AC156" s="10">
        <v>7976</v>
      </c>
      <c r="AD156" s="10">
        <v>0</v>
      </c>
      <c r="AE156" s="10">
        <f>768+4200+3552</f>
        <v>8520</v>
      </c>
      <c r="AF156" s="10">
        <v>2032</v>
      </c>
      <c r="AG156" s="10">
        <v>600</v>
      </c>
      <c r="AH156" s="10">
        <v>9604</v>
      </c>
      <c r="AI156" s="10">
        <v>54450</v>
      </c>
      <c r="AJ156" s="10">
        <v>156209</v>
      </c>
      <c r="AK156" s="10">
        <v>162560</v>
      </c>
      <c r="AL156" s="10">
        <v>100</v>
      </c>
      <c r="AM156" s="10">
        <v>0</v>
      </c>
      <c r="AN156" s="10">
        <v>0</v>
      </c>
      <c r="AO156" s="10">
        <v>117800</v>
      </c>
      <c r="AP156" s="10">
        <v>0</v>
      </c>
      <c r="AQ156" s="10">
        <v>224</v>
      </c>
      <c r="AR156" s="10">
        <v>0</v>
      </c>
      <c r="AS156" s="10">
        <v>0</v>
      </c>
      <c r="AT156" s="10">
        <v>0</v>
      </c>
      <c r="AU156" s="10">
        <v>861</v>
      </c>
      <c r="AV156" s="10">
        <v>387</v>
      </c>
      <c r="AW156" s="10">
        <f>523-387</f>
        <v>136</v>
      </c>
      <c r="AX156" s="10">
        <v>-71</v>
      </c>
      <c r="AY156" s="10">
        <v>-180</v>
      </c>
      <c r="AZ156" s="10">
        <v>-105</v>
      </c>
      <c r="BA156" s="10">
        <v>0</v>
      </c>
      <c r="BB156" s="10">
        <f t="shared" si="8"/>
        <v>1028</v>
      </c>
      <c r="BC156" s="6">
        <v>3</v>
      </c>
      <c r="BD156" s="10">
        <v>3</v>
      </c>
      <c r="BE156" s="10">
        <v>33</v>
      </c>
      <c r="BF156" s="10">
        <v>69</v>
      </c>
      <c r="BG156" s="10">
        <v>0</v>
      </c>
    </row>
    <row r="157" spans="1:59">
      <c r="A157" s="6">
        <v>18</v>
      </c>
      <c r="B157" s="6" t="s">
        <v>520</v>
      </c>
      <c r="C157" s="7" t="s">
        <v>522</v>
      </c>
      <c r="D157" s="6" t="s">
        <v>476</v>
      </c>
      <c r="E157" s="6" t="s">
        <v>461</v>
      </c>
      <c r="F157" s="7"/>
      <c r="G157" s="7" t="s">
        <v>463</v>
      </c>
      <c r="H157" s="10">
        <v>459559</v>
      </c>
      <c r="I157" s="10">
        <v>462473</v>
      </c>
      <c r="J157" s="10">
        <v>17683</v>
      </c>
      <c r="K157" s="10">
        <v>166403</v>
      </c>
      <c r="L157" s="10">
        <v>102559</v>
      </c>
      <c r="M157" s="10">
        <v>72186</v>
      </c>
      <c r="N157" s="10">
        <v>9733</v>
      </c>
      <c r="O157" s="10">
        <v>270</v>
      </c>
      <c r="P157" s="10">
        <v>0</v>
      </c>
      <c r="Q157" s="10">
        <v>387388</v>
      </c>
      <c r="R157" s="12">
        <v>0.2467</v>
      </c>
      <c r="S157" s="10">
        <v>13851</v>
      </c>
      <c r="T157" s="24">
        <f>36282/373267</f>
        <v>9.7201199141633207E-2</v>
      </c>
      <c r="U157" s="10">
        <v>36231</v>
      </c>
      <c r="V157" s="10">
        <v>0</v>
      </c>
      <c r="W157" s="10">
        <f>723+108</f>
        <v>831</v>
      </c>
      <c r="X157" s="10">
        <v>6503</v>
      </c>
      <c r="Y157" s="10">
        <v>0</v>
      </c>
      <c r="Z157" s="10">
        <v>0</v>
      </c>
      <c r="AA157" s="10">
        <v>771</v>
      </c>
      <c r="AB157" s="10">
        <v>151</v>
      </c>
      <c r="AC157" s="10">
        <v>0</v>
      </c>
      <c r="AD157" s="10">
        <v>0</v>
      </c>
      <c r="AE157" s="10">
        <f>628+632+193</f>
        <v>1453</v>
      </c>
      <c r="AF157" s="10">
        <v>622</v>
      </c>
      <c r="AG157" s="10">
        <v>763</v>
      </c>
      <c r="AH157" s="10">
        <v>53</v>
      </c>
      <c r="AI157" s="10">
        <v>11657</v>
      </c>
      <c r="AJ157" s="10">
        <v>11941</v>
      </c>
      <c r="AK157" s="10">
        <v>20507</v>
      </c>
      <c r="AL157" s="10">
        <v>6689</v>
      </c>
      <c r="AM157" s="10">
        <v>0</v>
      </c>
      <c r="AN157" s="10">
        <v>0</v>
      </c>
      <c r="AO157" s="10">
        <v>22250</v>
      </c>
      <c r="AP157" s="10">
        <v>156</v>
      </c>
      <c r="AQ157" s="10">
        <v>5478</v>
      </c>
      <c r="AR157" s="10">
        <v>3448</v>
      </c>
      <c r="AS157" s="10">
        <v>3604</v>
      </c>
      <c r="AT157" s="10">
        <v>0</v>
      </c>
      <c r="AU157" s="10">
        <v>70</v>
      </c>
      <c r="AV157" s="10">
        <v>32</v>
      </c>
      <c r="AW157" s="10">
        <v>2</v>
      </c>
      <c r="AX157" s="10">
        <v>-3</v>
      </c>
      <c r="AY157" s="10">
        <v>-16</v>
      </c>
      <c r="AZ157" s="10">
        <v>-15</v>
      </c>
      <c r="BA157" s="10">
        <v>-1</v>
      </c>
      <c r="BB157" s="10">
        <f t="shared" si="8"/>
        <v>69</v>
      </c>
      <c r="BC157" s="6">
        <v>0</v>
      </c>
      <c r="BD157" s="10">
        <v>4</v>
      </c>
      <c r="BE157" s="10">
        <v>1</v>
      </c>
      <c r="BF157" s="10">
        <v>5</v>
      </c>
      <c r="BG157" s="10">
        <v>6</v>
      </c>
    </row>
    <row r="158" spans="1:59">
      <c r="A158" s="6">
        <v>18</v>
      </c>
      <c r="B158" s="6" t="s">
        <v>547</v>
      </c>
      <c r="C158" s="7" t="s">
        <v>270</v>
      </c>
      <c r="D158" s="6" t="s">
        <v>553</v>
      </c>
      <c r="E158" s="6" t="s">
        <v>627</v>
      </c>
      <c r="F158" s="7" t="s">
        <v>640</v>
      </c>
      <c r="G158" s="7" t="s">
        <v>631</v>
      </c>
      <c r="H158" s="10">
        <v>47671887</v>
      </c>
      <c r="I158" s="10">
        <v>47812367</v>
      </c>
      <c r="J158" s="10">
        <v>2546357</v>
      </c>
      <c r="K158" s="10">
        <v>26979583</v>
      </c>
      <c r="L158" s="10">
        <v>3658198</v>
      </c>
      <c r="M158" s="10">
        <v>9810877</v>
      </c>
      <c r="N158" s="10">
        <v>1635183</v>
      </c>
      <c r="O158" s="10">
        <v>35666</v>
      </c>
      <c r="P158" s="10">
        <v>67</v>
      </c>
      <c r="Q158" s="10">
        <v>44727782</v>
      </c>
      <c r="R158" s="12">
        <v>8.4900000000000003E-2</v>
      </c>
      <c r="S158" s="10">
        <v>0</v>
      </c>
      <c r="T158" s="24">
        <f>2523030/42176194</f>
        <v>5.9821187279250468E-2</v>
      </c>
      <c r="U158" s="10">
        <v>2515856</v>
      </c>
      <c r="V158" s="10">
        <v>0</v>
      </c>
      <c r="W158" s="10">
        <f>140480+5031</f>
        <v>145511</v>
      </c>
      <c r="X158" s="10">
        <v>1319615</v>
      </c>
      <c r="Y158" s="10">
        <v>118008</v>
      </c>
      <c r="Z158" s="10">
        <v>298693</v>
      </c>
      <c r="AA158" s="10">
        <f>210268+2975</f>
        <v>213243</v>
      </c>
      <c r="AB158" s="10">
        <v>0</v>
      </c>
      <c r="AC158" s="10">
        <v>23357</v>
      </c>
      <c r="AD158">
        <v>57872.41</v>
      </c>
      <c r="AE158" s="10">
        <f>21189.69+115478.19+59050.24</f>
        <v>195718.12</v>
      </c>
      <c r="AF158" s="10">
        <v>15559</v>
      </c>
      <c r="AG158" s="10">
        <v>1030</v>
      </c>
      <c r="AH158" s="10">
        <v>92866</v>
      </c>
      <c r="AI158">
        <v>0</v>
      </c>
      <c r="AJ158" s="10">
        <v>2535299</v>
      </c>
      <c r="AK158" s="10">
        <v>2584443</v>
      </c>
      <c r="AL158" s="10">
        <v>324108</v>
      </c>
      <c r="AM158" s="10">
        <v>0</v>
      </c>
      <c r="AN158" s="10">
        <v>0</v>
      </c>
      <c r="AO158" s="10">
        <v>129051</v>
      </c>
      <c r="AP158" s="10">
        <v>0</v>
      </c>
      <c r="AQ158" s="10">
        <v>356867</v>
      </c>
      <c r="AR158" s="10">
        <v>0</v>
      </c>
      <c r="AS158" s="10">
        <v>0</v>
      </c>
      <c r="AT158" s="10">
        <v>0</v>
      </c>
      <c r="AU158" s="10">
        <v>6055</v>
      </c>
      <c r="AV158" s="10">
        <v>2591</v>
      </c>
      <c r="AW158" s="10">
        <f>114-2</f>
        <v>112</v>
      </c>
      <c r="AX158" s="10">
        <v>-403</v>
      </c>
      <c r="AY158" s="10">
        <v>-1348</v>
      </c>
      <c r="AZ158" s="10">
        <v>-893</v>
      </c>
      <c r="BA158" s="10">
        <v>-8</v>
      </c>
      <c r="BB158" s="10">
        <f t="shared" si="8"/>
        <v>6106</v>
      </c>
      <c r="BC158" s="6">
        <v>46</v>
      </c>
      <c r="BD158" s="10">
        <v>417</v>
      </c>
      <c r="BE158" s="10">
        <v>45</v>
      </c>
      <c r="BF158" s="10">
        <v>187</v>
      </c>
      <c r="BG158" s="10">
        <v>252</v>
      </c>
    </row>
    <row r="159" spans="1:59">
      <c r="A159" s="6">
        <v>18</v>
      </c>
      <c r="B159" s="6" t="s">
        <v>573</v>
      </c>
      <c r="C159" s="7" t="s">
        <v>328</v>
      </c>
      <c r="D159" s="6" t="s">
        <v>265</v>
      </c>
      <c r="E159" s="6" t="s">
        <v>285</v>
      </c>
      <c r="F159" s="7"/>
      <c r="G159" s="7" t="s">
        <v>286</v>
      </c>
      <c r="H159" s="10">
        <v>799129</v>
      </c>
      <c r="I159" s="10">
        <v>802765</v>
      </c>
      <c r="J159" s="10">
        <v>13667</v>
      </c>
      <c r="K159" s="10">
        <v>335517</v>
      </c>
      <c r="L159" s="10">
        <v>170508</v>
      </c>
      <c r="M159" s="10">
        <v>200299</v>
      </c>
      <c r="N159" s="10">
        <v>19767</v>
      </c>
      <c r="O159" s="10">
        <v>0</v>
      </c>
      <c r="P159" s="10">
        <v>0</v>
      </c>
      <c r="Q159" s="10">
        <v>819742</v>
      </c>
      <c r="R159" s="12">
        <v>2.0494999999999999E-2</v>
      </c>
      <c r="S159" s="10">
        <v>0</v>
      </c>
      <c r="T159" s="24">
        <f>81974/819742</f>
        <v>9.999975602079679E-2</v>
      </c>
      <c r="U159" s="10">
        <v>81980</v>
      </c>
      <c r="V159" s="10">
        <v>0</v>
      </c>
      <c r="W159" s="10">
        <f>3636+193</f>
        <v>3829</v>
      </c>
      <c r="X159" s="10">
        <v>25773</v>
      </c>
      <c r="Y159" s="10">
        <v>2109</v>
      </c>
      <c r="Z159" s="10">
        <v>0</v>
      </c>
      <c r="AA159" s="10">
        <f>7896+98</f>
        <v>7994</v>
      </c>
      <c r="AB159" s="10">
        <v>0</v>
      </c>
      <c r="AC159" s="10">
        <v>3411</v>
      </c>
      <c r="AD159" s="10">
        <v>82</v>
      </c>
      <c r="AE159" s="10">
        <f>2122+1385+485</f>
        <v>3992</v>
      </c>
      <c r="AF159" s="10">
        <v>1754</v>
      </c>
      <c r="AG159" s="10">
        <v>0</v>
      </c>
      <c r="AH159" s="10">
        <v>-190</v>
      </c>
      <c r="AI159" s="10">
        <v>17021</v>
      </c>
      <c r="AJ159" s="10">
        <v>51410</v>
      </c>
      <c r="AK159" s="10">
        <v>53931</v>
      </c>
      <c r="AL159" s="10">
        <v>0</v>
      </c>
      <c r="AM159" s="10">
        <v>0</v>
      </c>
      <c r="AN159" s="10">
        <v>0</v>
      </c>
      <c r="AO159" s="10">
        <v>39669</v>
      </c>
      <c r="AP159" s="10">
        <v>1675</v>
      </c>
      <c r="AQ159" s="10">
        <v>921</v>
      </c>
      <c r="AR159" s="10">
        <v>0</v>
      </c>
      <c r="AS159" s="10">
        <v>1675</v>
      </c>
      <c r="AT159" s="10">
        <v>0</v>
      </c>
      <c r="AU159" s="10">
        <v>243</v>
      </c>
      <c r="AV159" s="10">
        <v>0</v>
      </c>
      <c r="AW159" s="10">
        <v>0</v>
      </c>
      <c r="AX159" s="10">
        <v>-2</v>
      </c>
      <c r="AY159" s="10">
        <v>-16</v>
      </c>
      <c r="AZ159" s="10">
        <v>-138</v>
      </c>
      <c r="BA159" s="10">
        <v>0</v>
      </c>
      <c r="BB159" s="10">
        <f t="shared" si="8"/>
        <v>87</v>
      </c>
      <c r="BC159" s="6">
        <v>0</v>
      </c>
      <c r="BD159" s="10">
        <v>0</v>
      </c>
      <c r="BE159" s="10">
        <v>29</v>
      </c>
      <c r="BF159" s="10">
        <v>89</v>
      </c>
      <c r="BG159" s="10">
        <v>20</v>
      </c>
    </row>
    <row r="160" spans="1:59">
      <c r="A160" s="6">
        <v>18</v>
      </c>
      <c r="B160" s="6" t="s">
        <v>659</v>
      </c>
      <c r="C160" s="7" t="s">
        <v>517</v>
      </c>
      <c r="D160" s="6" t="s">
        <v>488</v>
      </c>
      <c r="E160" s="6" t="s">
        <v>461</v>
      </c>
      <c r="F160" s="7"/>
      <c r="G160" s="7"/>
      <c r="H160" s="10">
        <v>20611758</v>
      </c>
      <c r="I160" s="10">
        <v>20733306</v>
      </c>
      <c r="J160" s="10">
        <v>1437733</v>
      </c>
      <c r="K160" s="10">
        <v>6950150</v>
      </c>
      <c r="L160" s="10">
        <v>4204804</v>
      </c>
      <c r="M160" s="10">
        <v>4082250</v>
      </c>
      <c r="N160" s="10">
        <v>2162940</v>
      </c>
      <c r="O160" s="10">
        <v>0</v>
      </c>
      <c r="P160" s="10">
        <v>0</v>
      </c>
      <c r="Q160" s="10">
        <v>19333197</v>
      </c>
      <c r="R160" s="12">
        <v>0.1</v>
      </c>
      <c r="S160" s="10">
        <v>0</v>
      </c>
      <c r="T160" s="24">
        <f>1933320/19333197</f>
        <v>0.1000000155173508</v>
      </c>
      <c r="U160" s="10">
        <v>1932615</v>
      </c>
      <c r="V160" s="10">
        <v>0</v>
      </c>
      <c r="W160" s="10">
        <f>111935+12654+5389</f>
        <v>129978</v>
      </c>
      <c r="X160" s="10">
        <v>830570</v>
      </c>
      <c r="Y160" s="10">
        <v>81877</v>
      </c>
      <c r="Z160" s="10">
        <v>214525</v>
      </c>
      <c r="AA160" s="10">
        <v>133246</v>
      </c>
      <c r="AB160" s="10">
        <v>2948</v>
      </c>
      <c r="AC160" s="10">
        <v>12716</v>
      </c>
      <c r="AD160" s="10">
        <v>13785</v>
      </c>
      <c r="AE160" s="10">
        <f>24598+32857+48832</f>
        <v>106287</v>
      </c>
      <c r="AF160" s="10">
        <v>17859</v>
      </c>
      <c r="AG160" s="10">
        <v>3128</v>
      </c>
      <c r="AH160" s="10">
        <v>329483</v>
      </c>
      <c r="AI160" s="10">
        <v>0</v>
      </c>
      <c r="AJ160" s="10">
        <v>1912451</v>
      </c>
      <c r="AK160" s="10">
        <v>1972451</v>
      </c>
      <c r="AL160" s="10">
        <v>233692</v>
      </c>
      <c r="AM160" s="10">
        <v>2265</v>
      </c>
      <c r="AN160" s="10">
        <v>0</v>
      </c>
      <c r="AO160" s="10">
        <v>129052</v>
      </c>
      <c r="AP160" s="10">
        <v>0</v>
      </c>
      <c r="AQ160" s="10">
        <v>263178</v>
      </c>
      <c r="AR160" s="10">
        <v>0</v>
      </c>
      <c r="AS160" s="10">
        <v>0</v>
      </c>
      <c r="AT160" s="10">
        <v>0</v>
      </c>
      <c r="AU160" s="10">
        <v>5833</v>
      </c>
      <c r="AV160" s="10">
        <v>1866</v>
      </c>
      <c r="AW160" s="10">
        <f>-4-244</f>
        <v>-248</v>
      </c>
      <c r="AX160" s="10">
        <v>-235</v>
      </c>
      <c r="AY160" s="10">
        <v>-964</v>
      </c>
      <c r="AZ160" s="10">
        <v>-1220</v>
      </c>
      <c r="BA160" s="10">
        <v>-11</v>
      </c>
      <c r="BB160" s="10">
        <f t="shared" si="8"/>
        <v>5021</v>
      </c>
      <c r="BC160" s="6">
        <v>167</v>
      </c>
      <c r="BD160" s="10">
        <v>195</v>
      </c>
      <c r="BE160" s="10">
        <v>37</v>
      </c>
      <c r="BF160" s="10">
        <v>134</v>
      </c>
      <c r="BG160" s="10">
        <v>854</v>
      </c>
    </row>
    <row r="161" spans="1:59">
      <c r="A161" s="6">
        <v>18</v>
      </c>
      <c r="B161" s="6" t="s">
        <v>664</v>
      </c>
      <c r="C161" s="7" t="s">
        <v>100</v>
      </c>
      <c r="D161" s="6" t="s">
        <v>131</v>
      </c>
      <c r="E161" s="6" t="s">
        <v>285</v>
      </c>
      <c r="F161" s="7"/>
      <c r="G161" s="7" t="s">
        <v>286</v>
      </c>
      <c r="H161" s="10">
        <v>3085633</v>
      </c>
      <c r="I161" s="10">
        <v>3097895</v>
      </c>
      <c r="J161" s="10">
        <v>145458</v>
      </c>
      <c r="K161" s="10">
        <v>1197799</v>
      </c>
      <c r="L161" s="10">
        <v>419820</v>
      </c>
      <c r="M161" s="10">
        <v>676071</v>
      </c>
      <c r="N161" s="10">
        <v>177988</v>
      </c>
      <c r="O161" s="10">
        <v>0</v>
      </c>
      <c r="P161" s="10">
        <v>0</v>
      </c>
      <c r="Q161" s="10">
        <v>2750259</v>
      </c>
      <c r="R161" s="12">
        <v>0.13</v>
      </c>
      <c r="S161" s="10">
        <v>0</v>
      </c>
      <c r="T161" s="24">
        <f>274632/2746318</f>
        <v>0.10000007282477849</v>
      </c>
      <c r="U161" s="10">
        <v>274640</v>
      </c>
      <c r="V161" s="10">
        <v>0</v>
      </c>
      <c r="W161" s="10">
        <f>12262+600</f>
        <v>12862</v>
      </c>
      <c r="X161" s="10">
        <v>78289</v>
      </c>
      <c r="Y161" s="10">
        <v>6628</v>
      </c>
      <c r="Z161" s="10">
        <v>6916</v>
      </c>
      <c r="AA161" s="10">
        <v>10540</v>
      </c>
      <c r="AB161" s="10">
        <v>390</v>
      </c>
      <c r="AC161" s="10">
        <v>13171</v>
      </c>
      <c r="AD161" s="10">
        <v>0</v>
      </c>
      <c r="AE161" s="10">
        <f>5600+3791+5427</f>
        <v>14818</v>
      </c>
      <c r="AF161" s="10">
        <v>1302</v>
      </c>
      <c r="AG161" s="10">
        <v>3841</v>
      </c>
      <c r="AH161" s="10">
        <v>8112</v>
      </c>
      <c r="AI161" s="10">
        <v>59196</v>
      </c>
      <c r="AJ161" s="10">
        <v>151142</v>
      </c>
      <c r="AK161" s="10">
        <v>154810</v>
      </c>
      <c r="AL161" s="10">
        <v>0</v>
      </c>
      <c r="AM161" s="10">
        <v>0</v>
      </c>
      <c r="AN161" s="10">
        <v>0</v>
      </c>
      <c r="AO161" s="10">
        <v>124467</v>
      </c>
      <c r="AP161" s="10">
        <v>0</v>
      </c>
      <c r="AQ161" s="10">
        <v>15834</v>
      </c>
      <c r="AR161" s="10">
        <v>0</v>
      </c>
      <c r="AS161" s="10">
        <v>0</v>
      </c>
      <c r="AT161" s="10">
        <v>0</v>
      </c>
      <c r="AU161" s="10">
        <v>632</v>
      </c>
      <c r="AV161" s="10">
        <v>277</v>
      </c>
      <c r="AW161" s="10">
        <f>1-1</f>
        <v>0</v>
      </c>
      <c r="AX161" s="10">
        <v>-57</v>
      </c>
      <c r="AY161" s="10">
        <v>-87</v>
      </c>
      <c r="AZ161" s="10">
        <v>-107</v>
      </c>
      <c r="BA161" s="10">
        <v>0</v>
      </c>
      <c r="BB161" s="10">
        <f t="shared" si="8"/>
        <v>658</v>
      </c>
      <c r="BC161" s="6">
        <v>0</v>
      </c>
      <c r="BD161" s="10">
        <v>13</v>
      </c>
      <c r="BE161" s="10">
        <v>11</v>
      </c>
      <c r="BF161" s="10">
        <v>76</v>
      </c>
      <c r="BG161" s="10">
        <v>7</v>
      </c>
    </row>
    <row r="162" spans="1:59">
      <c r="A162" s="6">
        <v>19</v>
      </c>
      <c r="B162" s="6" t="s">
        <v>36</v>
      </c>
      <c r="C162" s="7"/>
      <c r="D162" s="6" t="s">
        <v>540</v>
      </c>
      <c r="E162" s="6" t="s">
        <v>619</v>
      </c>
      <c r="F162" s="7"/>
      <c r="G162" s="7" t="s">
        <v>620</v>
      </c>
      <c r="H162" s="10">
        <v>5161495</v>
      </c>
      <c r="I162" s="10">
        <v>5202648</v>
      </c>
      <c r="J162" s="10">
        <v>201180</v>
      </c>
      <c r="K162" s="10">
        <v>1910822</v>
      </c>
      <c r="L162" s="10">
        <v>171063</v>
      </c>
      <c r="M162" s="10">
        <v>368315</v>
      </c>
      <c r="N162" s="10">
        <v>665327</v>
      </c>
      <c r="O162" s="10">
        <v>15267</v>
      </c>
      <c r="P162" s="10">
        <v>0</v>
      </c>
      <c r="Q162" s="10">
        <v>3485976</v>
      </c>
      <c r="R162" s="12">
        <v>0.28870000000000001</v>
      </c>
      <c r="S162" s="10">
        <v>0</v>
      </c>
      <c r="T162" s="24">
        <f>347071/3470709</f>
        <v>0.10000002881255675</v>
      </c>
      <c r="U162" s="10">
        <v>347502</v>
      </c>
      <c r="V162" s="10">
        <v>8336</v>
      </c>
      <c r="W162" s="10">
        <f>25522+2204</f>
        <v>27726</v>
      </c>
      <c r="X162" s="10">
        <v>126145</v>
      </c>
      <c r="Y162" s="10">
        <v>11091</v>
      </c>
      <c r="Z162" s="10">
        <v>14472</v>
      </c>
      <c r="AA162" s="10">
        <v>38284</v>
      </c>
      <c r="AB162" s="10">
        <v>759</v>
      </c>
      <c r="AC162" s="10">
        <v>10000</v>
      </c>
      <c r="AD162" s="10">
        <v>8165</v>
      </c>
      <c r="AE162" s="10">
        <f>6828+6569+10081</f>
        <v>23478</v>
      </c>
      <c r="AF162" s="10">
        <v>6423</v>
      </c>
      <c r="AG162" s="10">
        <v>1961</v>
      </c>
      <c r="AH162" s="10">
        <v>8076</v>
      </c>
      <c r="AI162" s="10">
        <v>0</v>
      </c>
      <c r="AJ162" s="10">
        <v>276079</v>
      </c>
      <c r="AK162" s="10">
        <v>337553</v>
      </c>
      <c r="AL162" s="10">
        <v>0</v>
      </c>
      <c r="AM162" s="10">
        <v>0</v>
      </c>
      <c r="AN162" s="10">
        <v>0</v>
      </c>
      <c r="AO162" s="10">
        <v>59753</v>
      </c>
      <c r="AP162" s="10">
        <v>0</v>
      </c>
      <c r="AQ162" s="10">
        <v>142358</v>
      </c>
      <c r="AR162" s="10">
        <v>0</v>
      </c>
      <c r="AS162" s="10">
        <v>0</v>
      </c>
      <c r="AT162" s="10">
        <v>0</v>
      </c>
      <c r="AU162" s="10">
        <v>0</v>
      </c>
      <c r="AV162" s="10">
        <v>1517</v>
      </c>
      <c r="AW162" s="10">
        <f>2143-193</f>
        <v>1950</v>
      </c>
      <c r="AX162" s="10">
        <v>-49</v>
      </c>
      <c r="AY162" s="10">
        <v>-162</v>
      </c>
      <c r="AZ162" s="10">
        <v>0</v>
      </c>
      <c r="BA162" s="10">
        <v>0</v>
      </c>
      <c r="BB162" s="10">
        <f t="shared" si="8"/>
        <v>3256</v>
      </c>
      <c r="BC162" s="6">
        <v>0</v>
      </c>
      <c r="BD162" s="10">
        <v>0</v>
      </c>
      <c r="BE162" s="10">
        <v>0</v>
      </c>
      <c r="BF162" s="10">
        <v>0</v>
      </c>
      <c r="BG162" s="10">
        <v>0</v>
      </c>
    </row>
    <row r="163" spans="1:59">
      <c r="A163" s="6">
        <v>19</v>
      </c>
      <c r="B163" s="6" t="s">
        <v>176</v>
      </c>
      <c r="C163" s="7" t="s">
        <v>38</v>
      </c>
      <c r="D163" s="6" t="s">
        <v>540</v>
      </c>
      <c r="E163" s="6" t="s">
        <v>619</v>
      </c>
      <c r="F163" s="7"/>
      <c r="G163" s="7" t="s">
        <v>620</v>
      </c>
      <c r="H163" s="10">
        <v>6823941</v>
      </c>
      <c r="I163" s="10">
        <v>6879432</v>
      </c>
      <c r="J163" s="10">
        <v>853822</v>
      </c>
      <c r="K163" s="10">
        <v>1694836</v>
      </c>
      <c r="L163" s="10">
        <v>67073</v>
      </c>
      <c r="M163" s="10">
        <v>115257</v>
      </c>
      <c r="N163" s="10">
        <v>1907494</v>
      </c>
      <c r="O163" s="10">
        <v>98001</v>
      </c>
      <c r="P163" s="10">
        <v>0</v>
      </c>
      <c r="Q163" s="10">
        <v>4307605</v>
      </c>
      <c r="R163" s="12">
        <v>0.25</v>
      </c>
      <c r="S163" s="10">
        <v>0</v>
      </c>
      <c r="T163" s="24">
        <f>420774/4207735</f>
        <v>0.10000011882877605</v>
      </c>
      <c r="U163" s="10">
        <v>423075</v>
      </c>
      <c r="V163" s="10">
        <v>0</v>
      </c>
      <c r="W163" s="10">
        <f>55491+1+394</f>
        <v>55886</v>
      </c>
      <c r="X163" s="10">
        <v>301879</v>
      </c>
      <c r="Y163" s="10">
        <v>28740</v>
      </c>
      <c r="Z163" s="2">
        <v>51572</v>
      </c>
      <c r="AA163" s="10">
        <v>480</v>
      </c>
      <c r="AB163" s="10">
        <v>6038</v>
      </c>
      <c r="AC163" s="10">
        <v>11430</v>
      </c>
      <c r="AD163" s="10">
        <v>18796</v>
      </c>
      <c r="AE163" s="10">
        <f>10324+3223+31539</f>
        <v>45086</v>
      </c>
      <c r="AF163" s="10">
        <v>9353</v>
      </c>
      <c r="AG163" s="10">
        <v>5930</v>
      </c>
      <c r="AH163" s="10">
        <v>-609</v>
      </c>
      <c r="AI163" s="10">
        <v>0</v>
      </c>
      <c r="AJ163" s="10">
        <v>528219</v>
      </c>
      <c r="AK163" s="10">
        <v>604420</v>
      </c>
      <c r="AL163" s="10">
        <v>2694</v>
      </c>
      <c r="AM163" s="10">
        <v>0</v>
      </c>
      <c r="AN163" s="10">
        <v>0</v>
      </c>
      <c r="AO163" s="10">
        <v>129800</v>
      </c>
      <c r="AP163" s="10">
        <v>66429</v>
      </c>
      <c r="AQ163" s="10">
        <v>-1796</v>
      </c>
      <c r="AR163" s="10">
        <v>0</v>
      </c>
      <c r="AS163" s="10">
        <v>0</v>
      </c>
      <c r="AT163" s="10">
        <v>125306</v>
      </c>
      <c r="AU163" s="10">
        <v>546</v>
      </c>
      <c r="AV163" s="10">
        <v>3863</v>
      </c>
      <c r="AW163" s="10">
        <f>203-109</f>
        <v>94</v>
      </c>
      <c r="AX163" s="10">
        <v>-269</v>
      </c>
      <c r="AY163" s="10">
        <v>-1253</v>
      </c>
      <c r="AZ163" s="10">
        <v>0</v>
      </c>
      <c r="BA163" s="10">
        <v>0</v>
      </c>
      <c r="BB163" s="10">
        <f t="shared" si="8"/>
        <v>2981</v>
      </c>
      <c r="BC163" s="6">
        <v>0</v>
      </c>
      <c r="BD163" s="10">
        <v>0</v>
      </c>
      <c r="BE163" s="10">
        <v>0</v>
      </c>
      <c r="BF163" s="10">
        <v>0</v>
      </c>
      <c r="BG163" s="10">
        <v>0</v>
      </c>
    </row>
    <row r="164" spans="1:59">
      <c r="A164" s="6">
        <v>19</v>
      </c>
      <c r="B164" s="6" t="s">
        <v>191</v>
      </c>
      <c r="C164" s="7" t="s">
        <v>558</v>
      </c>
      <c r="D164" s="6" t="s">
        <v>120</v>
      </c>
      <c r="E164" s="6" t="s">
        <v>657</v>
      </c>
      <c r="F164" s="7"/>
      <c r="G164" s="7" t="s">
        <v>658</v>
      </c>
      <c r="H164" s="10">
        <f>2319903+115777</f>
        <v>2435680</v>
      </c>
      <c r="I164" s="10">
        <v>2457838</v>
      </c>
      <c r="J164" s="10">
        <v>78718</v>
      </c>
      <c r="K164" s="10">
        <v>1068847</v>
      </c>
      <c r="L164" s="10">
        <v>292117</v>
      </c>
      <c r="M164" s="10">
        <v>561222</v>
      </c>
      <c r="N164" s="10">
        <v>180949</v>
      </c>
      <c r="O164" s="10">
        <v>1696</v>
      </c>
      <c r="P164" s="10">
        <v>0</v>
      </c>
      <c r="Q164" s="10">
        <v>2339884</v>
      </c>
      <c r="R164" s="12">
        <v>0.193</v>
      </c>
      <c r="S164" s="10">
        <v>0</v>
      </c>
      <c r="T164" s="24">
        <f>234427/2344270</f>
        <v>0.1</v>
      </c>
      <c r="U164" s="10">
        <v>234427</v>
      </c>
      <c r="V164" s="10">
        <v>20250</v>
      </c>
      <c r="W164" s="10">
        <f>13812+4867+873+1134+171+200+1124</f>
        <v>22181</v>
      </c>
      <c r="X164" s="10">
        <v>68683</v>
      </c>
      <c r="Y164" s="10">
        <v>5724</v>
      </c>
      <c r="Z164" s="10">
        <v>0</v>
      </c>
      <c r="AA164" s="10">
        <v>9900</v>
      </c>
      <c r="AB164" s="10">
        <v>11644</v>
      </c>
      <c r="AC164" s="10">
        <v>1498</v>
      </c>
      <c r="AD164" s="10">
        <v>9990</v>
      </c>
      <c r="AE164" s="10">
        <f>2472+6273+4977</f>
        <v>13722</v>
      </c>
      <c r="AF164" s="10">
        <v>1006</v>
      </c>
      <c r="AG164" s="10">
        <v>0</v>
      </c>
      <c r="AH164" s="10">
        <v>1817</v>
      </c>
      <c r="AI164" s="10">
        <v>28156</v>
      </c>
      <c r="AJ164" s="10">
        <v>136799</v>
      </c>
      <c r="AK164" s="10">
        <v>142261</v>
      </c>
      <c r="AL164" s="10">
        <v>12359</v>
      </c>
      <c r="AM164" s="10">
        <v>0</v>
      </c>
      <c r="AN164" s="10">
        <v>0</v>
      </c>
      <c r="AO164" s="10">
        <v>118880</v>
      </c>
      <c r="AP164" s="10">
        <v>0</v>
      </c>
      <c r="AQ164" s="10">
        <v>17124</v>
      </c>
      <c r="AR164" s="10">
        <v>0</v>
      </c>
      <c r="AS164" s="10">
        <v>0</v>
      </c>
      <c r="AT164" s="10">
        <v>0</v>
      </c>
      <c r="AU164" s="10">
        <v>571</v>
      </c>
      <c r="AV164" s="10">
        <v>228</v>
      </c>
      <c r="AW164" s="10">
        <f>1+8-1</f>
        <v>8</v>
      </c>
      <c r="AX164" s="10">
        <v>-31</v>
      </c>
      <c r="AY164" s="10">
        <v>-59</v>
      </c>
      <c r="AZ164" s="10">
        <v>-151</v>
      </c>
      <c r="BA164" s="10">
        <v>-6</v>
      </c>
      <c r="BB164" s="10">
        <f t="shared" si="8"/>
        <v>560</v>
      </c>
      <c r="BC164" s="6">
        <v>0</v>
      </c>
      <c r="BD164" s="10">
        <v>22</v>
      </c>
      <c r="BE164" s="10">
        <v>21</v>
      </c>
      <c r="BF164" s="10">
        <v>108</v>
      </c>
      <c r="BG164" s="10">
        <v>0</v>
      </c>
    </row>
    <row r="165" spans="1:59">
      <c r="A165" s="6">
        <v>19</v>
      </c>
      <c r="B165" s="6" t="s">
        <v>518</v>
      </c>
      <c r="C165" s="7" t="s">
        <v>59</v>
      </c>
      <c r="D165" s="6" t="s">
        <v>540</v>
      </c>
      <c r="E165" s="6" t="s">
        <v>619</v>
      </c>
      <c r="F165" s="7"/>
      <c r="G165" s="7" t="s">
        <v>620</v>
      </c>
      <c r="H165" s="10">
        <v>35836</v>
      </c>
      <c r="I165" s="10">
        <v>35836</v>
      </c>
      <c r="J165" s="10">
        <v>6716</v>
      </c>
      <c r="K165" s="10">
        <v>15009</v>
      </c>
      <c r="L165" s="10">
        <v>18958</v>
      </c>
      <c r="M165" s="10">
        <v>32860</v>
      </c>
      <c r="N165" s="10">
        <v>260</v>
      </c>
      <c r="O165" s="10">
        <v>0</v>
      </c>
      <c r="P165" s="10">
        <v>0</v>
      </c>
      <c r="Q165" s="10">
        <v>41879</v>
      </c>
      <c r="R165" s="12">
        <v>0</v>
      </c>
      <c r="S165" s="10">
        <v>0</v>
      </c>
      <c r="T165" s="24">
        <f>4188/41879</f>
        <v>0.10000238783161011</v>
      </c>
      <c r="U165" s="10">
        <v>4810</v>
      </c>
      <c r="V165" s="10">
        <v>5646</v>
      </c>
      <c r="W165" s="10">
        <v>74</v>
      </c>
      <c r="X165" s="10">
        <v>0</v>
      </c>
      <c r="Y165" s="10">
        <v>-129</v>
      </c>
      <c r="Z165" s="10">
        <v>0</v>
      </c>
      <c r="AA165" s="10">
        <v>0</v>
      </c>
      <c r="AB165" s="10">
        <v>7370</v>
      </c>
      <c r="AC165" s="10">
        <v>0</v>
      </c>
      <c r="AD165" s="10">
        <v>0</v>
      </c>
      <c r="AE165" s="10">
        <f>390+84</f>
        <v>474</v>
      </c>
      <c r="AF165" s="10">
        <v>0</v>
      </c>
      <c r="AG165" s="10">
        <v>402</v>
      </c>
      <c r="AH165" s="10">
        <v>0</v>
      </c>
      <c r="AI165" s="10">
        <v>7370</v>
      </c>
      <c r="AJ165" s="10">
        <v>13726</v>
      </c>
      <c r="AK165" s="10">
        <v>19940</v>
      </c>
      <c r="AL165" s="10">
        <v>4086</v>
      </c>
      <c r="AM165" s="10">
        <v>0</v>
      </c>
      <c r="AN165" s="10">
        <v>0</v>
      </c>
      <c r="AO165" s="10">
        <v>2376</v>
      </c>
      <c r="AP165" s="10">
        <v>0</v>
      </c>
      <c r="AQ165" s="10">
        <v>0</v>
      </c>
      <c r="AR165" s="10">
        <v>0</v>
      </c>
      <c r="AS165" s="10">
        <v>0</v>
      </c>
      <c r="AT165" s="10">
        <v>0</v>
      </c>
      <c r="AU165" s="10">
        <v>246</v>
      </c>
      <c r="AV165" s="10">
        <v>0</v>
      </c>
      <c r="AW165" s="10">
        <v>0</v>
      </c>
      <c r="AX165" s="10">
        <v>0</v>
      </c>
      <c r="AY165" s="10">
        <v>-8</v>
      </c>
      <c r="AZ165" s="10">
        <v>-238</v>
      </c>
      <c r="BA165" s="10">
        <v>0</v>
      </c>
      <c r="BB165" s="10">
        <f t="shared" si="8"/>
        <v>0</v>
      </c>
      <c r="BC165" s="6">
        <v>0</v>
      </c>
      <c r="BD165" s="10"/>
      <c r="BE165" s="10"/>
      <c r="BF165" s="10"/>
      <c r="BG165" s="10"/>
    </row>
    <row r="166" spans="1:59">
      <c r="A166" s="6">
        <v>19</v>
      </c>
      <c r="B166" s="6" t="s">
        <v>605</v>
      </c>
      <c r="C166" s="7" t="s">
        <v>470</v>
      </c>
      <c r="D166" s="6" t="s">
        <v>540</v>
      </c>
      <c r="E166" s="6" t="s">
        <v>619</v>
      </c>
      <c r="F166" s="7"/>
      <c r="G166" s="7" t="s">
        <v>620</v>
      </c>
      <c r="H166" s="10">
        <v>15062906</v>
      </c>
      <c r="I166" s="10">
        <v>15222845</v>
      </c>
      <c r="J166" s="10">
        <v>1459837</v>
      </c>
      <c r="K166" s="10">
        <v>8220584</v>
      </c>
      <c r="L166" s="10">
        <v>1293543</v>
      </c>
      <c r="M166" s="10">
        <v>4588507</v>
      </c>
      <c r="N166" s="10">
        <v>2250452</v>
      </c>
      <c r="O166" s="10">
        <v>61081</v>
      </c>
      <c r="P166" s="10">
        <v>0</v>
      </c>
      <c r="Q166" s="10">
        <v>17327928</v>
      </c>
      <c r="R166" s="12">
        <v>9.1700000000000004E-2</v>
      </c>
      <c r="S166" s="10">
        <v>0</v>
      </c>
      <c r="T166" s="24">
        <f>887959/17241257</f>
        <v>5.1501987355098297E-2</v>
      </c>
      <c r="U166" s="10">
        <v>887961</v>
      </c>
      <c r="V166" s="10">
        <v>380600</v>
      </c>
      <c r="W166" s="10">
        <f>131819+9151</f>
        <v>140970</v>
      </c>
      <c r="X166" s="10">
        <v>441765</v>
      </c>
      <c r="Y166" s="10">
        <v>35060</v>
      </c>
      <c r="Z166" s="10">
        <v>46060</v>
      </c>
      <c r="AA166" s="10">
        <v>72750</v>
      </c>
      <c r="AB166" s="10">
        <v>1786</v>
      </c>
      <c r="AC166" s="10">
        <v>17878</v>
      </c>
      <c r="AD166" s="10">
        <v>838</v>
      </c>
      <c r="AE166" s="10">
        <f>16523+39546+22624</f>
        <v>78693</v>
      </c>
      <c r="AF166" s="10">
        <v>4407</v>
      </c>
      <c r="AG166" s="10">
        <v>5282</v>
      </c>
      <c r="AH166" s="10">
        <v>99554</v>
      </c>
      <c r="AI166" s="10">
        <v>0</v>
      </c>
      <c r="AJ166" s="10">
        <v>889651</v>
      </c>
      <c r="AK166" s="10">
        <v>1052778</v>
      </c>
      <c r="AL166" s="10">
        <v>147494</v>
      </c>
      <c r="AM166" s="10">
        <v>318</v>
      </c>
      <c r="AN166" s="10">
        <v>0</v>
      </c>
      <c r="AO166" s="10">
        <v>129052</v>
      </c>
      <c r="AP166" s="10">
        <v>0</v>
      </c>
      <c r="AQ166" s="10">
        <v>131487</v>
      </c>
      <c r="AR166" s="10">
        <v>0</v>
      </c>
      <c r="AS166" s="10">
        <v>0</v>
      </c>
      <c r="AT166" s="10">
        <v>0</v>
      </c>
      <c r="AU166" s="10">
        <v>6620</v>
      </c>
      <c r="AV166" s="10">
        <v>536</v>
      </c>
      <c r="AW166" s="10">
        <v>-2156</v>
      </c>
      <c r="AX166" s="10">
        <v>-395</v>
      </c>
      <c r="AY166" s="10">
        <v>-1630</v>
      </c>
      <c r="AZ166" s="10">
        <v>-561</v>
      </c>
      <c r="BA166" s="10">
        <v>0</v>
      </c>
      <c r="BB166" s="10">
        <f t="shared" si="8"/>
        <v>2414</v>
      </c>
      <c r="BC166" s="6">
        <v>0</v>
      </c>
      <c r="BD166" s="10">
        <v>141</v>
      </c>
      <c r="BE166" s="10">
        <v>63</v>
      </c>
      <c r="BF166" s="10">
        <v>365</v>
      </c>
      <c r="BG166" s="10">
        <v>0</v>
      </c>
    </row>
    <row r="167" spans="1:59">
      <c r="A167" s="6">
        <v>19</v>
      </c>
      <c r="B167" s="6" t="s">
        <v>663</v>
      </c>
      <c r="C167" s="7" t="s">
        <v>539</v>
      </c>
      <c r="D167" s="6" t="s">
        <v>170</v>
      </c>
      <c r="E167" s="6" t="s">
        <v>130</v>
      </c>
      <c r="F167" s="7"/>
      <c r="G167" s="7" t="s">
        <v>133</v>
      </c>
      <c r="H167" s="10">
        <v>20287298</v>
      </c>
      <c r="I167" s="10">
        <v>20444144</v>
      </c>
      <c r="J167" s="10">
        <v>929737</v>
      </c>
      <c r="K167" s="10">
        <v>8902545</v>
      </c>
      <c r="L167" s="10">
        <v>3529003</v>
      </c>
      <c r="M167" s="10">
        <v>3703691</v>
      </c>
      <c r="N167" s="10">
        <v>2291036</v>
      </c>
      <c r="O167" s="10">
        <v>0</v>
      </c>
      <c r="P167" s="10">
        <v>0</v>
      </c>
      <c r="Q167" s="10">
        <v>19330541</v>
      </c>
      <c r="R167" s="12">
        <v>0.26</v>
      </c>
      <c r="S167" s="10">
        <v>0</v>
      </c>
      <c r="T167" s="24">
        <f>918145/19330541</f>
        <v>4.7497118678675364E-2</v>
      </c>
      <c r="U167" s="10">
        <v>867909</v>
      </c>
      <c r="V167" s="10">
        <v>0</v>
      </c>
      <c r="W167" s="10">
        <f>156106+748+2424</f>
        <v>159278</v>
      </c>
      <c r="X167" s="10">
        <v>515488</v>
      </c>
      <c r="Y167" s="10">
        <v>43642</v>
      </c>
      <c r="Z167" s="10">
        <v>101422</v>
      </c>
      <c r="AA167" s="10">
        <v>58607</v>
      </c>
      <c r="AB167" s="10">
        <v>3390</v>
      </c>
      <c r="AC167" s="10">
        <v>22111</v>
      </c>
      <c r="AD167" s="10">
        <v>13291</v>
      </c>
      <c r="AE167" s="10">
        <f>7298+20640+18766</f>
        <v>46704</v>
      </c>
      <c r="AF167" s="10">
        <v>2709</v>
      </c>
      <c r="AG167" s="10">
        <v>0</v>
      </c>
      <c r="AH167" s="10">
        <v>20739</v>
      </c>
      <c r="AI167" s="10">
        <v>11177</v>
      </c>
      <c r="AJ167" s="10">
        <v>890781</v>
      </c>
      <c r="AK167" s="10">
        <v>884376</v>
      </c>
      <c r="AL167" s="10">
        <v>85405</v>
      </c>
      <c r="AM167" s="10">
        <v>0</v>
      </c>
      <c r="AN167" s="10">
        <v>0</v>
      </c>
      <c r="AO167" s="10">
        <v>128707</v>
      </c>
      <c r="AP167" s="10">
        <v>0</v>
      </c>
      <c r="AQ167" s="10">
        <v>106312</v>
      </c>
      <c r="AR167" s="10">
        <v>0</v>
      </c>
      <c r="AS167" s="10">
        <v>0</v>
      </c>
      <c r="AT167" s="10">
        <v>0</v>
      </c>
      <c r="AU167" s="10">
        <v>5770</v>
      </c>
      <c r="AV167" s="10">
        <v>2822</v>
      </c>
      <c r="AW167" s="10">
        <f>22+1+60</f>
        <v>83</v>
      </c>
      <c r="AX167" s="10">
        <v>-405</v>
      </c>
      <c r="AY167" s="10">
        <v>-1470</v>
      </c>
      <c r="AZ167" s="10">
        <v>-1181</v>
      </c>
      <c r="BA167" s="10">
        <v>0</v>
      </c>
      <c r="BB167" s="10">
        <f t="shared" si="8"/>
        <v>5619</v>
      </c>
      <c r="BC167" s="6">
        <v>0</v>
      </c>
      <c r="BD167" s="10">
        <v>184</v>
      </c>
      <c r="BE167" s="10">
        <v>88</v>
      </c>
      <c r="BF167" s="10">
        <v>870</v>
      </c>
      <c r="BG167" s="10">
        <v>39</v>
      </c>
    </row>
    <row r="168" spans="1:59">
      <c r="A168" s="6">
        <v>20</v>
      </c>
      <c r="B168" s="6" t="s">
        <v>35</v>
      </c>
      <c r="C168" s="7"/>
      <c r="D168" s="6" t="s">
        <v>28</v>
      </c>
      <c r="E168" s="6" t="s">
        <v>437</v>
      </c>
      <c r="F168" s="7"/>
      <c r="G168" s="7" t="s">
        <v>432</v>
      </c>
      <c r="H168" s="10">
        <v>6016102</v>
      </c>
      <c r="I168" s="10">
        <v>6037044</v>
      </c>
      <c r="J168" s="10">
        <v>201895</v>
      </c>
      <c r="K168" s="10">
        <v>2262460</v>
      </c>
      <c r="L168" s="10">
        <v>958941</v>
      </c>
      <c r="M168" s="10">
        <v>654188</v>
      </c>
      <c r="N168" s="10">
        <v>1034056</v>
      </c>
      <c r="O168" s="10">
        <v>0</v>
      </c>
      <c r="P168" s="10">
        <v>0</v>
      </c>
      <c r="Q168" s="10">
        <v>5436710</v>
      </c>
      <c r="R168" s="12">
        <v>0.2233</v>
      </c>
      <c r="S168" s="10">
        <v>0</v>
      </c>
      <c r="T168" s="24">
        <f>512470/5436710</f>
        <v>9.4261051260780881E-2</v>
      </c>
      <c r="U168" s="10">
        <v>519383</v>
      </c>
      <c r="V168" s="10">
        <v>0</v>
      </c>
      <c r="W168" s="10">
        <f>17134+436</f>
        <v>17570</v>
      </c>
      <c r="X168" s="10">
        <v>169491</v>
      </c>
      <c r="Y168" s="10">
        <v>22549</v>
      </c>
      <c r="Z168" s="10">
        <v>10814</v>
      </c>
      <c r="AA168" s="10">
        <f>15704+5377</f>
        <v>21081</v>
      </c>
      <c r="AB168" s="10">
        <v>0</v>
      </c>
      <c r="AC168" s="10">
        <v>15020</v>
      </c>
      <c r="AD168" s="10">
        <v>30663</v>
      </c>
      <c r="AE168" s="10">
        <f>8633+8731+23891</f>
        <v>41255</v>
      </c>
      <c r="AF168" s="10">
        <v>4850</v>
      </c>
      <c r="AG168" s="10">
        <v>5180</v>
      </c>
      <c r="AH168" s="10">
        <v>116836</v>
      </c>
      <c r="AI168" s="10">
        <v>0</v>
      </c>
      <c r="AJ168" s="10">
        <v>571880</v>
      </c>
      <c r="AK168" s="10">
        <v>596466</v>
      </c>
      <c r="AL168" s="10">
        <v>0</v>
      </c>
      <c r="AM168" s="10">
        <v>1941</v>
      </c>
      <c r="AN168" s="10">
        <v>0</v>
      </c>
      <c r="AO168" s="10">
        <v>0</v>
      </c>
      <c r="AP168" s="10">
        <v>0</v>
      </c>
      <c r="AQ168" s="10">
        <v>101900</v>
      </c>
      <c r="AR168" s="10">
        <v>0</v>
      </c>
      <c r="AS168" s="10">
        <v>0</v>
      </c>
      <c r="AT168" s="10">
        <v>0</v>
      </c>
      <c r="AU168" s="10">
        <v>4626</v>
      </c>
      <c r="AV168" s="10">
        <v>625</v>
      </c>
      <c r="AW168" s="10">
        <v>0</v>
      </c>
      <c r="AX168" s="10">
        <v>-23</v>
      </c>
      <c r="AY168" s="10">
        <v>-24</v>
      </c>
      <c r="AZ168" s="10">
        <v>-68</v>
      </c>
      <c r="BA168" s="10">
        <v>0</v>
      </c>
      <c r="BB168" s="10">
        <f t="shared" si="8"/>
        <v>5136</v>
      </c>
      <c r="BC168" s="6">
        <v>18</v>
      </c>
      <c r="BD168" s="10">
        <v>25</v>
      </c>
      <c r="BE168" s="10">
        <v>7</v>
      </c>
      <c r="BF168" s="10">
        <v>55</v>
      </c>
      <c r="BG168" s="10">
        <v>0</v>
      </c>
    </row>
    <row r="169" spans="1:59">
      <c r="A169" s="6">
        <v>20</v>
      </c>
      <c r="B169" s="6" t="s">
        <v>79</v>
      </c>
      <c r="C169" s="7" t="s">
        <v>648</v>
      </c>
      <c r="D169" s="6" t="s">
        <v>415</v>
      </c>
      <c r="E169" s="6" t="s">
        <v>455</v>
      </c>
      <c r="F169" s="7" t="s">
        <v>192</v>
      </c>
      <c r="G169" s="7" t="s">
        <v>456</v>
      </c>
      <c r="H169" s="10">
        <v>3682136</v>
      </c>
      <c r="I169" s="10">
        <v>3692122</v>
      </c>
      <c r="J169" s="10">
        <v>76271</v>
      </c>
      <c r="K169" s="10">
        <v>2198648</v>
      </c>
      <c r="L169" s="10">
        <v>325902</v>
      </c>
      <c r="M169" s="10">
        <v>484253</v>
      </c>
      <c r="N169" s="10">
        <v>195225</v>
      </c>
      <c r="O169" s="10">
        <v>0</v>
      </c>
      <c r="P169" s="10">
        <v>0</v>
      </c>
      <c r="Q169" s="10">
        <v>3518416</v>
      </c>
      <c r="R169" s="12">
        <v>0.115</v>
      </c>
      <c r="S169" s="10">
        <v>0</v>
      </c>
      <c r="T169" s="24">
        <f>316657/3518416</f>
        <v>8.9999874943724675E-2</v>
      </c>
      <c r="U169" s="10">
        <v>314236</v>
      </c>
      <c r="V169" s="10">
        <v>0</v>
      </c>
      <c r="W169" s="10">
        <f>3300+243+285</f>
        <v>3828</v>
      </c>
      <c r="X169" s="10">
        <v>61568</v>
      </c>
      <c r="Y169" s="10">
        <v>5086</v>
      </c>
      <c r="Z169" s="10">
        <v>10499</v>
      </c>
      <c r="AA169" s="10">
        <v>11100</v>
      </c>
      <c r="AB169" s="10">
        <v>5780</v>
      </c>
      <c r="AC169" s="10">
        <v>6871</v>
      </c>
      <c r="AD169" s="10">
        <v>14617</v>
      </c>
      <c r="AE169" s="10">
        <f>4609+14806+7790</f>
        <v>27205</v>
      </c>
      <c r="AF169" s="10">
        <v>4334</v>
      </c>
      <c r="AG169" s="10">
        <v>3708</v>
      </c>
      <c r="AH169" s="10">
        <v>21961</v>
      </c>
      <c r="AI169" s="10">
        <v>11220</v>
      </c>
      <c r="AJ169" s="10">
        <v>195030</v>
      </c>
      <c r="AK169" s="10">
        <v>205392</v>
      </c>
      <c r="AL169" s="10">
        <v>23029</v>
      </c>
      <c r="AM169" s="10">
        <v>0</v>
      </c>
      <c r="AN169" s="10">
        <v>0</v>
      </c>
      <c r="AO169" s="10">
        <v>129000</v>
      </c>
      <c r="AP169" s="10">
        <v>0</v>
      </c>
      <c r="AQ169" s="10">
        <v>17972</v>
      </c>
      <c r="AR169" s="10">
        <v>0</v>
      </c>
      <c r="AS169" s="10">
        <v>0</v>
      </c>
      <c r="AT169" s="10">
        <v>0</v>
      </c>
      <c r="AU169" s="10">
        <v>565</v>
      </c>
      <c r="AV169" s="10">
        <v>245</v>
      </c>
      <c r="AW169" s="10">
        <v>-1</v>
      </c>
      <c r="AX169" s="10">
        <v>-63</v>
      </c>
      <c r="AY169" s="10">
        <v>-116</v>
      </c>
      <c r="AZ169" s="10">
        <v>-69</v>
      </c>
      <c r="BA169" s="10">
        <v>0</v>
      </c>
      <c r="BB169" s="10">
        <f t="shared" si="8"/>
        <v>561</v>
      </c>
      <c r="BC169" s="6">
        <v>0</v>
      </c>
      <c r="BD169" s="10">
        <v>26</v>
      </c>
      <c r="BE169" s="10">
        <v>4</v>
      </c>
      <c r="BF169" s="10">
        <v>35</v>
      </c>
      <c r="BG169" s="10">
        <v>4</v>
      </c>
    </row>
    <row r="170" spans="1:59">
      <c r="A170" s="6">
        <v>20</v>
      </c>
      <c r="B170" s="6" t="s">
        <v>194</v>
      </c>
      <c r="C170" s="7" t="s">
        <v>352</v>
      </c>
      <c r="D170" s="6" t="s">
        <v>615</v>
      </c>
      <c r="E170" s="6" t="s">
        <v>455</v>
      </c>
      <c r="F170" s="7" t="s">
        <v>441</v>
      </c>
      <c r="G170" s="7" t="s">
        <v>456</v>
      </c>
      <c r="H170" s="10">
        <v>12554363</v>
      </c>
      <c r="I170" s="10">
        <v>12595721</v>
      </c>
      <c r="J170" s="10">
        <v>339767</v>
      </c>
      <c r="K170" s="10">
        <v>6349128</v>
      </c>
      <c r="L170" s="10">
        <v>1257784</v>
      </c>
      <c r="M170" s="10">
        <v>2837269</v>
      </c>
      <c r="N170" s="10">
        <v>763449</v>
      </c>
      <c r="O170" s="10">
        <v>1183</v>
      </c>
      <c r="P170" s="10">
        <v>0</v>
      </c>
      <c r="Q170" s="10">
        <v>11668784</v>
      </c>
      <c r="R170" s="12">
        <v>0.12</v>
      </c>
      <c r="S170" s="10">
        <v>0</v>
      </c>
      <c r="T170" s="24">
        <f>459813/11634385</f>
        <v>3.9521899954316451E-2</v>
      </c>
      <c r="U170" s="10">
        <v>459971</v>
      </c>
      <c r="V170" s="10">
        <v>0</v>
      </c>
      <c r="W170" s="10">
        <f>41358+989</f>
        <v>42347</v>
      </c>
      <c r="X170" s="10">
        <v>166980</v>
      </c>
      <c r="Y170" s="10">
        <v>15260</v>
      </c>
      <c r="Z170" s="10">
        <v>20734</v>
      </c>
      <c r="AA170" s="10">
        <f>19030+0</f>
        <v>19030</v>
      </c>
      <c r="AB170" s="10">
        <v>6900</v>
      </c>
      <c r="AC170" s="10">
        <v>10956</v>
      </c>
      <c r="AD170" s="10">
        <v>7875</v>
      </c>
      <c r="AE170" s="10">
        <f>6196+21992+22938</f>
        <v>51126</v>
      </c>
      <c r="AF170" s="10">
        <v>5000</v>
      </c>
      <c r="AG170" s="10">
        <v>1023</v>
      </c>
      <c r="AH170" s="10">
        <v>8845</v>
      </c>
      <c r="AI170" s="10">
        <v>80090</v>
      </c>
      <c r="AJ170" s="10">
        <v>368911</v>
      </c>
      <c r="AK170" s="10">
        <v>376424</v>
      </c>
      <c r="AL170" s="10">
        <v>40656</v>
      </c>
      <c r="AM170" s="10">
        <v>0</v>
      </c>
      <c r="AN170" s="10">
        <v>0</v>
      </c>
      <c r="AO170" s="10">
        <v>129052</v>
      </c>
      <c r="AP170" s="10">
        <v>0</v>
      </c>
      <c r="AQ170" s="10">
        <v>46194</v>
      </c>
      <c r="AR170" s="10">
        <v>0</v>
      </c>
      <c r="AS170" s="10">
        <v>0</v>
      </c>
      <c r="AT170" s="10">
        <v>0</v>
      </c>
      <c r="AU170" s="10">
        <v>2052</v>
      </c>
      <c r="AV170" s="10">
        <v>819</v>
      </c>
      <c r="AW170" s="10">
        <f>13+2+-3</f>
        <v>12</v>
      </c>
      <c r="AX170" s="10">
        <v>-172</v>
      </c>
      <c r="AY170" s="10">
        <v>-339</v>
      </c>
      <c r="AZ170" s="10">
        <v>-300</v>
      </c>
      <c r="BA170" s="10">
        <v>-1</v>
      </c>
      <c r="BB170" s="10">
        <f t="shared" si="8"/>
        <v>2071</v>
      </c>
      <c r="BC170" s="6">
        <v>1</v>
      </c>
      <c r="BD170" s="10">
        <v>101</v>
      </c>
      <c r="BE170" s="10">
        <v>55</v>
      </c>
      <c r="BF170" s="10">
        <v>144</v>
      </c>
      <c r="BG170" s="10">
        <v>0</v>
      </c>
    </row>
    <row r="171" spans="1:59">
      <c r="A171" s="6">
        <v>20</v>
      </c>
      <c r="B171" s="6" t="s">
        <v>250</v>
      </c>
      <c r="C171" s="7" t="s">
        <v>648</v>
      </c>
      <c r="D171" s="6" t="s">
        <v>213</v>
      </c>
      <c r="E171" s="6" t="s">
        <v>326</v>
      </c>
      <c r="F171" s="7"/>
      <c r="G171" s="7" t="s">
        <v>313</v>
      </c>
      <c r="H171" s="10">
        <v>16528223</v>
      </c>
      <c r="I171" s="10">
        <v>16570825</v>
      </c>
      <c r="J171" s="10">
        <v>393810</v>
      </c>
      <c r="K171" s="10">
        <v>9377958</v>
      </c>
      <c r="L171" s="10">
        <v>1740293</v>
      </c>
      <c r="M171" s="10">
        <v>2120755</v>
      </c>
      <c r="N171" s="10">
        <v>1489370</v>
      </c>
      <c r="O171" s="10">
        <v>4746</v>
      </c>
      <c r="P171" s="10">
        <v>0</v>
      </c>
      <c r="Q171" s="10">
        <v>16107844</v>
      </c>
      <c r="R171" s="12">
        <v>7.8E-2</v>
      </c>
      <c r="S171" s="10">
        <v>0</v>
      </c>
      <c r="T171" s="24">
        <f>1197463/15971141</f>
        <v>7.4976671986052845E-2</v>
      </c>
      <c r="U171" s="10">
        <v>1197107</v>
      </c>
      <c r="V171" s="10">
        <v>0</v>
      </c>
      <c r="W171" s="10">
        <f>38819+3416+3359</f>
        <v>45594</v>
      </c>
      <c r="X171" s="10">
        <v>468733</v>
      </c>
      <c r="Y171" s="10">
        <v>36886</v>
      </c>
      <c r="Z171" s="10">
        <v>125810</v>
      </c>
      <c r="AA171" s="10">
        <f>42907+8229</f>
        <v>51136</v>
      </c>
      <c r="AB171" s="10">
        <v>2200</v>
      </c>
      <c r="AC171" s="10">
        <v>17761</v>
      </c>
      <c r="AD171" s="10">
        <v>34999</v>
      </c>
      <c r="AE171" s="10">
        <f>17240+32744+21851</f>
        <v>71835</v>
      </c>
      <c r="AF171" s="10">
        <v>9715</v>
      </c>
      <c r="AG171" s="10">
        <v>1488</v>
      </c>
      <c r="AH171" s="10">
        <v>21630</v>
      </c>
      <c r="AI171" s="10">
        <v>43782</v>
      </c>
      <c r="AJ171" s="10">
        <v>932071</v>
      </c>
      <c r="AK171" s="10">
        <v>1158060</v>
      </c>
      <c r="AL171" s="10">
        <v>111984</v>
      </c>
      <c r="AM171" s="10">
        <v>0</v>
      </c>
      <c r="AN171" s="10">
        <v>0</v>
      </c>
      <c r="AO171" s="10">
        <v>129052</v>
      </c>
      <c r="AP171" s="10">
        <v>0</v>
      </c>
      <c r="AQ171" s="10">
        <v>298236</v>
      </c>
      <c r="AR171" s="10">
        <v>0</v>
      </c>
      <c r="AS171" s="10">
        <v>0</v>
      </c>
      <c r="AT171" s="10">
        <v>0</v>
      </c>
      <c r="AU171" s="10">
        <v>4774</v>
      </c>
      <c r="AV171" s="10">
        <v>2249</v>
      </c>
      <c r="AW171" s="10">
        <v>0</v>
      </c>
      <c r="AX171" s="10">
        <v>-237</v>
      </c>
      <c r="AY171" s="10">
        <f>-886+-1</f>
        <v>-887</v>
      </c>
      <c r="AZ171" s="10">
        <v>-689</v>
      </c>
      <c r="BA171" s="10">
        <v>-20</v>
      </c>
      <c r="BB171" s="10">
        <f t="shared" si="8"/>
        <v>5190</v>
      </c>
      <c r="BC171" s="6">
        <v>2</v>
      </c>
      <c r="BD171" s="10">
        <v>0</v>
      </c>
      <c r="BE171" s="10">
        <v>0</v>
      </c>
      <c r="BF171" s="10">
        <v>285</v>
      </c>
      <c r="BG171" s="10">
        <v>388</v>
      </c>
    </row>
    <row r="172" spans="1:59">
      <c r="A172" s="6">
        <v>20</v>
      </c>
      <c r="B172" s="6" t="s">
        <v>281</v>
      </c>
      <c r="C172" s="7" t="s">
        <v>39</v>
      </c>
      <c r="D172" s="6" t="s">
        <v>457</v>
      </c>
      <c r="E172" s="6" t="s">
        <v>455</v>
      </c>
      <c r="F172" s="7" t="s">
        <v>641</v>
      </c>
      <c r="G172" s="7" t="s">
        <v>456</v>
      </c>
      <c r="H172" s="10">
        <v>29784491</v>
      </c>
      <c r="I172" s="10">
        <v>29879754</v>
      </c>
      <c r="J172" s="10">
        <v>767249</v>
      </c>
      <c r="K172" s="10">
        <v>19150420</v>
      </c>
      <c r="L172" s="10">
        <v>1883707</v>
      </c>
      <c r="M172" s="10">
        <v>3563149</v>
      </c>
      <c r="N172" s="10">
        <v>2877868</v>
      </c>
      <c r="O172" s="10">
        <v>0</v>
      </c>
      <c r="P172" s="10">
        <v>0</v>
      </c>
      <c r="Q172" s="10">
        <v>28493474</v>
      </c>
      <c r="R172" s="12">
        <v>0.1179</v>
      </c>
      <c r="S172" s="10">
        <v>0</v>
      </c>
      <c r="T172" s="24">
        <f>1018330/28304996</f>
        <v>3.5977040943584657E-2</v>
      </c>
      <c r="U172" s="10">
        <v>1018330</v>
      </c>
      <c r="V172" s="10">
        <v>0</v>
      </c>
      <c r="W172" s="10">
        <f>95263+2321</f>
        <v>97584</v>
      </c>
      <c r="X172" s="10">
        <v>481170</v>
      </c>
      <c r="Y172" s="10">
        <v>40964</v>
      </c>
      <c r="Z172" s="10">
        <v>99842</v>
      </c>
      <c r="AA172" s="10">
        <v>38988</v>
      </c>
      <c r="AB172" s="10">
        <v>31466</v>
      </c>
      <c r="AC172" s="10">
        <v>17760</v>
      </c>
      <c r="AD172" s="10">
        <v>18052</v>
      </c>
      <c r="AE172" s="10">
        <f>10095+50593+40646</f>
        <v>101334</v>
      </c>
      <c r="AF172" s="10">
        <v>6221</v>
      </c>
      <c r="AG172" s="10">
        <v>553</v>
      </c>
      <c r="AH172" s="10">
        <v>62175</v>
      </c>
      <c r="AI172" s="10">
        <v>78811</v>
      </c>
      <c r="AJ172" s="10">
        <v>937312</v>
      </c>
      <c r="AK172" s="10">
        <v>966102</v>
      </c>
      <c r="AL172" s="10">
        <v>108574</v>
      </c>
      <c r="AM172" s="10">
        <v>0</v>
      </c>
      <c r="AN172" s="10">
        <v>0</v>
      </c>
      <c r="AO172" s="10">
        <v>129052</v>
      </c>
      <c r="AP172" s="10">
        <v>0</v>
      </c>
      <c r="AQ172" s="10">
        <v>158116</v>
      </c>
      <c r="AR172" s="10">
        <v>0</v>
      </c>
      <c r="AS172" s="10">
        <v>0</v>
      </c>
      <c r="AT172" s="10">
        <v>0</v>
      </c>
      <c r="AU172" s="10">
        <v>4140</v>
      </c>
      <c r="AV172" s="10">
        <v>2698</v>
      </c>
      <c r="AW172" s="10">
        <f>35+31</f>
        <v>66</v>
      </c>
      <c r="AX172" s="10">
        <v>-408</v>
      </c>
      <c r="AY172" s="10">
        <v>-1203</v>
      </c>
      <c r="AZ172" s="10">
        <v>-490</v>
      </c>
      <c r="BA172" s="10">
        <v>-3</v>
      </c>
      <c r="BB172" s="10">
        <f t="shared" ref="BB172:BB203" si="9">SUM(AU172:BA172)</f>
        <v>4800</v>
      </c>
      <c r="BC172" s="6">
        <v>2</v>
      </c>
      <c r="BD172" s="10">
        <v>141</v>
      </c>
      <c r="BE172" s="10">
        <v>70</v>
      </c>
      <c r="BF172" s="10">
        <v>257</v>
      </c>
      <c r="BG172" s="10">
        <v>12</v>
      </c>
    </row>
    <row r="173" spans="1:59">
      <c r="A173" s="6">
        <v>20</v>
      </c>
      <c r="B173" s="6" t="s">
        <v>376</v>
      </c>
      <c r="C173" s="7" t="s">
        <v>579</v>
      </c>
      <c r="D173" s="6" t="s">
        <v>28</v>
      </c>
      <c r="E173" s="6" t="s">
        <v>437</v>
      </c>
      <c r="F173" s="7"/>
      <c r="G173" s="7" t="s">
        <v>432</v>
      </c>
      <c r="H173" s="10">
        <v>6958985</v>
      </c>
      <c r="I173" s="10">
        <v>6983627</v>
      </c>
      <c r="J173" s="10">
        <v>199975</v>
      </c>
      <c r="K173" s="10">
        <v>2713787</v>
      </c>
      <c r="L173" s="10">
        <v>1495983</v>
      </c>
      <c r="M173" s="10">
        <v>804939</v>
      </c>
      <c r="N173" s="10">
        <v>1448753</v>
      </c>
      <c r="O173" s="10">
        <v>0</v>
      </c>
      <c r="P173" s="10">
        <v>0</v>
      </c>
      <c r="Q173" s="10">
        <v>7001770</v>
      </c>
      <c r="R173" s="12">
        <v>0.13789999999999999</v>
      </c>
      <c r="S173" s="10">
        <v>0</v>
      </c>
      <c r="T173" s="24">
        <f>525133/7001770</f>
        <v>7.5000035705257387E-2</v>
      </c>
      <c r="U173" s="10">
        <v>522053</v>
      </c>
      <c r="V173" s="10">
        <v>0</v>
      </c>
      <c r="W173" s="10">
        <f>23068+4157</f>
        <v>27225</v>
      </c>
      <c r="X173" s="10">
        <v>199402</v>
      </c>
      <c r="Y173" s="10">
        <v>23615</v>
      </c>
      <c r="Z173" s="10">
        <v>31154</v>
      </c>
      <c r="AA173" s="10">
        <f>18837+3327</f>
        <v>22164</v>
      </c>
      <c r="AB173" s="10">
        <v>380</v>
      </c>
      <c r="AC173" s="10">
        <v>27792</v>
      </c>
      <c r="AD173" s="10">
        <v>8309</v>
      </c>
      <c r="AE173" s="10">
        <f>10535+13407+11369</f>
        <v>35311</v>
      </c>
      <c r="AF173" s="10">
        <v>1659</v>
      </c>
      <c r="AG173" s="10">
        <v>8652</v>
      </c>
      <c r="AH173" s="10">
        <v>12289</v>
      </c>
      <c r="AI173" s="10">
        <v>0</v>
      </c>
      <c r="AJ173" s="10">
        <v>408964</v>
      </c>
      <c r="AK173" s="10">
        <v>551838</v>
      </c>
      <c r="AL173" s="10">
        <v>59479</v>
      </c>
      <c r="AM173" s="10">
        <v>0</v>
      </c>
      <c r="AN173" s="10">
        <v>0</v>
      </c>
      <c r="AO173" s="10">
        <v>74562</v>
      </c>
      <c r="AP173" s="10">
        <v>10754</v>
      </c>
      <c r="AQ173" s="10">
        <v>33956</v>
      </c>
      <c r="AR173" s="10">
        <v>0</v>
      </c>
      <c r="AS173" s="10">
        <v>10754</v>
      </c>
      <c r="AT173" s="10">
        <v>0</v>
      </c>
      <c r="AU173" s="10">
        <v>3937</v>
      </c>
      <c r="AV173" s="10">
        <v>1468</v>
      </c>
      <c r="AW173" s="10">
        <v>0</v>
      </c>
      <c r="AX173" s="10">
        <v>-129</v>
      </c>
      <c r="AY173" s="10">
        <v>-447</v>
      </c>
      <c r="AZ173" s="10">
        <v>-201</v>
      </c>
      <c r="BA173" s="10">
        <v>-2</v>
      </c>
      <c r="BB173" s="10">
        <f t="shared" si="9"/>
        <v>4626</v>
      </c>
      <c r="BC173" s="6">
        <v>7</v>
      </c>
      <c r="BD173" s="10">
        <v>6</v>
      </c>
      <c r="BE173" s="10">
        <v>14</v>
      </c>
      <c r="BF173" s="10">
        <v>189</v>
      </c>
      <c r="BG173" s="10">
        <v>3</v>
      </c>
    </row>
    <row r="174" spans="1:59">
      <c r="A174" s="6">
        <v>20</v>
      </c>
      <c r="B174" s="6" t="s">
        <v>628</v>
      </c>
      <c r="C174" s="7" t="s">
        <v>533</v>
      </c>
      <c r="D174" s="6" t="s">
        <v>646</v>
      </c>
      <c r="E174" s="6" t="s">
        <v>326</v>
      </c>
      <c r="F174" s="7"/>
      <c r="G174" s="7" t="s">
        <v>313</v>
      </c>
      <c r="H174" s="10">
        <v>5703391</v>
      </c>
      <c r="I174" s="10">
        <v>5736741</v>
      </c>
      <c r="J174" s="10">
        <v>108624</v>
      </c>
      <c r="K174" s="10">
        <v>2883711</v>
      </c>
      <c r="L174" s="10">
        <v>873635.48</v>
      </c>
      <c r="M174" s="10">
        <v>953816</v>
      </c>
      <c r="N174" s="10">
        <v>374538</v>
      </c>
      <c r="O174" s="10">
        <v>0</v>
      </c>
      <c r="P174" s="10">
        <v>0</v>
      </c>
      <c r="Q174" s="10">
        <v>5491641</v>
      </c>
      <c r="R174" s="12">
        <v>0.111</v>
      </c>
      <c r="S174" s="10">
        <v>0</v>
      </c>
      <c r="T174" s="24">
        <f>399188/5491641</f>
        <v>7.2690112117671207E-2</v>
      </c>
      <c r="U174" s="10">
        <v>399115</v>
      </c>
      <c r="V174" s="10">
        <v>0</v>
      </c>
      <c r="W174" s="10">
        <v>33351</v>
      </c>
      <c r="X174" s="10">
        <v>116676</v>
      </c>
      <c r="Y174" s="10">
        <v>9213</v>
      </c>
      <c r="Z174" s="10">
        <v>17893</v>
      </c>
      <c r="AA174" s="10">
        <f>16800+1390</f>
        <v>18190</v>
      </c>
      <c r="AB174" s="10">
        <v>12800</v>
      </c>
      <c r="AC174" s="10">
        <f>14095+10378</f>
        <v>24473</v>
      </c>
      <c r="AD174" s="10">
        <v>635</v>
      </c>
      <c r="AE174" s="10">
        <f>6803+13156+7203</f>
        <v>27162</v>
      </c>
      <c r="AF174" s="10">
        <v>4919</v>
      </c>
      <c r="AG174" s="10">
        <v>21230</v>
      </c>
      <c r="AH174" s="10">
        <v>20692</v>
      </c>
      <c r="AI174" s="10">
        <v>131326</v>
      </c>
      <c r="AJ174" s="10">
        <v>306992</v>
      </c>
      <c r="AK174" s="10">
        <v>313461</v>
      </c>
      <c r="AL174" s="10">
        <v>44208</v>
      </c>
      <c r="AM174" s="10">
        <v>0</v>
      </c>
      <c r="AN174" s="10">
        <v>0</v>
      </c>
      <c r="AO174" s="10">
        <v>129052</v>
      </c>
      <c r="AP174" s="10">
        <v>0</v>
      </c>
      <c r="AQ174" s="10">
        <v>44273</v>
      </c>
      <c r="AR174" s="10">
        <v>0</v>
      </c>
      <c r="AS174" s="10">
        <v>0</v>
      </c>
      <c r="AT174" s="10">
        <v>0</v>
      </c>
      <c r="AU174" s="10">
        <v>1314</v>
      </c>
      <c r="AV174" s="10">
        <v>548</v>
      </c>
      <c r="AW174" s="10">
        <v>-1</v>
      </c>
      <c r="AX174" s="10">
        <v>-99</v>
      </c>
      <c r="AY174" s="10">
        <v>-182</v>
      </c>
      <c r="AZ174" s="10">
        <v>-179</v>
      </c>
      <c r="BA174" s="10">
        <v>-1</v>
      </c>
      <c r="BB174" s="10">
        <f t="shared" si="9"/>
        <v>1400</v>
      </c>
      <c r="BC174" s="6">
        <v>3</v>
      </c>
      <c r="BD174" s="10">
        <v>88</v>
      </c>
      <c r="BE174" s="10">
        <v>17</v>
      </c>
      <c r="BF174" s="10">
        <v>55</v>
      </c>
      <c r="BG174" s="10">
        <v>20</v>
      </c>
    </row>
    <row r="175" spans="1:59">
      <c r="A175" s="6">
        <v>21</v>
      </c>
      <c r="B175" s="6" t="s">
        <v>65</v>
      </c>
      <c r="C175" s="7" t="s">
        <v>62</v>
      </c>
      <c r="D175" s="6" t="s">
        <v>51</v>
      </c>
      <c r="E175" s="6" t="s">
        <v>236</v>
      </c>
      <c r="F175" s="7" t="s">
        <v>568</v>
      </c>
      <c r="G175" s="7" t="s">
        <v>244</v>
      </c>
      <c r="H175" s="10">
        <v>26238778</v>
      </c>
      <c r="I175" s="10">
        <v>26332757</v>
      </c>
      <c r="J175" s="10">
        <v>560387</v>
      </c>
      <c r="K175" s="10">
        <v>16843334</v>
      </c>
      <c r="L175" s="10">
        <v>944000</v>
      </c>
      <c r="M175" s="10">
        <v>3308896</v>
      </c>
      <c r="N175" s="10">
        <v>2715016</v>
      </c>
      <c r="O175" s="10">
        <v>0</v>
      </c>
      <c r="P175" s="10">
        <v>0</v>
      </c>
      <c r="Q175" s="10">
        <v>25633706</v>
      </c>
      <c r="R175" s="12">
        <v>0.112</v>
      </c>
      <c r="S175" s="10">
        <v>0</v>
      </c>
      <c r="T175" s="24">
        <f>1409854/25633706</f>
        <v>5.5000006631893181E-2</v>
      </c>
      <c r="U175" s="10">
        <v>1405789</v>
      </c>
      <c r="V175" s="10">
        <v>0</v>
      </c>
      <c r="W175" s="10">
        <f>84919+10499</f>
        <v>95418</v>
      </c>
      <c r="X175" s="10">
        <v>706362</v>
      </c>
      <c r="Y175" s="10">
        <v>52420</v>
      </c>
      <c r="Z175" s="10">
        <v>163963</v>
      </c>
      <c r="AA175" s="10">
        <f>72843+15881</f>
        <v>88724</v>
      </c>
      <c r="AB175" s="10">
        <v>2820</v>
      </c>
      <c r="AC175" s="10">
        <v>40739</v>
      </c>
      <c r="AD175" s="10">
        <v>4007</v>
      </c>
      <c r="AE175" s="10">
        <f>26010+38042+54700</f>
        <v>118752</v>
      </c>
      <c r="AF175" s="10">
        <v>14994</v>
      </c>
      <c r="AG175" s="10">
        <v>10331</v>
      </c>
      <c r="AH175" s="10">
        <v>8569</v>
      </c>
      <c r="AI175" s="10">
        <v>185</v>
      </c>
      <c r="AJ175" s="10">
        <v>1384536</v>
      </c>
      <c r="AK175" s="10">
        <v>1297049</v>
      </c>
      <c r="AL175" s="10">
        <v>135226</v>
      </c>
      <c r="AM175" s="10">
        <v>0</v>
      </c>
      <c r="AN175" s="10">
        <v>0</v>
      </c>
      <c r="AO175" s="10">
        <v>128337</v>
      </c>
      <c r="AP175" s="10">
        <v>0</v>
      </c>
      <c r="AQ175" s="10">
        <v>136636</v>
      </c>
      <c r="AR175" s="10">
        <v>0</v>
      </c>
      <c r="AS175" s="10">
        <v>0</v>
      </c>
      <c r="AT175" s="10">
        <v>0</v>
      </c>
      <c r="AU175" s="10">
        <v>8445</v>
      </c>
      <c r="AV175" s="10">
        <v>3865</v>
      </c>
      <c r="AW175" s="10">
        <f>4-2</f>
        <v>2</v>
      </c>
      <c r="AX175" s="10">
        <v>-337</v>
      </c>
      <c r="AY175" s="10">
        <v>-1592</v>
      </c>
      <c r="AZ175" s="10">
        <v>-848</v>
      </c>
      <c r="BA175" s="10">
        <v>-11</v>
      </c>
      <c r="BB175" s="10">
        <f t="shared" si="9"/>
        <v>9524</v>
      </c>
      <c r="BC175" s="6">
        <v>0</v>
      </c>
      <c r="BD175" s="10">
        <v>231</v>
      </c>
      <c r="BE175" s="10">
        <v>104</v>
      </c>
      <c r="BF175" s="10">
        <v>453</v>
      </c>
      <c r="BG175" s="10">
        <v>19</v>
      </c>
    </row>
    <row r="176" spans="1:59">
      <c r="A176" s="6">
        <v>21</v>
      </c>
      <c r="B176" s="6" t="s">
        <v>78</v>
      </c>
      <c r="C176" s="7" t="s">
        <v>303</v>
      </c>
      <c r="D176" s="6" t="s">
        <v>49</v>
      </c>
      <c r="E176" s="6" t="s">
        <v>236</v>
      </c>
      <c r="F176" s="7" t="s">
        <v>441</v>
      </c>
      <c r="G176" s="7" t="s">
        <v>244</v>
      </c>
      <c r="H176" s="10">
        <v>70495482</v>
      </c>
      <c r="I176" s="10">
        <v>70782401</v>
      </c>
      <c r="J176" s="10">
        <v>1627484</v>
      </c>
      <c r="K176" s="10">
        <v>40598690</v>
      </c>
      <c r="L176" s="10">
        <v>7701486</v>
      </c>
      <c r="M176" s="10">
        <v>9869963</v>
      </c>
      <c r="N176" s="10">
        <v>7225078</v>
      </c>
      <c r="O176" s="10">
        <v>6543</v>
      </c>
      <c r="P176" s="10">
        <v>0</v>
      </c>
      <c r="Q176" s="10">
        <v>67996466</v>
      </c>
      <c r="R176" s="12">
        <v>0.15</v>
      </c>
      <c r="S176" s="10">
        <v>0</v>
      </c>
      <c r="T176" s="24">
        <f>2035191/67989923</f>
        <v>2.9933715324254744E-2</v>
      </c>
      <c r="U176" s="10">
        <v>2035132</v>
      </c>
      <c r="V176" s="10">
        <v>0</v>
      </c>
      <c r="W176" s="10">
        <f>286920+22912</f>
        <v>309832</v>
      </c>
      <c r="X176" s="10">
        <v>1109303</v>
      </c>
      <c r="Y176" s="10">
        <v>80155</v>
      </c>
      <c r="Z176" s="10">
        <v>324185</v>
      </c>
      <c r="AA176" s="10">
        <v>153771</v>
      </c>
      <c r="AB176" s="10">
        <v>2386</v>
      </c>
      <c r="AC176" s="10">
        <v>20243</v>
      </c>
      <c r="AD176" s="10">
        <v>6643</v>
      </c>
      <c r="AE176" s="10">
        <f>35610+64097+41506</f>
        <v>141213</v>
      </c>
      <c r="AF176" s="10">
        <v>20987</v>
      </c>
      <c r="AG176" s="10">
        <v>0</v>
      </c>
      <c r="AH176" s="10">
        <v>169540</v>
      </c>
      <c r="AI176" s="10">
        <v>0</v>
      </c>
      <c r="AJ176" s="10">
        <v>2160695</v>
      </c>
      <c r="AK176" s="10">
        <v>2272110</v>
      </c>
      <c r="AL176" s="10">
        <v>283727</v>
      </c>
      <c r="AM176" s="10">
        <v>0</v>
      </c>
      <c r="AN176" s="10">
        <v>0</v>
      </c>
      <c r="AO176" s="10">
        <v>129052</v>
      </c>
      <c r="AP176" s="10">
        <v>0</v>
      </c>
      <c r="AQ176" s="10">
        <v>345801</v>
      </c>
      <c r="AR176" s="10">
        <v>0</v>
      </c>
      <c r="AS176" s="10">
        <v>0</v>
      </c>
      <c r="AT176" s="10">
        <v>0</v>
      </c>
      <c r="AU176" s="10">
        <v>16493</v>
      </c>
      <c r="AV176" s="10">
        <v>9297</v>
      </c>
      <c r="AW176" s="10">
        <f>13+33-16</f>
        <v>30</v>
      </c>
      <c r="AX176" s="10">
        <v>-764</v>
      </c>
      <c r="AY176" s="10">
        <v>-6198</v>
      </c>
      <c r="AZ176" s="10">
        <v>-2137</v>
      </c>
      <c r="BA176" s="10">
        <v>-2</v>
      </c>
      <c r="BB176" s="10">
        <f t="shared" si="9"/>
        <v>16719</v>
      </c>
      <c r="BC176" s="6">
        <v>54</v>
      </c>
      <c r="BD176" s="10">
        <v>1008</v>
      </c>
      <c r="BE176" s="10">
        <v>98</v>
      </c>
      <c r="BF176" s="10">
        <v>1028</v>
      </c>
      <c r="BG176" s="10">
        <v>1</v>
      </c>
    </row>
    <row r="177" spans="1:59">
      <c r="A177" s="6">
        <v>21</v>
      </c>
      <c r="B177" s="6" t="s">
        <v>92</v>
      </c>
      <c r="C177" s="7" t="s">
        <v>588</v>
      </c>
      <c r="D177" s="6" t="s">
        <v>549</v>
      </c>
      <c r="E177" s="6" t="s">
        <v>236</v>
      </c>
      <c r="F177" s="7" t="s">
        <v>568</v>
      </c>
      <c r="G177" s="7" t="s">
        <v>244</v>
      </c>
      <c r="H177" s="10">
        <v>43818205</v>
      </c>
      <c r="I177" s="10">
        <v>43886641</v>
      </c>
      <c r="J177" s="10">
        <v>2373072</v>
      </c>
      <c r="K177" s="10">
        <v>26751319</v>
      </c>
      <c r="L177" s="10">
        <v>1554296</v>
      </c>
      <c r="M177" s="10">
        <v>6359621</v>
      </c>
      <c r="N177" s="10">
        <v>3996208</v>
      </c>
      <c r="O177" s="10">
        <v>0</v>
      </c>
      <c r="P177" s="10">
        <v>0</v>
      </c>
      <c r="Q177" s="10">
        <v>41125626</v>
      </c>
      <c r="R177" s="12">
        <v>0.05</v>
      </c>
      <c r="S177" s="10">
        <v>0</v>
      </c>
      <c r="T177" s="24">
        <f>1734669/41125626</f>
        <v>4.2179759160383357E-2</v>
      </c>
      <c r="U177" s="10">
        <v>1736274</v>
      </c>
      <c r="V177" s="10">
        <v>0</v>
      </c>
      <c r="W177" s="10">
        <f>68436+3677</f>
        <v>72113</v>
      </c>
      <c r="X177" s="10">
        <v>782197</v>
      </c>
      <c r="Y177" s="10">
        <v>61202</v>
      </c>
      <c r="Z177" s="10">
        <v>250834</v>
      </c>
      <c r="AA177" s="10">
        <f>144708+2839</f>
        <v>147547</v>
      </c>
      <c r="AB177" s="10">
        <v>0</v>
      </c>
      <c r="AC177" s="10">
        <v>37182</v>
      </c>
      <c r="AD177" s="10">
        <v>5675</v>
      </c>
      <c r="AE177" s="10">
        <f>34134+69952+56075</f>
        <v>160161</v>
      </c>
      <c r="AF177" s="10">
        <v>18230</v>
      </c>
      <c r="AG177" s="10">
        <v>0</v>
      </c>
      <c r="AH177" s="10">
        <v>63704</v>
      </c>
      <c r="AI177" s="10">
        <v>0</v>
      </c>
      <c r="AJ177" s="10">
        <v>1623185</v>
      </c>
      <c r="AK177" s="10">
        <v>1704065</v>
      </c>
      <c r="AL177" s="10">
        <v>259640</v>
      </c>
      <c r="AM177" s="10">
        <v>470</v>
      </c>
      <c r="AN177" s="10">
        <v>0</v>
      </c>
      <c r="AO177" s="10">
        <v>129052</v>
      </c>
      <c r="AP177" s="10">
        <v>0</v>
      </c>
      <c r="AQ177" s="10">
        <v>312557</v>
      </c>
      <c r="AR177" s="10">
        <v>36616</v>
      </c>
      <c r="AS177" s="10">
        <v>36616</v>
      </c>
      <c r="AT177" s="10">
        <v>0</v>
      </c>
      <c r="AU177" s="10">
        <v>11846</v>
      </c>
      <c r="AV177" s="10">
        <v>5802</v>
      </c>
      <c r="AW177" s="10">
        <f>1+23-5</f>
        <v>19</v>
      </c>
      <c r="AX177" s="10">
        <v>-415</v>
      </c>
      <c r="AY177" s="10">
        <v>-2453</v>
      </c>
      <c r="AZ177" s="10">
        <v>-1176</v>
      </c>
      <c r="BA177" s="10">
        <v>-11</v>
      </c>
      <c r="BB177" s="10">
        <f t="shared" si="9"/>
        <v>13612</v>
      </c>
      <c r="BC177" s="6">
        <v>10</v>
      </c>
      <c r="BD177" s="10">
        <v>506</v>
      </c>
      <c r="BE177" s="10">
        <v>161</v>
      </c>
      <c r="BF177" s="10">
        <v>508</v>
      </c>
      <c r="BG177" s="10">
        <v>1</v>
      </c>
    </row>
    <row r="178" spans="1:59">
      <c r="A178" s="6">
        <v>21</v>
      </c>
      <c r="B178" s="6" t="s">
        <v>159</v>
      </c>
      <c r="C178" s="7" t="s">
        <v>367</v>
      </c>
      <c r="D178" s="6" t="s">
        <v>302</v>
      </c>
      <c r="E178" s="6" t="s">
        <v>222</v>
      </c>
      <c r="F178" s="7" t="s">
        <v>394</v>
      </c>
      <c r="G178" s="7" t="s">
        <v>224</v>
      </c>
      <c r="H178" s="10">
        <v>32758005</v>
      </c>
      <c r="I178" s="10">
        <v>32772713</v>
      </c>
      <c r="J178" s="10">
        <v>1793543</v>
      </c>
      <c r="K178" s="10">
        <v>21062852</v>
      </c>
      <c r="L178" s="10">
        <v>1619565</v>
      </c>
      <c r="M178" s="10">
        <v>2583887</v>
      </c>
      <c r="N178" s="10">
        <v>674710</v>
      </c>
      <c r="O178" s="10">
        <v>95313</v>
      </c>
      <c r="P178" s="10">
        <v>0</v>
      </c>
      <c r="Q178" s="10">
        <v>26730015</v>
      </c>
      <c r="R178" s="12">
        <v>0.2</v>
      </c>
      <c r="S178" s="10">
        <v>0</v>
      </c>
      <c r="T178" s="24">
        <f>693924/26634687</f>
        <v>2.6053394207335719E-2</v>
      </c>
      <c r="U178" s="10">
        <v>693674</v>
      </c>
      <c r="V178" s="10">
        <v>0</v>
      </c>
      <c r="W178" s="10">
        <f>13914+1253+1287</f>
        <v>16454</v>
      </c>
      <c r="X178" s="10">
        <v>331310</v>
      </c>
      <c r="Y178" s="10">
        <v>25484</v>
      </c>
      <c r="Z178" s="10">
        <v>25780</v>
      </c>
      <c r="AA178" s="10">
        <v>52386</v>
      </c>
      <c r="AB178" s="10">
        <v>0</v>
      </c>
      <c r="AC178" s="10">
        <v>16321</v>
      </c>
      <c r="AD178" s="10">
        <v>13470</v>
      </c>
      <c r="AE178" s="10">
        <f>30631+31789+40350</f>
        <v>102770</v>
      </c>
      <c r="AF178" s="10">
        <v>12084</v>
      </c>
      <c r="AG178" s="10">
        <v>1346</v>
      </c>
      <c r="AH178" s="10">
        <v>32886</v>
      </c>
      <c r="AI178" s="10">
        <v>0</v>
      </c>
      <c r="AJ178" s="10">
        <v>665540</v>
      </c>
      <c r="AK178" s="10">
        <v>665670</v>
      </c>
      <c r="AL178" s="10">
        <v>73801</v>
      </c>
      <c r="AM178" s="10">
        <v>0</v>
      </c>
      <c r="AN178" s="10">
        <v>0</v>
      </c>
      <c r="AO178" s="10">
        <v>129052</v>
      </c>
      <c r="AP178" s="10">
        <v>0</v>
      </c>
      <c r="AQ178" s="10">
        <v>84377</v>
      </c>
      <c r="AR178" s="10">
        <v>0</v>
      </c>
      <c r="AS178" s="10">
        <v>0</v>
      </c>
      <c r="AT178" s="10">
        <v>0</v>
      </c>
      <c r="AU178" s="10">
        <v>3207</v>
      </c>
      <c r="AV178" s="10">
        <v>2726</v>
      </c>
      <c r="AW178" s="10">
        <f>44-2</f>
        <v>42</v>
      </c>
      <c r="AX178" s="10">
        <v>-136</v>
      </c>
      <c r="AY178" s="10">
        <v>-1640</v>
      </c>
      <c r="AZ178" s="10">
        <v>-273</v>
      </c>
      <c r="BA178" s="10">
        <v>0</v>
      </c>
      <c r="BB178" s="10">
        <f t="shared" si="9"/>
        <v>3926</v>
      </c>
      <c r="BC178" s="6">
        <v>5</v>
      </c>
      <c r="BD178" s="10">
        <v>54</v>
      </c>
      <c r="BE178" s="10">
        <v>27</v>
      </c>
      <c r="BF178" s="10">
        <v>181</v>
      </c>
      <c r="BG178" s="10">
        <v>0</v>
      </c>
    </row>
    <row r="179" spans="1:59">
      <c r="A179" s="6">
        <v>21</v>
      </c>
      <c r="B179" s="6" t="s">
        <v>261</v>
      </c>
      <c r="C179" s="7" t="s">
        <v>345</v>
      </c>
      <c r="D179" s="6" t="s">
        <v>590</v>
      </c>
      <c r="E179" s="6" t="s">
        <v>222</v>
      </c>
      <c r="F179" s="7" t="s">
        <v>441</v>
      </c>
      <c r="G179" s="7" t="s">
        <v>224</v>
      </c>
      <c r="H179" s="10">
        <v>6153893</v>
      </c>
      <c r="I179" s="10">
        <v>6158414</v>
      </c>
      <c r="J179" s="10">
        <v>472930</v>
      </c>
      <c r="K179" s="10">
        <v>3341977</v>
      </c>
      <c r="L179" s="10">
        <v>357930</v>
      </c>
      <c r="M179" s="10">
        <v>931691</v>
      </c>
      <c r="N179" s="10">
        <v>412503</v>
      </c>
      <c r="O179" s="10">
        <v>20747</v>
      </c>
      <c r="P179" s="10">
        <v>0</v>
      </c>
      <c r="Q179" s="10">
        <v>5545200</v>
      </c>
      <c r="R179" s="12">
        <v>0.19</v>
      </c>
      <c r="S179" s="10">
        <v>0</v>
      </c>
      <c r="T179" s="24">
        <f>481255/5524452</f>
        <v>8.7113617785076244E-2</v>
      </c>
      <c r="U179" s="10">
        <v>480159</v>
      </c>
      <c r="V179" s="10">
        <v>0</v>
      </c>
      <c r="W179" s="10">
        <f>4522+1+733</f>
        <v>5256</v>
      </c>
      <c r="X179" s="10">
        <v>138699</v>
      </c>
      <c r="Y179" s="10">
        <v>9259</v>
      </c>
      <c r="Z179" s="10">
        <v>10621</v>
      </c>
      <c r="AA179" s="10">
        <f>20808+2688</f>
        <v>23496</v>
      </c>
      <c r="AB179" s="10">
        <v>0</v>
      </c>
      <c r="AC179" s="10">
        <v>17150</v>
      </c>
      <c r="AD179" s="10">
        <v>4800</v>
      </c>
      <c r="AE179" s="10">
        <f>19154+25168+25049</f>
        <v>69371</v>
      </c>
      <c r="AF179" s="10">
        <v>6165</v>
      </c>
      <c r="AG179" s="10">
        <v>0</v>
      </c>
      <c r="AH179" s="10">
        <v>59702</v>
      </c>
      <c r="AI179" s="10">
        <v>11732</v>
      </c>
      <c r="AJ179" s="10">
        <v>373120</v>
      </c>
      <c r="AK179" s="10">
        <v>398410</v>
      </c>
      <c r="AL179" s="10">
        <v>25025</v>
      </c>
      <c r="AM179" s="10">
        <v>0</v>
      </c>
      <c r="AN179" s="10">
        <v>0</v>
      </c>
      <c r="AO179" s="10">
        <v>129052</v>
      </c>
      <c r="AP179" s="10">
        <v>0</v>
      </c>
      <c r="AQ179" s="10">
        <v>25932</v>
      </c>
      <c r="AR179" s="10">
        <v>0</v>
      </c>
      <c r="AS179" s="10">
        <v>0</v>
      </c>
      <c r="AT179" s="10">
        <v>0</v>
      </c>
      <c r="AU179" s="10">
        <v>1152</v>
      </c>
      <c r="AV179" s="10">
        <v>841</v>
      </c>
      <c r="AW179" s="10">
        <v>-1</v>
      </c>
      <c r="AX179" s="10">
        <v>-120</v>
      </c>
      <c r="AY179" s="10">
        <v>-357</v>
      </c>
      <c r="AZ179" s="10">
        <v>-104</v>
      </c>
      <c r="BA179" s="10">
        <v>-1</v>
      </c>
      <c r="BB179" s="10">
        <f t="shared" si="9"/>
        <v>1410</v>
      </c>
      <c r="BC179" s="6">
        <v>0</v>
      </c>
      <c r="BD179" s="10">
        <v>22</v>
      </c>
      <c r="BE179" s="10">
        <v>11</v>
      </c>
      <c r="BF179" s="10">
        <v>61</v>
      </c>
      <c r="BG179" s="10">
        <v>3</v>
      </c>
    </row>
    <row r="180" spans="1:59">
      <c r="A180" s="6">
        <v>21</v>
      </c>
      <c r="B180" s="6" t="s">
        <v>271</v>
      </c>
      <c r="C180" s="6" t="s">
        <v>420</v>
      </c>
      <c r="D180" s="6" t="s">
        <v>226</v>
      </c>
      <c r="E180" s="6" t="s">
        <v>222</v>
      </c>
      <c r="F180" s="7" t="s">
        <v>568</v>
      </c>
      <c r="G180" s="7" t="s">
        <v>224</v>
      </c>
      <c r="H180" s="10">
        <v>23989468</v>
      </c>
      <c r="I180" s="10">
        <v>24077200</v>
      </c>
      <c r="J180" s="10">
        <v>1082153</v>
      </c>
      <c r="K180" s="10">
        <v>15884946</v>
      </c>
      <c r="L180" s="10">
        <v>614302</v>
      </c>
      <c r="M180" s="10">
        <v>1151471</v>
      </c>
      <c r="N180" s="10">
        <v>2295743</v>
      </c>
      <c r="O180" s="10">
        <v>3080</v>
      </c>
      <c r="P180" s="10">
        <v>0</v>
      </c>
      <c r="Q180" s="10">
        <v>20765439</v>
      </c>
      <c r="R180" s="12">
        <v>0.22</v>
      </c>
      <c r="S180" s="10">
        <v>0</v>
      </c>
      <c r="T180" s="24">
        <f>816576/20762359</f>
        <v>3.9329634941771309E-2</v>
      </c>
      <c r="U180" s="10">
        <v>814022</v>
      </c>
      <c r="V180" s="10">
        <v>0</v>
      </c>
      <c r="W180" s="10">
        <f>78637+5376+3005</f>
        <v>87018</v>
      </c>
      <c r="X180" s="10">
        <v>372980</v>
      </c>
      <c r="Y180" s="10">
        <v>30044</v>
      </c>
      <c r="Z180" s="10">
        <v>52910</v>
      </c>
      <c r="AA180" s="10">
        <v>117475</v>
      </c>
      <c r="AB180" s="10">
        <v>2514</v>
      </c>
      <c r="AC180" s="10">
        <v>25453</v>
      </c>
      <c r="AD180" s="10">
        <v>6279</v>
      </c>
      <c r="AE180" s="10">
        <f>9500+18610+29253</f>
        <v>57363</v>
      </c>
      <c r="AF180" s="10">
        <v>13069</v>
      </c>
      <c r="AG180" s="10">
        <v>5891</v>
      </c>
      <c r="AH180" s="10">
        <v>46417</v>
      </c>
      <c r="AI180" s="10">
        <v>0</v>
      </c>
      <c r="AJ180" s="10">
        <v>772651</v>
      </c>
      <c r="AK180" s="10">
        <v>809823</v>
      </c>
      <c r="AL180" s="10">
        <v>97995</v>
      </c>
      <c r="AM180" s="10">
        <v>1682</v>
      </c>
      <c r="AN180" s="10">
        <v>0</v>
      </c>
      <c r="AO180" s="10">
        <v>129052</v>
      </c>
      <c r="AP180" s="10">
        <v>0</v>
      </c>
      <c r="AQ180" s="10">
        <v>100219</v>
      </c>
      <c r="AR180" s="10">
        <v>0</v>
      </c>
      <c r="AS180" s="10">
        <v>0</v>
      </c>
      <c r="AT180" s="10">
        <v>0</v>
      </c>
      <c r="AU180" s="10">
        <v>3132</v>
      </c>
      <c r="AV180" s="10">
        <v>3345</v>
      </c>
      <c r="AW180" s="10">
        <v>93</v>
      </c>
      <c r="AX180" s="10">
        <v>-215</v>
      </c>
      <c r="AY180" s="10">
        <v>-1982</v>
      </c>
      <c r="AZ180" s="10">
        <v>-35</v>
      </c>
      <c r="BA180" s="10">
        <v>0</v>
      </c>
      <c r="BB180" s="10">
        <f t="shared" si="9"/>
        <v>4338</v>
      </c>
      <c r="BC180" s="6">
        <v>0</v>
      </c>
      <c r="BD180" s="10">
        <v>1</v>
      </c>
      <c r="BE180" s="10">
        <v>2</v>
      </c>
      <c r="BF180" s="10">
        <v>27</v>
      </c>
      <c r="BG180" s="10">
        <v>5</v>
      </c>
    </row>
    <row r="181" spans="1:59">
      <c r="A181" s="6">
        <v>21</v>
      </c>
      <c r="B181" s="6" t="s">
        <v>276</v>
      </c>
      <c r="C181" s="7" t="s">
        <v>104</v>
      </c>
      <c r="D181" s="6" t="s">
        <v>364</v>
      </c>
      <c r="E181" s="6" t="s">
        <v>236</v>
      </c>
      <c r="F181" s="7" t="s">
        <v>394</v>
      </c>
      <c r="G181" s="7" t="s">
        <v>244</v>
      </c>
      <c r="H181" s="10">
        <v>45400281</v>
      </c>
      <c r="I181" s="10">
        <v>45598037</v>
      </c>
      <c r="J181" s="10">
        <v>954262</v>
      </c>
      <c r="K181" s="10">
        <v>30193818</v>
      </c>
      <c r="L181" s="10">
        <v>2367259</v>
      </c>
      <c r="M181" s="10">
        <v>6444402</v>
      </c>
      <c r="N181" s="10">
        <v>3538921</v>
      </c>
      <c r="O181" s="10">
        <v>24771</v>
      </c>
      <c r="P181" s="10">
        <v>0</v>
      </c>
      <c r="Q181" s="10">
        <v>44238071</v>
      </c>
      <c r="R181" s="12">
        <v>0.11</v>
      </c>
      <c r="S181" s="10">
        <v>0</v>
      </c>
      <c r="T181" s="24">
        <f>1609056/44090184</f>
        <v>3.6494653775996942E-2</v>
      </c>
      <c r="U181" s="10">
        <v>1608834</v>
      </c>
      <c r="V181" s="10">
        <v>0</v>
      </c>
      <c r="W181" s="10">
        <f>180535+14958+4513</f>
        <v>200006</v>
      </c>
      <c r="X181" s="10">
        <v>896577</v>
      </c>
      <c r="Y181" s="10">
        <v>68387</v>
      </c>
      <c r="Z181" s="10">
        <v>198448</v>
      </c>
      <c r="AA181" s="10">
        <v>121565</v>
      </c>
      <c r="AB181" s="10">
        <v>4215</v>
      </c>
      <c r="AC181" s="10">
        <v>19614</v>
      </c>
      <c r="AD181" s="10">
        <v>10213</v>
      </c>
      <c r="AE181" s="10">
        <f>32170+56919+61338</f>
        <v>150427</v>
      </c>
      <c r="AF181" s="10">
        <v>14956</v>
      </c>
      <c r="AG181" s="10">
        <v>12719</v>
      </c>
      <c r="AH181" s="10">
        <v>57413</v>
      </c>
      <c r="AI181" s="10">
        <v>0</v>
      </c>
      <c r="AJ181" s="10">
        <v>1658809</v>
      </c>
      <c r="AK181" s="10">
        <v>1703222</v>
      </c>
      <c r="AL181" s="10">
        <v>172190</v>
      </c>
      <c r="AM181" s="10">
        <v>71</v>
      </c>
      <c r="AN181" s="10">
        <v>0</v>
      </c>
      <c r="AO181" s="10">
        <v>129052</v>
      </c>
      <c r="AP181" s="10">
        <v>0</v>
      </c>
      <c r="AQ181" s="10">
        <v>218220</v>
      </c>
      <c r="AR181" s="10">
        <v>0</v>
      </c>
      <c r="AS181" s="10">
        <v>0</v>
      </c>
      <c r="AT181" s="10">
        <v>0</v>
      </c>
      <c r="AU181" s="10">
        <v>11265</v>
      </c>
      <c r="AV181" s="10">
        <v>4922</v>
      </c>
      <c r="AW181" s="10">
        <v>-2</v>
      </c>
      <c r="AX181" s="10">
        <v>-525</v>
      </c>
      <c r="AY181" s="10">
        <v>-2352</v>
      </c>
      <c r="AZ181" s="10">
        <v>-1609</v>
      </c>
      <c r="BA181" s="10">
        <v>-2</v>
      </c>
      <c r="BB181" s="10">
        <f t="shared" si="9"/>
        <v>11697</v>
      </c>
      <c r="BC181" s="6">
        <v>14</v>
      </c>
      <c r="BD181" s="10">
        <v>799</v>
      </c>
      <c r="BE181" s="10">
        <v>130</v>
      </c>
      <c r="BF181" s="10">
        <v>368</v>
      </c>
      <c r="BG181" s="10">
        <v>284</v>
      </c>
    </row>
    <row r="182" spans="1:59">
      <c r="A182" s="6">
        <v>21</v>
      </c>
      <c r="B182" s="6" t="s">
        <v>309</v>
      </c>
      <c r="C182" s="7" t="s">
        <v>304</v>
      </c>
      <c r="D182" s="6" t="s">
        <v>543</v>
      </c>
      <c r="E182" s="6" t="s">
        <v>492</v>
      </c>
      <c r="F182" s="7"/>
      <c r="G182" s="7" t="s">
        <v>495</v>
      </c>
      <c r="H182" s="10">
        <v>43855882</v>
      </c>
      <c r="I182" s="10">
        <v>44116526</v>
      </c>
      <c r="J182" s="10">
        <v>1786758</v>
      </c>
      <c r="K182" s="10">
        <v>13224052</v>
      </c>
      <c r="L182" s="10">
        <v>2831887</v>
      </c>
      <c r="M182" s="10">
        <v>12828952</v>
      </c>
      <c r="N182" s="10">
        <v>9042539</v>
      </c>
      <c r="O182" s="10">
        <v>79945</v>
      </c>
      <c r="P182" s="10">
        <v>0</v>
      </c>
      <c r="Q182" s="10">
        <v>40428751</v>
      </c>
      <c r="R182" s="12">
        <v>0.18</v>
      </c>
      <c r="S182" s="10">
        <v>91544</v>
      </c>
      <c r="T182" s="24">
        <f>2415435/40257262</f>
        <v>5.9999982115028092E-2</v>
      </c>
      <c r="U182" s="10">
        <v>2423198</v>
      </c>
      <c r="V182" s="10">
        <v>0</v>
      </c>
      <c r="W182" s="10">
        <f>223045+18231+13556</f>
        <v>254832</v>
      </c>
      <c r="X182" s="10">
        <v>1264956</v>
      </c>
      <c r="Y182" s="10">
        <v>118809</v>
      </c>
      <c r="Z182" s="10">
        <v>239836</v>
      </c>
      <c r="AA182" s="10">
        <f>216581+33210</f>
        <v>249791</v>
      </c>
      <c r="AB182" s="10">
        <v>0</v>
      </c>
      <c r="AC182" s="10">
        <v>0</v>
      </c>
      <c r="AD182" s="10">
        <v>14889</v>
      </c>
      <c r="AE182" s="10">
        <f>25981+116373+131319</f>
        <v>273673</v>
      </c>
      <c r="AF182" s="10">
        <v>32157</v>
      </c>
      <c r="AG182" s="10">
        <v>0</v>
      </c>
      <c r="AH182" s="10">
        <v>152919</v>
      </c>
      <c r="AI182" s="10">
        <v>0</v>
      </c>
      <c r="AJ182" s="10">
        <v>2543770</v>
      </c>
      <c r="AK182" s="10">
        <v>2675184</v>
      </c>
      <c r="AL182" s="10">
        <v>277363</v>
      </c>
      <c r="AM182" s="10">
        <v>0</v>
      </c>
      <c r="AN182" s="10">
        <v>0</v>
      </c>
      <c r="AO182" s="10">
        <v>129052</v>
      </c>
      <c r="AP182" s="10">
        <v>0</v>
      </c>
      <c r="AQ182" s="10">
        <v>351469</v>
      </c>
      <c r="AR182" s="10">
        <v>0</v>
      </c>
      <c r="AS182" s="10">
        <v>0</v>
      </c>
      <c r="AT182" s="10">
        <v>0</v>
      </c>
      <c r="AU182" s="10">
        <v>16157</v>
      </c>
      <c r="AV182" s="10">
        <v>12177</v>
      </c>
      <c r="AW182" s="10">
        <v>0</v>
      </c>
      <c r="AX182" s="10">
        <v>-621</v>
      </c>
      <c r="AY182" s="10">
        <v>-4415</v>
      </c>
      <c r="AZ182" s="10">
        <v>-1623</v>
      </c>
      <c r="BA182" s="10">
        <v>0</v>
      </c>
      <c r="BB182" s="10">
        <f t="shared" si="9"/>
        <v>21675</v>
      </c>
      <c r="BC182" s="6">
        <v>246</v>
      </c>
      <c r="BD182" s="10">
        <v>1298</v>
      </c>
      <c r="BE182" s="10">
        <v>243</v>
      </c>
      <c r="BF182" s="10">
        <v>62</v>
      </c>
      <c r="BG182" s="10">
        <v>20</v>
      </c>
    </row>
    <row r="183" spans="1:59">
      <c r="A183" s="6">
        <v>21</v>
      </c>
      <c r="B183" s="6" t="s">
        <v>532</v>
      </c>
      <c r="C183" s="7" t="s">
        <v>522</v>
      </c>
      <c r="D183" s="6" t="s">
        <v>389</v>
      </c>
      <c r="E183" s="6" t="s">
        <v>222</v>
      </c>
      <c r="F183" s="7" t="s">
        <v>568</v>
      </c>
      <c r="G183" s="7" t="s">
        <v>224</v>
      </c>
      <c r="H183" s="10">
        <v>2881810</v>
      </c>
      <c r="I183" s="10">
        <v>2907061</v>
      </c>
      <c r="J183" s="10">
        <v>264468</v>
      </c>
      <c r="K183" s="10">
        <v>2161427</v>
      </c>
      <c r="L183" s="10">
        <v>152493</v>
      </c>
      <c r="M183" s="10">
        <v>629423</v>
      </c>
      <c r="N183" s="10">
        <v>88456</v>
      </c>
      <c r="O183" s="10">
        <v>0</v>
      </c>
      <c r="P183" s="10">
        <v>0</v>
      </c>
      <c r="Q183" s="10">
        <v>3372057</v>
      </c>
      <c r="R183" s="12">
        <f>129180/2881810</f>
        <v>4.4825994774117653E-2</v>
      </c>
      <c r="S183" s="10">
        <v>0</v>
      </c>
      <c r="T183" s="24" t="s">
        <v>417</v>
      </c>
      <c r="U183" s="24" t="s">
        <v>417</v>
      </c>
      <c r="V183" s="10">
        <v>0</v>
      </c>
      <c r="W183" s="10">
        <f>21863+238</f>
        <v>22101</v>
      </c>
      <c r="X183" s="10">
        <v>128928</v>
      </c>
      <c r="Y183" s="10">
        <v>55483</v>
      </c>
      <c r="Z183" s="10">
        <v>14770</v>
      </c>
      <c r="AA183" s="10">
        <v>44955</v>
      </c>
      <c r="AB183" s="10">
        <v>1508</v>
      </c>
      <c r="AC183" s="10">
        <v>3970</v>
      </c>
      <c r="AD183" s="10">
        <v>0</v>
      </c>
      <c r="AE183" s="10">
        <f>7854+4949+4623</f>
        <v>17426</v>
      </c>
      <c r="AF183" s="10">
        <v>0</v>
      </c>
      <c r="AG183" s="10">
        <v>0</v>
      </c>
      <c r="AH183" s="10">
        <v>0</v>
      </c>
      <c r="AI183" s="10">
        <v>0</v>
      </c>
      <c r="AJ183" s="10">
        <v>295778</v>
      </c>
      <c r="AK183" s="10">
        <v>419275</v>
      </c>
      <c r="AL183" s="10">
        <v>65621</v>
      </c>
      <c r="AM183" s="10">
        <v>749</v>
      </c>
      <c r="AN183" s="10">
        <v>0</v>
      </c>
      <c r="AO183" s="10">
        <v>120578</v>
      </c>
      <c r="AP183" s="10">
        <v>0</v>
      </c>
      <c r="AQ183" s="10">
        <v>8407</v>
      </c>
      <c r="AR183" s="10">
        <v>0</v>
      </c>
      <c r="AS183" s="10">
        <v>0</v>
      </c>
      <c r="AT183" s="10">
        <v>0</v>
      </c>
      <c r="AU183" s="10">
        <v>899</v>
      </c>
      <c r="AV183" s="10">
        <v>0</v>
      </c>
      <c r="AW183" s="10">
        <v>0</v>
      </c>
      <c r="AX183" s="10">
        <v>0</v>
      </c>
      <c r="AY183" s="10" t="s">
        <v>417</v>
      </c>
      <c r="AZ183" s="10" t="s">
        <v>417</v>
      </c>
      <c r="BA183" s="10">
        <v>0</v>
      </c>
      <c r="BB183" s="10">
        <v>503</v>
      </c>
      <c r="BC183" s="6" t="s">
        <v>417</v>
      </c>
      <c r="BD183" s="10"/>
      <c r="BE183" s="10"/>
      <c r="BF183" s="10"/>
      <c r="BG183" s="10"/>
    </row>
    <row r="184" spans="1:59">
      <c r="A184" s="6">
        <v>21</v>
      </c>
      <c r="B184" s="6" t="s">
        <v>564</v>
      </c>
      <c r="C184" s="7" t="s">
        <v>324</v>
      </c>
      <c r="D184" s="6" t="s">
        <v>135</v>
      </c>
      <c r="E184" s="6" t="s">
        <v>236</v>
      </c>
      <c r="F184" s="7" t="s">
        <v>394</v>
      </c>
      <c r="G184" s="7" t="s">
        <v>244</v>
      </c>
      <c r="H184" s="10">
        <v>33768788</v>
      </c>
      <c r="I184" s="10">
        <v>33941089</v>
      </c>
      <c r="J184" s="10">
        <v>600782</v>
      </c>
      <c r="K184" s="10">
        <v>23281931</v>
      </c>
      <c r="L184" s="10">
        <v>1313041</v>
      </c>
      <c r="M184" s="10">
        <v>4001937</v>
      </c>
      <c r="N184" s="10">
        <v>2828568</v>
      </c>
      <c r="O184" s="10">
        <v>18021</v>
      </c>
      <c r="P184" s="10">
        <v>0</v>
      </c>
      <c r="Q184" s="10">
        <v>32706879</v>
      </c>
      <c r="R184" s="12">
        <v>0.12</v>
      </c>
      <c r="S184" s="10">
        <v>0</v>
      </c>
      <c r="T184" s="24">
        <f>1159832/32641520</f>
        <v>3.5532413931704164E-2</v>
      </c>
      <c r="U184" s="10">
        <v>1158134</v>
      </c>
      <c r="V184" s="10">
        <v>0</v>
      </c>
      <c r="W184" s="10">
        <f>169757+2174</f>
        <v>171931</v>
      </c>
      <c r="X184" s="10">
        <v>594882</v>
      </c>
      <c r="Y184" s="10">
        <v>47527</v>
      </c>
      <c r="Z184" s="10">
        <v>169759</v>
      </c>
      <c r="AA184" s="10">
        <v>77175</v>
      </c>
      <c r="AB184" s="10">
        <v>3949</v>
      </c>
      <c r="AC184" s="10">
        <v>19878</v>
      </c>
      <c r="AD184" s="10">
        <v>12775</v>
      </c>
      <c r="AE184" s="10">
        <f>26689+49868+50155</f>
        <v>126712</v>
      </c>
      <c r="AF184" s="10">
        <v>10772</v>
      </c>
      <c r="AG184" s="10">
        <v>1088</v>
      </c>
      <c r="AH184" s="10">
        <v>41713</v>
      </c>
      <c r="AI184" s="10">
        <v>0</v>
      </c>
      <c r="AJ184" s="10">
        <v>1210266</v>
      </c>
      <c r="AK184" s="10">
        <v>1215438</v>
      </c>
      <c r="AL184" s="10">
        <v>146746</v>
      </c>
      <c r="AM184" s="10">
        <v>0</v>
      </c>
      <c r="AN184" s="10">
        <v>0</v>
      </c>
      <c r="AO184" s="10">
        <v>129052</v>
      </c>
      <c r="AP184" s="10">
        <v>0</v>
      </c>
      <c r="AQ184" s="10">
        <v>155514</v>
      </c>
      <c r="AR184" s="10">
        <v>0</v>
      </c>
      <c r="AS184" s="10">
        <v>0</v>
      </c>
      <c r="AT184" s="10">
        <v>0</v>
      </c>
      <c r="AU184" s="10">
        <v>8207</v>
      </c>
      <c r="AV184" s="10">
        <v>4411</v>
      </c>
      <c r="AW184" s="10">
        <f>-7-7</f>
        <v>-14</v>
      </c>
      <c r="AX184" s="10">
        <v>-326</v>
      </c>
      <c r="AY184" s="10">
        <v>-1985</v>
      </c>
      <c r="AZ184" s="10">
        <v>-870</v>
      </c>
      <c r="BA184" s="10">
        <v>-2</v>
      </c>
      <c r="BB184" s="10">
        <f>SUM(AU184:BA184)</f>
        <v>9421</v>
      </c>
      <c r="BC184" s="6">
        <v>6</v>
      </c>
      <c r="BD184" s="10">
        <v>262</v>
      </c>
      <c r="BE184" s="10">
        <v>55</v>
      </c>
      <c r="BF184" s="10">
        <v>200</v>
      </c>
      <c r="BG184" s="10">
        <v>402</v>
      </c>
    </row>
    <row r="185" spans="1:59">
      <c r="A185" s="6">
        <v>21</v>
      </c>
      <c r="B185" s="6" t="s">
        <v>565</v>
      </c>
      <c r="C185" s="7" t="s">
        <v>595</v>
      </c>
      <c r="D185" s="6" t="s">
        <v>87</v>
      </c>
      <c r="E185" s="6" t="s">
        <v>222</v>
      </c>
      <c r="F185" s="7" t="s">
        <v>394</v>
      </c>
      <c r="G185" s="7" t="s">
        <v>224</v>
      </c>
      <c r="H185" s="10">
        <v>24019440</v>
      </c>
      <c r="I185" s="10">
        <v>24066625</v>
      </c>
      <c r="J185" s="10">
        <v>1877468</v>
      </c>
      <c r="K185" s="10">
        <v>7526744</v>
      </c>
      <c r="L185" s="10">
        <v>2358173</v>
      </c>
      <c r="M185" s="10">
        <v>9017430</v>
      </c>
      <c r="N185" s="10">
        <v>607522</v>
      </c>
      <c r="O185" s="10">
        <v>81143</v>
      </c>
      <c r="P185" s="10">
        <v>0</v>
      </c>
      <c r="Q185" s="10">
        <v>20505902</v>
      </c>
      <c r="R185" s="12">
        <v>0.23</v>
      </c>
      <c r="S185" s="10">
        <v>0</v>
      </c>
      <c r="T185" s="24">
        <f>914514/20424759</f>
        <v>4.4774775555491253E-2</v>
      </c>
      <c r="U185" s="10">
        <v>914890</v>
      </c>
      <c r="V185" s="10">
        <v>0</v>
      </c>
      <c r="W185" s="10">
        <f>47185+3850</f>
        <v>51035</v>
      </c>
      <c r="X185" s="10">
        <v>458276</v>
      </c>
      <c r="Y185" s="10">
        <v>35198</v>
      </c>
      <c r="Z185" s="10">
        <v>79405</v>
      </c>
      <c r="AA185" s="10">
        <f>68344+4752</f>
        <v>73096</v>
      </c>
      <c r="AB185" s="10">
        <v>0</v>
      </c>
      <c r="AC185" s="10">
        <v>16663</v>
      </c>
      <c r="AD185" s="10">
        <v>9591</v>
      </c>
      <c r="AE185" s="10">
        <f>23519+42733+24709</f>
        <v>90961</v>
      </c>
      <c r="AF185" s="10">
        <v>6251</v>
      </c>
      <c r="AG185" s="10">
        <v>0</v>
      </c>
      <c r="AH185" s="10">
        <v>48178</v>
      </c>
      <c r="AI185" s="10">
        <v>3858</v>
      </c>
      <c r="AJ185" s="10">
        <v>860501</v>
      </c>
      <c r="AK185" s="10">
        <v>866103</v>
      </c>
      <c r="AL185" s="10">
        <v>77797</v>
      </c>
      <c r="AM185" s="10">
        <v>0</v>
      </c>
      <c r="AN185" s="10">
        <v>0</v>
      </c>
      <c r="AO185" s="10">
        <v>129052</v>
      </c>
      <c r="AP185" s="10">
        <v>0</v>
      </c>
      <c r="AQ185" s="10">
        <v>135311</v>
      </c>
      <c r="AR185" s="10">
        <v>0</v>
      </c>
      <c r="AS185" s="10">
        <v>0</v>
      </c>
      <c r="AT185" s="10">
        <v>0</v>
      </c>
      <c r="AU185" s="10">
        <v>6040</v>
      </c>
      <c r="AV185" s="10">
        <v>4803</v>
      </c>
      <c r="AW185" s="10">
        <f>1+82-2</f>
        <v>81</v>
      </c>
      <c r="AX185" s="10">
        <v>-475</v>
      </c>
      <c r="AY185" s="10">
        <v>-2157</v>
      </c>
      <c r="AZ185" s="10">
        <v>-622</v>
      </c>
      <c r="BA185" s="10">
        <v>0</v>
      </c>
      <c r="BB185" s="10">
        <f>SUM(AU185:BA185)</f>
        <v>7670</v>
      </c>
      <c r="BC185" s="6">
        <v>0</v>
      </c>
      <c r="BD185" s="10">
        <v>162</v>
      </c>
      <c r="BE185" s="10">
        <v>68</v>
      </c>
      <c r="BF185" s="10">
        <v>332</v>
      </c>
      <c r="BG185" s="10">
        <v>0</v>
      </c>
    </row>
    <row r="186" spans="1:59">
      <c r="A186" s="6">
        <v>21</v>
      </c>
      <c r="B186" s="6" t="s">
        <v>597</v>
      </c>
      <c r="C186" s="7" t="s">
        <v>507</v>
      </c>
      <c r="D186" s="6" t="s">
        <v>49</v>
      </c>
      <c r="E186" s="6" t="s">
        <v>236</v>
      </c>
      <c r="F186" s="7" t="s">
        <v>441</v>
      </c>
      <c r="G186" s="7" t="s">
        <v>244</v>
      </c>
      <c r="H186" s="10">
        <v>81374660</v>
      </c>
      <c r="I186" s="10">
        <v>81750090</v>
      </c>
      <c r="J186" s="10">
        <v>2194130</v>
      </c>
      <c r="K186" s="10">
        <v>55919805</v>
      </c>
      <c r="L186" s="10">
        <v>5253</v>
      </c>
      <c r="M186" s="10">
        <v>11052312</v>
      </c>
      <c r="N186" s="10">
        <v>8576247</v>
      </c>
      <c r="O186" s="10">
        <v>7311</v>
      </c>
      <c r="P186" s="10">
        <v>0</v>
      </c>
      <c r="Q186" s="10">
        <v>78074495</v>
      </c>
      <c r="R186" s="12">
        <v>0.12</v>
      </c>
      <c r="S186" s="10">
        <v>0</v>
      </c>
      <c r="T186" s="24">
        <f>1935281/78067184</f>
        <v>2.4789942468015753E-2</v>
      </c>
      <c r="U186" s="10">
        <v>1933770</v>
      </c>
      <c r="V186" s="10">
        <v>0</v>
      </c>
      <c r="W186" s="10">
        <f>373751+24453</f>
        <v>398204</v>
      </c>
      <c r="X186" s="10">
        <v>1129116</v>
      </c>
      <c r="Y186" s="10">
        <v>82094</v>
      </c>
      <c r="Z186" s="10">
        <v>306465</v>
      </c>
      <c r="AA186" s="10">
        <v>156766</v>
      </c>
      <c r="AB186" s="10">
        <v>2098</v>
      </c>
      <c r="AC186" s="10">
        <v>17878</v>
      </c>
      <c r="AD186" s="10">
        <v>6025</v>
      </c>
      <c r="AE186" s="10">
        <f>42712+83901+57240</f>
        <v>183853</v>
      </c>
      <c r="AF186" s="10">
        <v>18088</v>
      </c>
      <c r="AG186" s="10">
        <v>0</v>
      </c>
      <c r="AH186" s="10">
        <v>155227</v>
      </c>
      <c r="AI186" s="10">
        <v>0</v>
      </c>
      <c r="AJ186" s="10">
        <v>2204438</v>
      </c>
      <c r="AK186" s="10">
        <v>2294894</v>
      </c>
      <c r="AL186" s="10">
        <v>282473</v>
      </c>
      <c r="AM186" s="10">
        <v>0</v>
      </c>
      <c r="AN186" s="10">
        <v>0</v>
      </c>
      <c r="AO186" s="10">
        <v>129052</v>
      </c>
      <c r="AP186" s="10">
        <v>0</v>
      </c>
      <c r="AQ186" s="10">
        <v>288408</v>
      </c>
      <c r="AR186" s="10">
        <v>0</v>
      </c>
      <c r="AS186" s="10">
        <v>0</v>
      </c>
      <c r="AT186" s="10">
        <v>0</v>
      </c>
      <c r="AU186" s="10">
        <v>19266</v>
      </c>
      <c r="AV186" s="10">
        <v>10710</v>
      </c>
      <c r="AW186" s="10">
        <v>-5</v>
      </c>
      <c r="AX186" s="10">
        <v>-837</v>
      </c>
      <c r="AY186" s="10">
        <v>-7042</v>
      </c>
      <c r="AZ186" s="10">
        <v>-2482</v>
      </c>
      <c r="BA186" s="10">
        <v>0</v>
      </c>
      <c r="BB186" s="10">
        <f>SUM(AU186:BA186)</f>
        <v>19610</v>
      </c>
      <c r="BC186" s="6">
        <v>4</v>
      </c>
      <c r="BD186" s="10">
        <v>1196</v>
      </c>
      <c r="BE186" s="10">
        <v>184</v>
      </c>
      <c r="BF186" s="10">
        <v>937</v>
      </c>
      <c r="BG186" s="10">
        <v>6</v>
      </c>
    </row>
    <row r="187" spans="1:59">
      <c r="A187" s="6">
        <v>21</v>
      </c>
      <c r="B187" s="6" t="s">
        <v>635</v>
      </c>
      <c r="C187" s="6" t="s">
        <v>341</v>
      </c>
      <c r="D187" s="6" t="s">
        <v>651</v>
      </c>
      <c r="E187" s="6" t="s">
        <v>222</v>
      </c>
      <c r="F187" s="7" t="s">
        <v>394</v>
      </c>
      <c r="G187" s="7" t="s">
        <v>224</v>
      </c>
      <c r="H187" s="10">
        <v>25187522</v>
      </c>
      <c r="I187" s="10">
        <v>25224284</v>
      </c>
      <c r="J187" s="10">
        <v>701309</v>
      </c>
      <c r="K187" s="10">
        <v>19686814</v>
      </c>
      <c r="L187" s="10">
        <v>1138532</v>
      </c>
      <c r="M187" s="10">
        <v>2463230</v>
      </c>
      <c r="N187" s="10">
        <v>512442</v>
      </c>
      <c r="O187" s="10">
        <v>98398</v>
      </c>
      <c r="P187" s="10">
        <v>0</v>
      </c>
      <c r="Q187" s="10">
        <v>24343913</v>
      </c>
      <c r="R187" s="12">
        <v>0.16</v>
      </c>
      <c r="S187" s="10">
        <v>0</v>
      </c>
      <c r="T187" s="24">
        <f>390283/19886296</f>
        <v>1.9625726178469836E-2</v>
      </c>
      <c r="U187" s="10">
        <v>387861</v>
      </c>
      <c r="V187" s="10">
        <v>0</v>
      </c>
      <c r="W187" s="10">
        <f>33241+2165+2283</f>
        <v>37689</v>
      </c>
      <c r="X187" s="10">
        <v>244239</v>
      </c>
      <c r="Y187" s="10">
        <v>20238</v>
      </c>
      <c r="Z187" s="10">
        <v>22521</v>
      </c>
      <c r="AA187" s="10">
        <v>36084</v>
      </c>
      <c r="AB187" s="10">
        <v>1684</v>
      </c>
      <c r="AC187" s="10">
        <v>13968</v>
      </c>
      <c r="AD187" s="10">
        <v>2800</v>
      </c>
      <c r="AE187" s="10">
        <f>8489+16150+15931</f>
        <v>40570</v>
      </c>
      <c r="AF187" s="10">
        <v>6538</v>
      </c>
      <c r="AG187" s="10">
        <v>1379</v>
      </c>
      <c r="AH187" s="10">
        <v>8139</v>
      </c>
      <c r="AI187" s="10">
        <v>0</v>
      </c>
      <c r="AJ187" s="10">
        <v>423611</v>
      </c>
      <c r="AK187" s="10">
        <v>409421</v>
      </c>
      <c r="AL187" s="10">
        <v>53727</v>
      </c>
      <c r="AM187" s="10">
        <v>650</v>
      </c>
      <c r="AN187" s="10">
        <v>0</v>
      </c>
      <c r="AO187" s="10">
        <v>129052</v>
      </c>
      <c r="AP187" s="10">
        <v>0</v>
      </c>
      <c r="AQ187" s="10">
        <v>24763</v>
      </c>
      <c r="AR187" s="10">
        <v>0</v>
      </c>
      <c r="AS187" s="10">
        <v>0</v>
      </c>
      <c r="AT187" s="10">
        <v>0</v>
      </c>
      <c r="AU187" s="10">
        <v>2217</v>
      </c>
      <c r="AV187" s="10">
        <v>2072</v>
      </c>
      <c r="AW187" s="10">
        <f>46-4</f>
        <v>42</v>
      </c>
      <c r="AX187" s="10">
        <v>-243</v>
      </c>
      <c r="AY187" s="10">
        <v>-835</v>
      </c>
      <c r="AZ187" s="10">
        <v>-79</v>
      </c>
      <c r="BA187" s="10">
        <v>0</v>
      </c>
      <c r="BB187" s="10">
        <f>SUM(AU187:BA187)</f>
        <v>3174</v>
      </c>
      <c r="BC187" s="6">
        <v>0</v>
      </c>
      <c r="BD187" s="10">
        <v>50</v>
      </c>
      <c r="BE187" s="10">
        <v>7</v>
      </c>
      <c r="BF187" s="10">
        <v>19</v>
      </c>
      <c r="BG187" s="10">
        <v>0</v>
      </c>
    </row>
    <row r="188" spans="1:59">
      <c r="A188" s="6">
        <v>21</v>
      </c>
      <c r="B188" s="6" t="s">
        <v>638</v>
      </c>
      <c r="C188" s="7" t="s">
        <v>523</v>
      </c>
      <c r="D188" s="6" t="s">
        <v>257</v>
      </c>
      <c r="E188" s="6" t="s">
        <v>222</v>
      </c>
      <c r="F188" s="7" t="s">
        <v>568</v>
      </c>
      <c r="G188" s="7" t="s">
        <v>224</v>
      </c>
      <c r="H188" s="10">
        <v>32367480</v>
      </c>
      <c r="I188" s="10">
        <v>32476094</v>
      </c>
      <c r="J188" s="10">
        <v>1008796</v>
      </c>
      <c r="K188" s="10">
        <v>23320772</v>
      </c>
      <c r="L188" s="10">
        <v>1249064</v>
      </c>
      <c r="M188" s="10">
        <v>2190017</v>
      </c>
      <c r="N188" s="10">
        <v>2116135</v>
      </c>
      <c r="O188" s="10">
        <v>25663</v>
      </c>
      <c r="P188" s="10">
        <v>0</v>
      </c>
      <c r="Q188" s="10">
        <v>29903244</v>
      </c>
      <c r="R188" s="12">
        <v>0.15</v>
      </c>
      <c r="S188" s="10">
        <v>0</v>
      </c>
      <c r="T188" s="24">
        <f>1000293/29877581</f>
        <v>3.3479718455118573E-2</v>
      </c>
      <c r="U188" s="10">
        <v>1000294</v>
      </c>
      <c r="V188" s="10">
        <v>0</v>
      </c>
      <c r="W188" s="10">
        <f>97133+7139+1816</f>
        <v>106088</v>
      </c>
      <c r="X188" s="10">
        <v>499946</v>
      </c>
      <c r="Y188" s="10">
        <v>41125</v>
      </c>
      <c r="Z188" s="10">
        <v>71493</v>
      </c>
      <c r="AA188" s="10">
        <f>100972+3501</f>
        <v>104473</v>
      </c>
      <c r="AB188" s="10">
        <v>3017</v>
      </c>
      <c r="AC188" s="10">
        <v>20982</v>
      </c>
      <c r="AD188" s="10">
        <v>6280</v>
      </c>
      <c r="AE188" s="10">
        <f>23877+34969+31832</f>
        <v>90678</v>
      </c>
      <c r="AF188" s="10">
        <v>11825</v>
      </c>
      <c r="AG188" s="10">
        <v>208</v>
      </c>
      <c r="AH188" s="10">
        <v>26922</v>
      </c>
      <c r="AI188" s="10">
        <v>0</v>
      </c>
      <c r="AJ188" s="10">
        <v>980865</v>
      </c>
      <c r="AK188" s="10">
        <v>999229</v>
      </c>
      <c r="AL188" s="10">
        <v>75538</v>
      </c>
      <c r="AM188" s="10">
        <v>0</v>
      </c>
      <c r="AN188" s="10">
        <v>0</v>
      </c>
      <c r="AO188" s="10">
        <v>119095</v>
      </c>
      <c r="AP188" s="10">
        <v>0</v>
      </c>
      <c r="AQ188" s="10">
        <v>107623</v>
      </c>
      <c r="AR188" s="10">
        <v>0</v>
      </c>
      <c r="AS188" s="10">
        <v>0</v>
      </c>
      <c r="AT188" s="10">
        <v>0</v>
      </c>
      <c r="AU188" s="10">
        <v>3514</v>
      </c>
      <c r="AV188" s="10">
        <v>3419</v>
      </c>
      <c r="AW188" s="10">
        <v>43</v>
      </c>
      <c r="AX188" s="10">
        <v>-241</v>
      </c>
      <c r="AY188" s="10">
        <v>-1791</v>
      </c>
      <c r="AZ188" s="10">
        <v>-187</v>
      </c>
      <c r="BA188" s="10">
        <v>0</v>
      </c>
      <c r="BB188" s="10">
        <f>SUM(AU188:BA188)</f>
        <v>4757</v>
      </c>
      <c r="BC188" s="6">
        <v>0</v>
      </c>
      <c r="BD188" s="10">
        <v>38</v>
      </c>
      <c r="BE188" s="10">
        <v>15</v>
      </c>
      <c r="BF188" s="10">
        <v>97</v>
      </c>
      <c r="BG188" s="10">
        <v>33</v>
      </c>
    </row>
    <row r="189" spans="1:59">
      <c r="R189" s="22"/>
      <c r="T189" s="25"/>
    </row>
    <row r="190" spans="1:59">
      <c r="D190" s="2" t="s">
        <v>444</v>
      </c>
    </row>
    <row r="192" spans="1:59">
      <c r="D192" s="1"/>
    </row>
    <row r="193" spans="4:20">
      <c r="R193" s="22"/>
      <c r="T193" s="25"/>
    </row>
    <row r="195" spans="4:20">
      <c r="D195" s="9"/>
      <c r="R195" s="22"/>
      <c r="T195" s="25"/>
    </row>
    <row r="196" spans="4:20">
      <c r="R196" s="22"/>
      <c r="T196" s="25"/>
    </row>
    <row r="197" spans="4:20">
      <c r="R197" s="22"/>
      <c r="T197" s="25"/>
    </row>
    <row r="198" spans="4:20">
      <c r="R198" s="22"/>
      <c r="T198" s="25"/>
    </row>
    <row r="199" spans="4:20">
      <c r="R199" s="22"/>
      <c r="T199" s="25"/>
    </row>
  </sheetData>
  <pageMargins left="0.75" right="0.75" top="1" bottom="1" header="0.5" footer="0.5"/>
  <headerFooter>
    <oddHeader>&amp;L&amp;"Arial"&amp;10CHAPTER 13 STANDING TRUSTEE FY98 AUDITED ANNUAL REPORTS</oddHeader>
    <oddFooter>&amp;L&amp;"Arial"&amp;8&amp;D
S:\REVIEW AND OVERSIGHT\CH13\1998\CH13AR98.WB3</oddFooter>
  </headerFooter>
  <rowBreaks count="1" manualBreakCount="1">
    <brk id="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1"/>
  <sheetViews>
    <sheetView workbookViewId="0"/>
  </sheetViews>
  <sheetFormatPr defaultColWidth="8" defaultRowHeight="15"/>
  <sheetData>
    <row r="1" spans="1:2">
      <c r="A1" t="s">
        <v>7</v>
      </c>
      <c r="B1" t="s">
        <v>8</v>
      </c>
    </row>
  </sheetData>
  <pageMargins left="0.75" right="0.75" top="1" bottom="1" header="0.5" footer="0.5"/>
  <headerFooter>
    <oddHeader>&amp;L&amp;"Arial"&amp;10CHAPTER 13 STANDING TRUSTEE FY98 AUDITED ANNUAL REPORTS</oddHeader>
    <oddFooter>&amp;L&amp;"Arial"&amp;8&amp;D
S:\REVIEW AND OVERSIGHT\CH13\1998\CH13AR98.WB3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37</vt:i4>
      </vt:variant>
    </vt:vector>
  </HeadingPairs>
  <TitlesOfParts>
    <vt:vector size="39" baseType="lpstr">
      <vt:lpstr>A</vt:lpstr>
      <vt:lpstr>B</vt:lpstr>
      <vt:lpstr>_NBSTARTMACRO</vt:lpstr>
      <vt:lpstr>ALLOC2</vt:lpstr>
      <vt:lpstr>ALLOC8</vt:lpstr>
      <vt:lpstr>AUD13</vt:lpstr>
      <vt:lpstr>AUDIT</vt:lpstr>
      <vt:lpstr>AUDIT8</vt:lpstr>
      <vt:lpstr>BU</vt:lpstr>
      <vt:lpstr>CASH</vt:lpstr>
      <vt:lpstr>CASH13</vt:lpstr>
      <vt:lpstr>CASH2</vt:lpstr>
      <vt:lpstr>CASH8</vt:lpstr>
      <vt:lpstr>DATA</vt:lpstr>
      <vt:lpstr>DISB</vt:lpstr>
      <vt:lpstr>DISB13</vt:lpstr>
      <vt:lpstr>DISB8</vt:lpstr>
      <vt:lpstr>DISBTOT8</vt:lpstr>
      <vt:lpstr>ELEVEN</vt:lpstr>
      <vt:lpstr>EN</vt:lpstr>
      <vt:lpstr>EXP</vt:lpstr>
      <vt:lpstr>EXP13</vt:lpstr>
      <vt:lpstr>EXP2</vt:lpstr>
      <vt:lpstr>EXP8</vt:lpstr>
      <vt:lpstr>LO</vt:lpstr>
      <vt:lpstr>LO2</vt:lpstr>
      <vt:lpstr>NAMES</vt:lpstr>
      <vt:lpstr>NINE</vt:lpstr>
      <vt:lpstr>A!Print_Titles</vt:lpstr>
      <vt:lpstr>B!Print_Titles</vt:lpstr>
      <vt:lpstr>RATIO</vt:lpstr>
      <vt:lpstr>REG12</vt:lpstr>
      <vt:lpstr>REG13</vt:lpstr>
      <vt:lpstr>REG17</vt:lpstr>
      <vt:lpstr>SUMDISB</vt:lpstr>
      <vt:lpstr>SUMEXP</vt:lpstr>
      <vt:lpstr>SUMRATIO</vt:lpstr>
      <vt:lpstr>THIRTEEN</vt:lpstr>
      <vt:lpstr>TOTDISB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 Trustee Program</cp:lastModifiedBy>
  <dcterms:created xsi:type="dcterms:W3CDTF">2012-08-29T17:02:48Z</dcterms:created>
  <dcterms:modified xsi:type="dcterms:W3CDTF">2012-08-29T17:03:08Z</dcterms:modified>
</cp:coreProperties>
</file>