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versight\Chapter 12 and 13\CH13\2018\"/>
    </mc:Choice>
  </mc:AlternateContent>
  <bookViews>
    <workbookView xWindow="0" yWindow="195" windowWidth="22980" windowHeight="9405"/>
  </bookViews>
  <sheets>
    <sheet name="Sheet1" sheetId="1" r:id="rId1"/>
    <sheet name="Sheet2" sheetId="2" r:id="rId2"/>
    <sheet name="Sheet3" sheetId="3" r:id="rId3"/>
  </sheets>
  <calcPr calcId="162913" iterate="1" iterateDelta="0.01" concurrentCalc="0"/>
</workbook>
</file>

<file path=xl/calcChain.xml><?xml version="1.0" encoding="utf-8"?>
<calcChain xmlns="http://schemas.openxmlformats.org/spreadsheetml/2006/main">
  <c r="X159" i="1" l="1"/>
  <c r="BY105" i="1"/>
  <c r="BA28" i="1"/>
  <c r="AA28" i="1"/>
  <c r="BJ161" i="1"/>
  <c r="BD161" i="1"/>
  <c r="BA161" i="1"/>
  <c r="AK161" i="1"/>
  <c r="AI161" i="1"/>
  <c r="AH161" i="1"/>
  <c r="AG161" i="1"/>
  <c r="AA161" i="1"/>
  <c r="AA20" i="1"/>
  <c r="AA7" i="1"/>
  <c r="Z161" i="1"/>
  <c r="Y161" i="1"/>
  <c r="X161" i="1"/>
  <c r="W161" i="1"/>
  <c r="T161" i="1"/>
  <c r="S161" i="1"/>
  <c r="R161" i="1"/>
  <c r="Q161" i="1"/>
  <c r="Q6" i="1"/>
  <c r="P161" i="1"/>
  <c r="O161" i="1"/>
  <c r="N161" i="1"/>
  <c r="M161" i="1"/>
  <c r="L161" i="1"/>
  <c r="J161" i="1"/>
  <c r="I161" i="1"/>
  <c r="I28" i="1"/>
  <c r="I7" i="1"/>
  <c r="G161" i="1"/>
  <c r="BJ102" i="1"/>
  <c r="BA102" i="1"/>
  <c r="AQ102" i="1"/>
  <c r="Z102" i="1"/>
  <c r="BJ28" i="1"/>
  <c r="BD28" i="1"/>
  <c r="AW28" i="1"/>
  <c r="AY28" i="1"/>
  <c r="AR28" i="1"/>
  <c r="AR20" i="1"/>
  <c r="AR7" i="1"/>
  <c r="AQ28" i="1"/>
  <c r="AO28" i="1"/>
  <c r="AM28" i="1"/>
  <c r="AL28" i="1"/>
  <c r="AK28" i="1"/>
  <c r="AK20" i="1"/>
  <c r="AK7" i="1"/>
  <c r="AI28" i="1"/>
  <c r="AH28" i="1"/>
  <c r="AG28" i="1"/>
  <c r="AG20" i="1"/>
  <c r="AG6" i="1"/>
  <c r="AE28" i="1"/>
  <c r="Z28" i="1"/>
  <c r="Y28" i="1"/>
  <c r="X28" i="1"/>
  <c r="W28" i="1"/>
  <c r="T28" i="1"/>
  <c r="S28" i="1"/>
  <c r="S20" i="1"/>
  <c r="S6" i="1"/>
  <c r="R28" i="1"/>
  <c r="R20" i="1"/>
  <c r="R6" i="1"/>
  <c r="P28" i="1"/>
  <c r="O28" i="1"/>
  <c r="L28" i="1"/>
  <c r="G28" i="1"/>
  <c r="BD20" i="1"/>
  <c r="BA20" i="1"/>
  <c r="BA7" i="1"/>
  <c r="AW20" i="1"/>
  <c r="AW7" i="1"/>
  <c r="AQ20" i="1"/>
  <c r="AO20" i="1"/>
  <c r="AM20" i="1"/>
  <c r="AL20" i="1"/>
  <c r="AL7" i="1"/>
  <c r="AI20" i="1"/>
  <c r="AI7" i="1"/>
  <c r="AH20" i="1"/>
  <c r="AH7" i="1"/>
  <c r="AD20" i="1"/>
  <c r="Y20" i="1"/>
  <c r="X7" i="1"/>
  <c r="W20" i="1"/>
  <c r="V20" i="1"/>
  <c r="V7" i="1"/>
  <c r="T20" i="1"/>
  <c r="T6" i="1"/>
  <c r="P20" i="1"/>
  <c r="O20" i="1"/>
  <c r="L20" i="1"/>
  <c r="H20" i="1"/>
  <c r="G20" i="1"/>
  <c r="Z20" i="1"/>
  <c r="Z7" i="1"/>
  <c r="BJ137" i="1"/>
  <c r="AY137" i="1"/>
  <c r="AF137" i="1"/>
  <c r="BJ136" i="1"/>
  <c r="AY136" i="1"/>
  <c r="AF136" i="1"/>
  <c r="BJ135" i="1"/>
  <c r="AY135" i="1"/>
  <c r="AF135" i="1"/>
  <c r="BJ134" i="1"/>
  <c r="AY134" i="1"/>
  <c r="AF134" i="1"/>
  <c r="BJ133" i="1"/>
  <c r="AY133" i="1"/>
  <c r="AF133" i="1"/>
  <c r="BJ132" i="1"/>
  <c r="AY132" i="1"/>
  <c r="AF132" i="1"/>
  <c r="BJ183" i="1"/>
  <c r="AY183" i="1"/>
  <c r="AF183" i="1"/>
  <c r="BJ182" i="1"/>
  <c r="AY182" i="1"/>
  <c r="AF182" i="1"/>
  <c r="BJ181" i="1"/>
  <c r="AY181" i="1"/>
  <c r="AF181" i="1"/>
  <c r="BJ180" i="1"/>
  <c r="AY180" i="1"/>
  <c r="AF180" i="1"/>
  <c r="BJ179" i="1"/>
  <c r="AY179" i="1"/>
  <c r="AF179" i="1"/>
  <c r="BJ178" i="1"/>
  <c r="AY178" i="1"/>
  <c r="AF178" i="1"/>
  <c r="BJ177" i="1"/>
  <c r="AY177" i="1"/>
  <c r="AF177" i="1"/>
  <c r="BJ176" i="1"/>
  <c r="AY176" i="1"/>
  <c r="AF176" i="1"/>
  <c r="BJ175" i="1"/>
  <c r="AY175" i="1"/>
  <c r="AF175" i="1"/>
  <c r="BJ174" i="1"/>
  <c r="AY174" i="1"/>
  <c r="AF174" i="1"/>
  <c r="BJ173" i="1"/>
  <c r="AY173" i="1"/>
  <c r="AF173" i="1"/>
  <c r="BJ172" i="1"/>
  <c r="AY172" i="1"/>
  <c r="AF172" i="1"/>
  <c r="BJ171" i="1"/>
  <c r="AY171" i="1"/>
  <c r="AF171" i="1"/>
  <c r="BJ170" i="1"/>
  <c r="AY170" i="1"/>
  <c r="AF170" i="1"/>
  <c r="BJ169" i="1"/>
  <c r="AY169" i="1"/>
  <c r="AF169" i="1"/>
  <c r="BJ168" i="1"/>
  <c r="AY168" i="1"/>
  <c r="AF168" i="1"/>
  <c r="BJ167" i="1"/>
  <c r="AY167" i="1"/>
  <c r="AF167" i="1"/>
  <c r="BJ166" i="1"/>
  <c r="AY166" i="1"/>
  <c r="AF166" i="1"/>
  <c r="BJ165" i="1"/>
  <c r="AY165" i="1"/>
  <c r="AF165" i="1"/>
  <c r="BJ164" i="1"/>
  <c r="AY164" i="1"/>
  <c r="AF164" i="1"/>
  <c r="BJ163" i="1"/>
  <c r="AY163" i="1"/>
  <c r="AF163" i="1"/>
  <c r="BJ162" i="1"/>
  <c r="AY162" i="1"/>
  <c r="AF162" i="1"/>
  <c r="BJ160" i="1"/>
  <c r="AY160" i="1"/>
  <c r="AF160" i="1"/>
  <c r="BJ159" i="1"/>
  <c r="AY159" i="1"/>
  <c r="AF159" i="1"/>
  <c r="BJ158" i="1"/>
  <c r="AY158" i="1"/>
  <c r="AF158" i="1"/>
  <c r="BJ157" i="1"/>
  <c r="AY157" i="1"/>
  <c r="AF157" i="1"/>
  <c r="BJ156" i="1"/>
  <c r="AY156" i="1"/>
  <c r="AF156" i="1"/>
  <c r="BJ155" i="1"/>
  <c r="AY155" i="1"/>
  <c r="AF155" i="1"/>
  <c r="BJ154" i="1"/>
  <c r="AY154" i="1"/>
  <c r="AF154" i="1"/>
  <c r="BJ153" i="1"/>
  <c r="AY153" i="1"/>
  <c r="AF153" i="1"/>
  <c r="BJ152" i="1"/>
  <c r="AY152" i="1"/>
  <c r="AF152" i="1"/>
  <c r="BJ151" i="1"/>
  <c r="AY151" i="1"/>
  <c r="AF151" i="1"/>
  <c r="BJ150" i="1"/>
  <c r="AY150" i="1"/>
  <c r="AF150" i="1"/>
  <c r="BJ149" i="1"/>
  <c r="AY149" i="1"/>
  <c r="AF149" i="1"/>
  <c r="BJ148" i="1"/>
  <c r="AY148" i="1"/>
  <c r="AF148" i="1"/>
  <c r="BJ147" i="1"/>
  <c r="AY147" i="1"/>
  <c r="AF147" i="1"/>
  <c r="BJ146" i="1"/>
  <c r="AY146" i="1"/>
  <c r="AF146" i="1"/>
  <c r="BJ145" i="1"/>
  <c r="AY145" i="1"/>
  <c r="AF145" i="1"/>
  <c r="BJ144" i="1"/>
  <c r="AY144" i="1"/>
  <c r="AF144" i="1"/>
  <c r="BJ143" i="1"/>
  <c r="AY143" i="1"/>
  <c r="AF143" i="1"/>
  <c r="BJ142" i="1"/>
  <c r="AY142" i="1"/>
  <c r="AF142" i="1"/>
  <c r="BJ141" i="1"/>
  <c r="AY141" i="1"/>
  <c r="AF141" i="1"/>
  <c r="BJ140" i="1"/>
  <c r="AY140" i="1"/>
  <c r="AF140" i="1"/>
  <c r="BJ139" i="1"/>
  <c r="AY139" i="1"/>
  <c r="AF139" i="1"/>
  <c r="BJ138" i="1"/>
  <c r="AY138" i="1"/>
  <c r="AF138" i="1"/>
  <c r="BJ131" i="1"/>
  <c r="AY131" i="1"/>
  <c r="AF131" i="1"/>
  <c r="BJ130" i="1"/>
  <c r="AY130" i="1"/>
  <c r="AF130" i="1"/>
  <c r="BJ129" i="1"/>
  <c r="AY129" i="1"/>
  <c r="AF129" i="1"/>
  <c r="BJ128" i="1"/>
  <c r="AY128" i="1"/>
  <c r="AF128" i="1"/>
  <c r="BJ127" i="1"/>
  <c r="AY127" i="1"/>
  <c r="AF127" i="1"/>
  <c r="BJ126" i="1"/>
  <c r="AY126" i="1"/>
  <c r="AF126" i="1"/>
  <c r="BJ125" i="1"/>
  <c r="AY125" i="1"/>
  <c r="AF125" i="1"/>
  <c r="BJ124" i="1"/>
  <c r="AY124" i="1"/>
  <c r="AF124" i="1"/>
  <c r="BJ123" i="1"/>
  <c r="AY123" i="1"/>
  <c r="AF123" i="1"/>
  <c r="BJ122" i="1"/>
  <c r="AY122" i="1"/>
  <c r="AF122" i="1"/>
  <c r="BJ121" i="1"/>
  <c r="AY121" i="1"/>
  <c r="AF121" i="1"/>
  <c r="BJ120" i="1"/>
  <c r="AY120" i="1"/>
  <c r="AF120" i="1"/>
  <c r="BJ119" i="1"/>
  <c r="AY119" i="1"/>
  <c r="AF119" i="1"/>
  <c r="BJ118" i="1"/>
  <c r="AY118" i="1"/>
  <c r="AF118" i="1"/>
  <c r="BJ117" i="1"/>
  <c r="AY117" i="1"/>
  <c r="AF117" i="1"/>
  <c r="BJ116" i="1"/>
  <c r="AY116" i="1"/>
  <c r="AF116" i="1"/>
  <c r="BJ115" i="1"/>
  <c r="AY115" i="1"/>
  <c r="AF115" i="1"/>
  <c r="BJ114" i="1"/>
  <c r="AY114" i="1"/>
  <c r="AF114" i="1"/>
  <c r="BJ113" i="1"/>
  <c r="AY113" i="1"/>
  <c r="AF113" i="1"/>
  <c r="BJ112" i="1"/>
  <c r="AY112" i="1"/>
  <c r="AF112" i="1"/>
  <c r="BJ111" i="1"/>
  <c r="AY111" i="1"/>
  <c r="AF111" i="1"/>
  <c r="BJ110" i="1"/>
  <c r="AY110" i="1"/>
  <c r="AF110" i="1"/>
  <c r="BJ109" i="1"/>
  <c r="AY109" i="1"/>
  <c r="AF109" i="1"/>
  <c r="BJ108" i="1"/>
  <c r="AY108" i="1"/>
  <c r="AF108" i="1"/>
  <c r="BJ107" i="1"/>
  <c r="AY107" i="1"/>
  <c r="AF107" i="1"/>
  <c r="BJ106" i="1"/>
  <c r="AY106" i="1"/>
  <c r="AF106" i="1"/>
  <c r="BJ105" i="1"/>
  <c r="AY105" i="1"/>
  <c r="AF105" i="1"/>
  <c r="BJ104" i="1"/>
  <c r="AY104" i="1"/>
  <c r="AF104" i="1"/>
  <c r="BJ103" i="1"/>
  <c r="AY103" i="1"/>
  <c r="AF103" i="1"/>
  <c r="BJ101" i="1"/>
  <c r="AY101" i="1"/>
  <c r="AF101" i="1"/>
  <c r="BJ100" i="1"/>
  <c r="AY100" i="1"/>
  <c r="AF100" i="1"/>
  <c r="BJ99" i="1"/>
  <c r="AY99" i="1"/>
  <c r="AF99" i="1"/>
  <c r="BJ98" i="1"/>
  <c r="AY98" i="1"/>
  <c r="AF98" i="1"/>
  <c r="BJ97" i="1"/>
  <c r="AY97" i="1"/>
  <c r="AF97" i="1"/>
  <c r="BJ96" i="1"/>
  <c r="AY96" i="1"/>
  <c r="AF96" i="1"/>
  <c r="BJ95" i="1"/>
  <c r="AY95" i="1"/>
  <c r="AF95" i="1"/>
  <c r="BJ94" i="1"/>
  <c r="AY94" i="1"/>
  <c r="AF94" i="1"/>
  <c r="BJ93" i="1"/>
  <c r="AY93" i="1"/>
  <c r="AF93" i="1"/>
  <c r="BJ92" i="1"/>
  <c r="AY92" i="1"/>
  <c r="AF92" i="1"/>
  <c r="BJ91" i="1"/>
  <c r="AY91" i="1"/>
  <c r="AF91" i="1"/>
  <c r="BJ90" i="1"/>
  <c r="AY90" i="1"/>
  <c r="AF90" i="1"/>
  <c r="BJ89" i="1"/>
  <c r="AY89" i="1"/>
  <c r="AF89" i="1"/>
  <c r="BJ88" i="1"/>
  <c r="AY88" i="1"/>
  <c r="AF88" i="1"/>
  <c r="BJ87" i="1"/>
  <c r="AY87" i="1"/>
  <c r="AF87" i="1"/>
  <c r="BJ86" i="1"/>
  <c r="AY86" i="1"/>
  <c r="AF86" i="1"/>
  <c r="BJ85" i="1"/>
  <c r="AY85" i="1"/>
  <c r="AF85" i="1"/>
  <c r="BJ84" i="1"/>
  <c r="AY84" i="1"/>
  <c r="AF84" i="1"/>
  <c r="BJ83" i="1"/>
  <c r="AY83" i="1"/>
  <c r="AF83" i="1"/>
  <c r="BJ82" i="1"/>
  <c r="AY82" i="1"/>
  <c r="AF82" i="1"/>
  <c r="BJ81" i="1"/>
  <c r="AY81" i="1"/>
  <c r="AF81" i="1"/>
  <c r="BJ80" i="1"/>
  <c r="AY80" i="1"/>
  <c r="AF80" i="1"/>
  <c r="BJ79" i="1"/>
  <c r="AY79" i="1"/>
  <c r="AF79" i="1"/>
  <c r="BJ78" i="1"/>
  <c r="AY78" i="1"/>
  <c r="AF78" i="1"/>
  <c r="BJ77" i="1"/>
  <c r="AY77" i="1"/>
  <c r="AF77" i="1"/>
  <c r="BJ76" i="1"/>
  <c r="AY76" i="1"/>
  <c r="AF76" i="1"/>
  <c r="BJ75" i="1"/>
  <c r="AY75" i="1"/>
  <c r="AF75" i="1"/>
  <c r="BJ74" i="1"/>
  <c r="AY74" i="1"/>
  <c r="AF74" i="1"/>
  <c r="BJ73" i="1"/>
  <c r="AY73" i="1"/>
  <c r="AF73" i="1"/>
  <c r="BJ72" i="1"/>
  <c r="AY72" i="1"/>
  <c r="AF72" i="1"/>
  <c r="BJ71" i="1"/>
  <c r="AY71" i="1"/>
  <c r="AF71" i="1"/>
  <c r="BJ70" i="1"/>
  <c r="AY70" i="1"/>
  <c r="AF70" i="1"/>
  <c r="BJ69" i="1"/>
  <c r="AY69" i="1"/>
  <c r="AF69" i="1"/>
  <c r="BJ68" i="1"/>
  <c r="AY68" i="1"/>
  <c r="AF68" i="1"/>
  <c r="BJ67" i="1"/>
  <c r="AY67" i="1"/>
  <c r="AF67" i="1"/>
  <c r="BJ66" i="1"/>
  <c r="AY66" i="1"/>
  <c r="AF66" i="1"/>
  <c r="BJ65" i="1"/>
  <c r="AY65" i="1"/>
  <c r="AF65" i="1"/>
  <c r="BJ64" i="1"/>
  <c r="AY64" i="1"/>
  <c r="AF64" i="1"/>
  <c r="BJ63" i="1"/>
  <c r="AY63" i="1"/>
  <c r="AF63" i="1"/>
  <c r="BJ62" i="1"/>
  <c r="AY62" i="1"/>
  <c r="AF62" i="1"/>
  <c r="BJ61" i="1"/>
  <c r="AY61" i="1"/>
  <c r="AF61" i="1"/>
  <c r="BJ60" i="1"/>
  <c r="AY60" i="1"/>
  <c r="AF60" i="1"/>
  <c r="BJ59" i="1"/>
  <c r="AY59" i="1"/>
  <c r="AF59" i="1"/>
  <c r="BJ58" i="1"/>
  <c r="AY58" i="1"/>
  <c r="AF58" i="1"/>
  <c r="BJ57" i="1"/>
  <c r="AY57" i="1"/>
  <c r="AF57" i="1"/>
  <c r="BJ56" i="1"/>
  <c r="AY56" i="1"/>
  <c r="AF56" i="1"/>
  <c r="BJ55" i="1"/>
  <c r="AY55" i="1"/>
  <c r="AF55" i="1"/>
  <c r="BJ54" i="1"/>
  <c r="AY54" i="1"/>
  <c r="AF54" i="1"/>
  <c r="BJ53" i="1"/>
  <c r="AY53" i="1"/>
  <c r="AF53" i="1"/>
  <c r="BJ52" i="1"/>
  <c r="AY52" i="1"/>
  <c r="AF52" i="1"/>
  <c r="BJ51" i="1"/>
  <c r="AY51" i="1"/>
  <c r="AF51" i="1"/>
  <c r="BJ50" i="1"/>
  <c r="AY50" i="1"/>
  <c r="AF50" i="1"/>
  <c r="BJ49" i="1"/>
  <c r="AY49" i="1"/>
  <c r="AF49" i="1"/>
  <c r="BJ48" i="1"/>
  <c r="AY48" i="1"/>
  <c r="AF48" i="1"/>
  <c r="BJ47" i="1"/>
  <c r="AY47" i="1"/>
  <c r="AF47" i="1"/>
  <c r="BJ46" i="1"/>
  <c r="AY46" i="1"/>
  <c r="AF46" i="1"/>
  <c r="BJ45" i="1"/>
  <c r="AY45" i="1"/>
  <c r="AF45" i="1"/>
  <c r="BJ44" i="1"/>
  <c r="AY44" i="1"/>
  <c r="AF44" i="1"/>
  <c r="BJ43" i="1"/>
  <c r="AY43" i="1"/>
  <c r="AF43" i="1"/>
  <c r="BJ42" i="1"/>
  <c r="AY42" i="1"/>
  <c r="AF42" i="1"/>
  <c r="BJ41" i="1"/>
  <c r="AY41" i="1"/>
  <c r="AF41" i="1"/>
  <c r="BJ40" i="1"/>
  <c r="AY40" i="1"/>
  <c r="AF40" i="1"/>
  <c r="BJ39" i="1"/>
  <c r="AY39" i="1"/>
  <c r="AF39" i="1"/>
  <c r="BJ38" i="1"/>
  <c r="AY38" i="1"/>
  <c r="AF38" i="1"/>
  <c r="BJ37" i="1"/>
  <c r="AY37" i="1"/>
  <c r="AF37" i="1"/>
  <c r="BJ36" i="1"/>
  <c r="AY36" i="1"/>
  <c r="AF36" i="1"/>
  <c r="BJ35" i="1"/>
  <c r="AY35" i="1"/>
  <c r="AF35" i="1"/>
  <c r="BJ34" i="1"/>
  <c r="AY34" i="1"/>
  <c r="AF34" i="1"/>
  <c r="BJ33" i="1"/>
  <c r="AY33" i="1"/>
  <c r="AF33" i="1"/>
  <c r="BJ32" i="1"/>
  <c r="AY32" i="1"/>
  <c r="AF32" i="1"/>
  <c r="BJ31" i="1"/>
  <c r="AY31" i="1"/>
  <c r="AF31" i="1"/>
  <c r="BJ30" i="1"/>
  <c r="AY30" i="1"/>
  <c r="AF30" i="1"/>
  <c r="BJ29" i="1"/>
  <c r="AY29" i="1"/>
  <c r="AF29" i="1"/>
  <c r="BJ27" i="1"/>
  <c r="AY27" i="1"/>
  <c r="AF27" i="1"/>
  <c r="BJ26" i="1"/>
  <c r="AY26" i="1"/>
  <c r="AF26" i="1"/>
  <c r="BJ25" i="1"/>
  <c r="AY25" i="1"/>
  <c r="AF25" i="1"/>
  <c r="BJ24" i="1"/>
  <c r="AY24" i="1"/>
  <c r="AF24" i="1"/>
  <c r="BJ23" i="1"/>
  <c r="AY23" i="1"/>
  <c r="AF23" i="1"/>
  <c r="BJ22" i="1"/>
  <c r="AY22" i="1"/>
  <c r="AF22" i="1"/>
  <c r="BJ21" i="1"/>
  <c r="AY21" i="1"/>
  <c r="AF21" i="1"/>
  <c r="BJ19" i="1"/>
  <c r="AY19" i="1"/>
  <c r="AF19" i="1"/>
  <c r="BJ18" i="1"/>
  <c r="AY18" i="1"/>
  <c r="AF18" i="1"/>
  <c r="BJ17" i="1"/>
  <c r="AY17" i="1"/>
  <c r="AF17" i="1"/>
  <c r="BJ16" i="1"/>
  <c r="AY16" i="1"/>
  <c r="AF16" i="1"/>
  <c r="BJ15" i="1"/>
  <c r="AY15" i="1"/>
  <c r="AF15" i="1"/>
  <c r="BJ14" i="1"/>
  <c r="AY14" i="1"/>
  <c r="AF14" i="1"/>
  <c r="BJ13" i="1"/>
  <c r="AY13" i="1"/>
  <c r="AF13" i="1"/>
  <c r="BJ12" i="1"/>
  <c r="AY12" i="1"/>
  <c r="AF12" i="1"/>
  <c r="AF9" i="1"/>
  <c r="AF10" i="1"/>
  <c r="AF11" i="1"/>
  <c r="AF20" i="1"/>
  <c r="AF28" i="1"/>
  <c r="AF102" i="1"/>
  <c r="AF161" i="1"/>
  <c r="AF6" i="1"/>
  <c r="BJ11" i="1"/>
  <c r="AY11" i="1"/>
  <c r="BJ10" i="1"/>
  <c r="AY10" i="1"/>
  <c r="BJ9" i="1"/>
  <c r="AY9" i="1"/>
  <c r="AY161" i="1"/>
  <c r="AY102" i="1"/>
  <c r="L7" i="1"/>
  <c r="B8" i="1"/>
  <c r="AU6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I7" i="1"/>
  <c r="BH7" i="1"/>
  <c r="BG7" i="1"/>
  <c r="BF7" i="1"/>
  <c r="BE7" i="1"/>
  <c r="BD7" i="1"/>
  <c r="BC7" i="1"/>
  <c r="BB7" i="1"/>
  <c r="AZ7" i="1"/>
  <c r="AX7" i="1"/>
  <c r="AV7" i="1"/>
  <c r="AU7" i="1"/>
  <c r="AT7" i="1"/>
  <c r="AS7" i="1"/>
  <c r="AQ7" i="1"/>
  <c r="AP7" i="1"/>
  <c r="AO7" i="1"/>
  <c r="AN7" i="1"/>
  <c r="AM7" i="1"/>
  <c r="AJ7" i="1"/>
  <c r="AE7" i="1"/>
  <c r="AD7" i="1"/>
  <c r="AC7" i="1"/>
  <c r="AB7" i="1"/>
  <c r="Y7" i="1"/>
  <c r="W7" i="1"/>
  <c r="U7" i="1"/>
  <c r="P7" i="1"/>
  <c r="O7" i="1"/>
  <c r="N7" i="1"/>
  <c r="M7" i="1"/>
  <c r="K7" i="1"/>
  <c r="J7" i="1"/>
  <c r="H7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I6" i="1"/>
  <c r="BH6" i="1"/>
  <c r="BG6" i="1"/>
  <c r="BF6" i="1"/>
  <c r="BE6" i="1"/>
  <c r="BD6" i="1"/>
  <c r="BC6" i="1"/>
  <c r="BB6" i="1"/>
  <c r="AZ6" i="1"/>
  <c r="AX6" i="1"/>
  <c r="AV6" i="1"/>
  <c r="AT6" i="1"/>
  <c r="AS6" i="1"/>
  <c r="AQ6" i="1"/>
  <c r="AP6" i="1"/>
  <c r="AO6" i="1"/>
  <c r="AN6" i="1"/>
  <c r="AM6" i="1"/>
  <c r="AK6" i="1"/>
  <c r="AJ6" i="1"/>
  <c r="AE6" i="1"/>
  <c r="AD6" i="1"/>
  <c r="AC6" i="1"/>
  <c r="AB6" i="1"/>
  <c r="Y6" i="1"/>
  <c r="X6" i="1"/>
  <c r="W6" i="1"/>
  <c r="U6" i="1"/>
  <c r="P6" i="1"/>
  <c r="O6" i="1"/>
  <c r="N6" i="1"/>
  <c r="M6" i="1"/>
  <c r="L6" i="1"/>
  <c r="K6" i="1"/>
  <c r="J6" i="1"/>
  <c r="H6" i="1"/>
  <c r="G7" i="1"/>
  <c r="AL6" i="1"/>
  <c r="AF7" i="1"/>
  <c r="G6" i="1"/>
  <c r="BJ7" i="1"/>
  <c r="AW6" i="1"/>
  <c r="V6" i="1"/>
  <c r="AY7" i="1"/>
  <c r="Q7" i="1"/>
  <c r="I6" i="1"/>
  <c r="AH6" i="1"/>
  <c r="R7" i="1"/>
  <c r="AY20" i="1"/>
  <c r="AG7" i="1"/>
  <c r="AA6" i="1"/>
  <c r="AI6" i="1"/>
  <c r="BJ6" i="1"/>
  <c r="S7" i="1"/>
  <c r="AR6" i="1"/>
  <c r="T7" i="1"/>
</calcChain>
</file>

<file path=xl/sharedStrings.xml><?xml version="1.0" encoding="utf-8"?>
<sst xmlns="http://schemas.openxmlformats.org/spreadsheetml/2006/main" count="964" uniqueCount="588">
  <si>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</si>
  <si>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</si>
  <si>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</si>
  <si>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</si>
  <si>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</si>
  <si>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</si>
  <si>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</si>
  <si>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</si>
  <si>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</si>
  <si>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</si>
  <si>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</si>
  <si>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</si>
  <si>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</si>
  <si>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</si>
  <si>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</si>
  <si>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</si>
  <si>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</si>
  <si>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</si>
  <si>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</si>
  <si>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</si>
  <si>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</si>
  <si>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</si>
  <si>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</si>
  <si>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</si>
  <si>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</si>
  <si>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</si>
  <si>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</si>
  <si>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</si>
  <si>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</si>
  <si>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</si>
  <si>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</si>
  <si>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</si>
  <si>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</si>
  <si>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</si>
  <si>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</si>
  <si>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</si>
  <si>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</si>
  <si>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</si>
  <si>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</si>
  <si>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</si>
  <si>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</si>
  <si>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</si>
  <si>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</si>
  <si>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</si>
  <si>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</si>
  <si>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</si>
  <si>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</si>
  <si>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</si>
  <si>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</si>
  <si>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</si>
  <si>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</si>
  <si>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</si>
  <si>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</si>
  <si>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</si>
  <si>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</si>
  <si>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</si>
  <si>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</si>
  <si>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</si>
  <si>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</si>
  <si>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</si>
  <si>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</si>
  <si>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</si>
  <si>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</si>
  <si>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</si>
  <si>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</si>
  <si>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</si>
  <si>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</si>
  <si>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</si>
  <si>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</si>
  <si>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</si>
  <si>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</si>
  <si>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</si>
  <si>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</si>
  <si>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</si>
  <si>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</si>
  <si>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</si>
  <si>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</si>
  <si>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</si>
  <si>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</si>
  <si>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</si>
  <si>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</si>
  <si>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</si>
  <si>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</si>
  <si>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</si>
  <si>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</si>
  <si>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</si>
  <si>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</si>
  <si>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</si>
  <si>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</si>
  <si>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</si>
  <si>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</si>
  <si>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</si>
  <si>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</si>
  <si>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</si>
  <si>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</si>
  <si>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</si>
  <si>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</si>
  <si>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</si>
  <si>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</si>
  <si>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</si>
  <si>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</si>
  <si>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</si>
  <si>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</si>
  <si>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</si>
  <si>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</si>
  <si>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</si>
  <si>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</si>
  <si>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</si>
  <si>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</si>
  <si>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</si>
  <si>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</si>
  <si>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</si>
  <si>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</si>
  <si>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</si>
  <si>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</si>
  <si>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</si>
  <si>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</si>
  <si>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</si>
  <si>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</si>
  <si>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</si>
  <si>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Jeffrey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</si>
  <si>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</si>
  <si>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</si>
  <si>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</si>
  <si>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</si>
  <si>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</si>
  <si>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</si>
  <si>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</si>
  <si>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</si>
  <si>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</si>
  <si>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</si>
  <si>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</si>
  <si>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</si>
  <si>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</si>
  <si>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</si>
  <si>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</si>
  <si>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</si>
  <si>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</si>
  <si>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</si>
  <si>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</si>
  <si>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</si>
  <si>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</si>
  <si>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</si>
  <si>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</si>
  <si>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</si>
  <si>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</si>
  <si>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</si>
  <si>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</si>
  <si>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</si>
  <si>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</si>
  <si>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</si>
  <si>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</si>
  <si>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</si>
  <si>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</si>
  <si>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</si>
  <si>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</si>
  <si>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</si>
  <si>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</si>
  <si>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</si>
  <si>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</si>
  <si>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</si>
  <si>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</si>
  <si>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</si>
  <si>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</si>
  <si>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</si>
  <si>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</si>
  <si>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</si>
  <si>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</si>
  <si>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Baltimore</t>
  </si>
  <si>
    <t>Cotter</t>
  </si>
  <si>
    <t>Chesapeake</t>
  </si>
  <si>
    <t>Columbia</t>
  </si>
  <si>
    <t>South Carolina</t>
  </si>
  <si>
    <t>Gorman</t>
  </si>
  <si>
    <t>Thomas</t>
  </si>
  <si>
    <t>Alexandria</t>
  </si>
  <si>
    <t>Grigsby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</si>
  <si>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</si>
  <si>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</si>
  <si>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</si>
  <si>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</si>
  <si>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</si>
  <si>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</si>
  <si>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</si>
  <si>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</si>
  <si>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</si>
  <si>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</si>
  <si>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</si>
  <si>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</si>
  <si>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</si>
  <si>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Washington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</si>
  <si>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</si>
  <si>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</si>
  <si>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</si>
  <si>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</si>
  <si>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</si>
  <si>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</si>
  <si>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</si>
  <si>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</si>
  <si>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</si>
  <si>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</si>
  <si>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</si>
  <si>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</si>
  <si>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</si>
  <si>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</si>
  <si>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</si>
  <si>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</si>
  <si>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</si>
  <si>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</si>
  <si>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</si>
  <si>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</si>
  <si>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</si>
  <si>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</si>
  <si>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</si>
  <si>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</si>
  <si>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</si>
  <si>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</si>
  <si>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</si>
  <si>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</si>
  <si>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</si>
  <si>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</si>
  <si>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</si>
  <si>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</si>
  <si>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</si>
  <si>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</si>
  <si>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</si>
  <si>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</si>
  <si>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</si>
  <si>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</si>
  <si>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</si>
  <si>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</si>
  <si>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</si>
  <si>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</si>
  <si>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</si>
  <si>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</si>
  <si>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Talton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</si>
  <si>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</si>
  <si>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</si>
  <si>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</si>
  <si>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</si>
  <si>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</si>
  <si>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</si>
  <si>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</si>
  <si>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</si>
  <si>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</si>
  <si>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</si>
  <si>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</si>
  <si>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</si>
  <si>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</si>
  <si>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</si>
  <si>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</si>
  <si>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</si>
  <si>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</si>
  <si>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</si>
  <si>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</si>
  <si>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</si>
  <si>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</si>
  <si>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</si>
  <si>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</si>
  <si>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</si>
  <si>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</si>
  <si>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</si>
  <si>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</si>
  <si>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</si>
  <si>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</si>
  <si>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</si>
  <si>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</si>
  <si>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</si>
  <si>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</si>
  <si>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</si>
  <si>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</si>
  <si>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</si>
  <si>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</si>
  <si>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</si>
  <si>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</si>
  <si>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</si>
  <si>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</si>
  <si>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</si>
  <si>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</si>
  <si>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</si>
  <si>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</si>
  <si>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</si>
  <si>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</si>
  <si>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</si>
  <si>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</si>
  <si>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</si>
  <si>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</si>
  <si>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</si>
  <si>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</si>
  <si>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</si>
  <si>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</si>
  <si>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</si>
  <si>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</si>
  <si>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</si>
  <si>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</si>
  <si>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</si>
  <si>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</si>
  <si>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</si>
  <si>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</si>
  <si>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Kellner</t>
  </si>
  <si>
    <t>Dayton</t>
  </si>
  <si>
    <t>McDonald, Jr.</t>
  </si>
  <si>
    <t>Saginaw</t>
  </si>
  <si>
    <t>Pees</t>
  </si>
  <si>
    <t>Frank</t>
  </si>
  <si>
    <t>Worthington</t>
  </si>
  <si>
    <t>Rodgers</t>
  </si>
  <si>
    <t>Brett</t>
  </si>
  <si>
    <t>Grand Rapids</t>
  </si>
  <si>
    <t>Rosen</t>
  </si>
  <si>
    <t>Toby</t>
  </si>
  <si>
    <t>Canton</t>
  </si>
  <si>
    <t>Rucinski</t>
  </si>
  <si>
    <t>Akron</t>
  </si>
  <si>
    <t>Ruskin</t>
  </si>
  <si>
    <t>Southfield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</si>
  <si>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</si>
  <si>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</si>
  <si>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</si>
  <si>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</si>
  <si>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</si>
  <si>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</si>
  <si>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</si>
  <si>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</si>
  <si>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</si>
  <si>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</si>
  <si>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</si>
  <si>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</si>
  <si>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</si>
  <si>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Clark</t>
  </si>
  <si>
    <t>Peoria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</si>
  <si>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</si>
  <si>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</si>
  <si>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</si>
  <si>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</si>
  <si>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</si>
  <si>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</si>
  <si>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</si>
  <si>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</si>
  <si>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</si>
  <si>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</si>
  <si>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Springfield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</si>
  <si>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</si>
  <si>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</si>
  <si>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</si>
  <si>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</si>
  <si>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</si>
  <si>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</si>
  <si>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</si>
  <si>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</si>
  <si>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</si>
  <si>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</si>
  <si>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</si>
  <si>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</si>
  <si>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</si>
  <si>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</si>
  <si>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</si>
  <si>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</si>
  <si>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</si>
  <si>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</si>
  <si>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</si>
  <si>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</si>
  <si>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</si>
  <si>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</si>
  <si>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</si>
  <si>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</si>
  <si>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</si>
  <si>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</si>
  <si>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</si>
  <si>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</si>
  <si>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</si>
  <si>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</si>
  <si>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</si>
  <si>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</si>
  <si>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</si>
  <si>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</si>
  <si>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</si>
  <si>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</si>
  <si>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</si>
  <si>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</si>
  <si>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</si>
  <si>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</si>
  <si>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</si>
  <si>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</si>
  <si>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</si>
  <si>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</si>
  <si>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</si>
  <si>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</si>
  <si>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</si>
  <si>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</si>
  <si>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</si>
  <si>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</si>
  <si>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St. Louis</t>
  </si>
  <si>
    <t>Laughlin</t>
  </si>
  <si>
    <t>Kathleen</t>
  </si>
  <si>
    <t>Omaha</t>
  </si>
  <si>
    <t>Nebraska</t>
  </si>
  <si>
    <t>McCarty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</si>
  <si>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</si>
  <si>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</si>
  <si>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</si>
  <si>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</si>
  <si>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</si>
  <si>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</si>
  <si>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</si>
  <si>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</si>
  <si>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</si>
  <si>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</si>
  <si>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</si>
  <si>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</si>
  <si>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</si>
  <si>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</si>
  <si>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</si>
  <si>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</si>
  <si>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</si>
  <si>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</si>
  <si>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</si>
  <si>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</si>
  <si>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</si>
  <si>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</si>
  <si>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</si>
  <si>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</si>
  <si>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</si>
  <si>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</si>
  <si>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</si>
  <si>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</si>
  <si>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</si>
  <si>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</si>
  <si>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</si>
  <si>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</si>
  <si>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</si>
  <si>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</si>
  <si>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</si>
  <si>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</si>
  <si>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</si>
  <si>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</si>
  <si>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</si>
  <si>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Johnson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</si>
  <si>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</si>
  <si>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</si>
  <si>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</si>
  <si>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</si>
  <si>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</si>
  <si>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</si>
  <si>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</si>
  <si>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</si>
  <si>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</si>
  <si>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</si>
  <si>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</si>
  <si>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Anchorage</t>
  </si>
  <si>
    <t>Alaska</t>
  </si>
  <si>
    <t>Drummond</t>
  </si>
  <si>
    <t>Great Falls</t>
  </si>
  <si>
    <t>Montana</t>
  </si>
  <si>
    <t>Fitzgerald</t>
  </si>
  <si>
    <t>K. Michael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</si>
  <si>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</si>
  <si>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</si>
  <si>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</si>
  <si>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</si>
  <si>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</si>
  <si>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</si>
  <si>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</si>
  <si>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</si>
  <si>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</si>
  <si>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</si>
  <si>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</si>
  <si>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Salt Lake City</t>
  </si>
  <si>
    <t>Utah</t>
  </si>
  <si>
    <t>Kiel</t>
  </si>
  <si>
    <t>Douglas</t>
  </si>
  <si>
    <t>Denver</t>
  </si>
  <si>
    <t>Colorado</t>
  </si>
  <si>
    <t>Stewart</t>
  </si>
  <si>
    <t>Cheyenne</t>
  </si>
  <si>
    <t>Wyoming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</si>
  <si>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</si>
  <si>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</si>
  <si>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</si>
  <si>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</si>
  <si>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</si>
  <si>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</si>
  <si>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</si>
  <si>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</si>
  <si>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</si>
  <si>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</si>
  <si>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</si>
  <si>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</si>
  <si>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</si>
  <si>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Albuquerque</t>
  </si>
  <si>
    <t>New Mexico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</si>
  <si>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</si>
  <si>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</si>
  <si>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</si>
  <si>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</si>
  <si>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</si>
  <si>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</si>
  <si>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</si>
  <si>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</si>
  <si>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</si>
  <si>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</si>
  <si>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</si>
  <si>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</si>
  <si>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</si>
  <si>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</si>
  <si>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</si>
  <si>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</si>
  <si>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</si>
  <si>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</si>
  <si>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</si>
  <si>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</si>
  <si>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</si>
  <si>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</si>
  <si>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</si>
  <si>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</si>
  <si>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</si>
  <si>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</si>
  <si>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</si>
  <si>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</si>
  <si>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</si>
  <si>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</si>
  <si>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</si>
  <si>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</si>
  <si>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</si>
  <si>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</si>
  <si>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</si>
  <si>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</si>
  <si>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</si>
  <si>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</si>
  <si>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</si>
  <si>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</si>
  <si>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</si>
  <si>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</si>
  <si>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</si>
  <si>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</si>
  <si>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</si>
  <si>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</si>
  <si>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Plano</t>
  </si>
  <si>
    <t>Chattanooga</t>
  </si>
  <si>
    <t>Oshkosh</t>
  </si>
  <si>
    <t>Tacoma</t>
  </si>
  <si>
    <t>Eugene</t>
  </si>
  <si>
    <t>Suffolk</t>
  </si>
  <si>
    <t>Wade</t>
  </si>
  <si>
    <t>West</t>
  </si>
  <si>
    <t>Hauber</t>
  </si>
  <si>
    <t>Garcia</t>
  </si>
  <si>
    <t>Jipping</t>
  </si>
  <si>
    <t>Malaier</t>
  </si>
  <si>
    <t>Markel</t>
  </si>
  <si>
    <t>Jenkins</t>
  </si>
  <si>
    <t>Nacole</t>
  </si>
  <si>
    <t>Naliko</t>
  </si>
  <si>
    <t>Kara</t>
  </si>
  <si>
    <t>Suzanne</t>
  </si>
  <si>
    <t>Carey</t>
  </si>
  <si>
    <t>Lon</t>
  </si>
  <si>
    <t>(1)  trustees who run ongoing mortgage payments through the plans on a regular basis-defined as disbursing ongoing mortgage payments totaling 10% or more of total disbursements OR</t>
  </si>
  <si>
    <t>disbursing ongoing mortgage payments totaling between 1%-10% of total disbursements where the region advises they routinely run them through the plans.</t>
  </si>
  <si>
    <t>Scott</t>
  </si>
  <si>
    <t>Diana</t>
  </si>
  <si>
    <t>Simmons-Beasley</t>
  </si>
  <si>
    <t>Johns</t>
  </si>
  <si>
    <t>Davis</t>
  </si>
  <si>
    <t>Todd</t>
  </si>
  <si>
    <t>Ebert</t>
  </si>
  <si>
    <t>Dunbar Interim</t>
  </si>
  <si>
    <t>Maryland &amp; DC</t>
  </si>
  <si>
    <t>CASES ACTIVE START '18</t>
  </si>
  <si>
    <t># CASES END FY18</t>
  </si>
  <si>
    <t>Napolitano</t>
  </si>
  <si>
    <t>Helbling</t>
  </si>
  <si>
    <t>Germeraad (9 mos)</t>
  </si>
  <si>
    <t>Krista</t>
  </si>
  <si>
    <t>Lauren</t>
  </si>
  <si>
    <t>Daugherty</t>
  </si>
  <si>
    <t>Tiffany</t>
  </si>
  <si>
    <t>Dudley</t>
  </si>
  <si>
    <t>Andrew</t>
  </si>
  <si>
    <t>Lieske</t>
  </si>
  <si>
    <t>Davey</t>
  </si>
  <si>
    <t>Melissa</t>
  </si>
  <si>
    <t>Sapir/Preuss</t>
  </si>
  <si>
    <t>Reigle/Miller int.</t>
  </si>
  <si>
    <t xml:space="preserve">Skehen/Cornejo </t>
  </si>
  <si>
    <t>ERRONEOUS DISB</t>
  </si>
  <si>
    <t>Roberta</t>
  </si>
  <si>
    <r>
      <t xml:space="preserve">CHAPTER 13 STANDING TRUSTEE FY18 </t>
    </r>
    <r>
      <rPr>
        <sz val="12"/>
        <rFont val="Times New Roman"/>
        <family val="1"/>
      </rPr>
      <t xml:space="preserve">AUDITED ANNUAL REPORTS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</si>
</sst>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6" formatCode="m/d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Border="1" applyAlignment="1">
      <alignment horizontal="center"/>
    </xf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37" fontId="3" fillId="5" borderId="4" xfId="0" applyNumberFormat="1" applyFont="1" applyFill="1" applyBorder="1" applyAlignment="1" applyProtection="1">
      <alignment horizontal="right" vertical="center" wrapText="1"/>
    </xf>
    <xf numFmtId="37" fontId="3" fillId="5" borderId="4" xfId="0" applyNumberFormat="1" applyFont="1" applyFill="1" applyBorder="1" applyAlignment="1" applyProtection="1">
      <alignment vertical="center" wrapText="1"/>
    </xf>
    <xf numFmtId="0" fontId="3" fillId="2" borderId="4" xfId="0" quotePrefix="1" applyNumberFormat="1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17" fillId="5" borderId="4" xfId="0" applyFont="1" applyFill="1" applyBorder="1" applyAlignment="1" applyProtection="1">
      <alignment horizontal="right" vertical="center" wrapText="1"/>
    </xf>
    <xf numFmtId="0" fontId="17" fillId="5" borderId="4" xfId="0" applyFont="1" applyFill="1" applyBorder="1" applyAlignment="1" applyProtection="1">
      <alignment vertical="center" wrapText="1"/>
    </xf>
    <xf numFmtId="0" fontId="3" fillId="5" borderId="4" xfId="0" applyNumberFormat="1" applyFont="1" applyFill="1" applyBorder="1"/>
    <xf numFmtId="37" fontId="19" fillId="2" borderId="4" xfId="4" applyNumberFormat="1" applyFont="1" applyFill="1" applyBorder="1" applyAlignment="1"/>
    <xf numFmtId="0" fontId="0" fillId="0" borderId="4" xfId="0" applyBorder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7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4" xfId="6" quotePrefix="1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3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0" fontId="3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0" borderId="4" xfId="6" applyNumberFormat="1" applyFont="1" applyFill="1" applyBorder="1"/>
    <xf numFmtId="3" fontId="3" fillId="2" borderId="4" xfId="6" applyNumberFormat="1" applyFont="1" applyFill="1" applyBorder="1"/>
    <xf numFmtId="0" fontId="19" fillId="2" borderId="4" xfId="6" quotePrefix="1" applyNumberFormat="1" applyFont="1" applyFill="1" applyBorder="1"/>
    <xf numFmtId="0" fontId="3" fillId="0" borderId="4" xfId="6" quotePrefix="1" applyNumberFormat="1" applyFont="1" applyFill="1" applyBorder="1"/>
    <xf numFmtId="0" fontId="3" fillId="2" borderId="4" xfId="6" applyFont="1" applyFill="1" applyBorder="1"/>
    <xf numFmtId="0" fontId="3" fillId="2" borderId="4" xfId="6" quotePrefix="1" applyNumberFormat="1" applyFont="1" applyFill="1" applyBorder="1"/>
    <xf numFmtId="0" fontId="3" fillId="2" borderId="4" xfId="6" applyNumberFormat="1" applyFont="1" applyFill="1" applyBorder="1"/>
    <xf numFmtId="37" fontId="19" fillId="0" borderId="4" xfId="4" applyNumberFormat="1" applyFont="1" applyBorder="1"/>
    <xf numFmtId="37" fontId="19" fillId="2" borderId="4" xfId="4" applyNumberFormat="1" applyFont="1" applyFill="1" applyBorder="1"/>
    <xf numFmtId="164" fontId="19" fillId="2" borderId="4" xfId="4" applyNumberFormat="1" applyFont="1" applyFill="1" applyBorder="1"/>
    <xf numFmtId="0" fontId="0" fillId="0" borderId="0" xfId="0" applyBorder="1"/>
    <xf numFmtId="0" fontId="0" fillId="0" borderId="0" xfId="0" applyFill="1"/>
    <xf numFmtId="3" fontId="19" fillId="0" borderId="0" xfId="0" applyNumberFormat="1" applyFont="1" applyBorder="1" applyAlignment="1"/>
    <xf numFmtId="0" fontId="19" fillId="0" borderId="0" xfId="0" applyFont="1"/>
    <xf numFmtId="0" fontId="19" fillId="0" borderId="0" xfId="0" applyFont="1"/>
    <xf numFmtId="0" fontId="2" fillId="0" borderId="0" xfId="0" applyFont="1" applyBorder="1"/>
    <xf numFmtId="3" fontId="19" fillId="0" borderId="4" xfId="4" applyNumberFormat="1" applyFont="1" applyBorder="1"/>
    <xf numFmtId="3" fontId="19" fillId="2" borderId="4" xfId="4" applyNumberFormat="1" applyFont="1" applyFill="1" applyBorder="1"/>
    <xf numFmtId="3" fontId="19" fillId="0" borderId="4" xfId="4" applyNumberFormat="1" applyFont="1" applyFill="1" applyBorder="1"/>
    <xf numFmtId="37" fontId="19" fillId="0" borderId="4" xfId="4" applyNumberFormat="1" applyFont="1" applyFill="1" applyBorder="1"/>
    <xf numFmtId="0" fontId="19" fillId="2" borderId="0" xfId="0" applyFont="1" applyFill="1"/>
    <xf numFmtId="164" fontId="19" fillId="0" borderId="4" xfId="4" applyNumberFormat="1" applyFont="1" applyFill="1" applyBorder="1"/>
    <xf numFmtId="37" fontId="3" fillId="0" borderId="4" xfId="0" applyNumberFormat="1" applyFont="1" applyFill="1" applyBorder="1" applyAlignment="1" applyProtection="1">
      <alignment vertical="center" wrapText="1"/>
    </xf>
    <xf numFmtId="37" fontId="3" fillId="2" borderId="4" xfId="4" applyNumberFormat="1" applyFont="1" applyFill="1" applyBorder="1"/>
    <xf numFmtId="164" fontId="3" fillId="2" borderId="4" xfId="4" applyNumberFormat="1" applyFont="1" applyFill="1" applyBorder="1"/>
    <xf numFmtId="0" fontId="13" fillId="2" borderId="0" xfId="0" applyFont="1" applyFill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21" fillId="0" borderId="0" xfId="0" applyNumberFormat="1" applyFont="1" applyFill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10" fillId="2" borderId="0" xfId="1" applyFont="1" applyFill="1" applyBorder="1"/>
    <xf numFmtId="0" fontId="14" fillId="2" borderId="1" xfId="1" applyFont="1" applyFill="1" applyBorder="1"/>
    <xf numFmtId="0" fontId="11" fillId="0" borderId="6" xfId="0" applyFont="1" applyBorder="1" applyAlignment="1">
      <alignment horizontal="center" vertical="center"/>
    </xf>
  </cellXfs>
  <cellStyles count="44">
    <cellStyle name="Currency" xfId="4" builtinId="4"/>
    <cellStyle name="Currency 2" xfId="11"/>
    <cellStyle name="Currency 2 2" xfId="37"/>
    <cellStyle name="Currency 3" xfId="32"/>
    <cellStyle name="Currency 3 2" xfId="39"/>
    <cellStyle name="Currency 4" xfId="35"/>
    <cellStyle name="Currency 4 2" xfId="41"/>
    <cellStyle name="Currency 5" xfId="43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14"/>
    <cellStyle name="Normal 19" xfId="23"/>
    <cellStyle name="Normal 2" xfId="6"/>
    <cellStyle name="Normal 20" xfId="24"/>
    <cellStyle name="Normal 21" xfId="25"/>
    <cellStyle name="Normal 22" xfId="26"/>
    <cellStyle name="Normal 23" xfId="27"/>
    <cellStyle name="Normal 24" xfId="2"/>
    <cellStyle name="Normal 25" xfId="3"/>
    <cellStyle name="Normal 26" xfId="1"/>
    <cellStyle name="Normal 27" xfId="28"/>
    <cellStyle name="Normal 28" xfId="29"/>
    <cellStyle name="Normal 29" xfId="34"/>
    <cellStyle name="Normal 3" xfId="7"/>
    <cellStyle name="Normal 30" xfId="33"/>
    <cellStyle name="Normal 4" xfId="8"/>
    <cellStyle name="Normal 5" xfId="9"/>
    <cellStyle name="Normal 5 2" xfId="30"/>
    <cellStyle name="Normal 5 3" xfId="36"/>
    <cellStyle name="Normal 6" xfId="10"/>
    <cellStyle name="Normal 6 2" xfId="31"/>
    <cellStyle name="Normal 6 3" xfId="38"/>
    <cellStyle name="Normal 7" xfId="5"/>
    <cellStyle name="Normal 7 2" xfId="40"/>
    <cellStyle name="Normal 8" xfId="12"/>
    <cellStyle name="Normal 8 2" xfId="4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7"/>
  <sheetViews>
    <sheetView tabSelected="1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C9" sqref="C9"/>
    </sheetView>
  </sheetViews>
  <sheetFormatPr defaultRowHeight="15" x14ac:dyDescent="0.25"/>
  <cols>
    <col min="2" max="2" width="18.5703125" customWidth="1"/>
    <col min="3" max="3" width="17" customWidth="1"/>
    <col min="4" max="4" width="16.85546875" customWidth="1"/>
    <col min="5" max="5" width="20.7109375" customWidth="1"/>
    <col min="6" max="6" width="32.7109375" bestFit="1" customWidth="1"/>
    <col min="7" max="7" width="14.140625" customWidth="1"/>
    <col min="8" max="9" width="16.7109375" customWidth="1"/>
    <col min="10" max="11" width="14.140625" customWidth="1"/>
    <col min="12" max="13" width="17.140625" customWidth="1"/>
    <col min="14" max="14" width="14.42578125" customWidth="1"/>
    <col min="15" max="15" width="15.140625" customWidth="1"/>
    <col min="16" max="16" width="13.85546875" bestFit="1" customWidth="1"/>
    <col min="17" max="17" width="14.5703125" customWidth="1"/>
    <col min="18" max="18" width="12.85546875" customWidth="1"/>
    <col min="19" max="19" width="14.7109375" customWidth="1"/>
    <col min="20" max="20" width="12.140625" bestFit="1" customWidth="1"/>
    <col min="21" max="21" width="10.85546875" customWidth="1"/>
    <col min="22" max="23" width="12.5703125" customWidth="1"/>
    <col min="24" max="24" width="21" customWidth="1"/>
    <col min="25" max="25" width="14.5703125" customWidth="1"/>
    <col min="26" max="26" width="16.7109375" customWidth="1"/>
    <col min="27" max="27" width="16.28515625" customWidth="1"/>
    <col min="28" max="28" width="14.28515625" customWidth="1"/>
    <col min="29" max="29" width="15.42578125" customWidth="1"/>
    <col min="30" max="30" width="14.140625" customWidth="1"/>
    <col min="31" max="31" width="15.85546875" customWidth="1"/>
    <col min="32" max="32" width="12.85546875" customWidth="1"/>
    <col min="33" max="33" width="12.140625" customWidth="1"/>
    <col min="34" max="34" width="12.85546875" customWidth="1"/>
    <col min="35" max="35" width="14.42578125" customWidth="1"/>
    <col min="36" max="36" width="9.85546875" customWidth="1"/>
    <col min="37" max="37" width="11" bestFit="1" customWidth="1"/>
    <col min="38" max="38" width="11.85546875" customWidth="1"/>
    <col min="39" max="39" width="12" customWidth="1"/>
    <col min="40" max="40" width="9.85546875" bestFit="1" customWidth="1"/>
    <col min="41" max="41" width="13.5703125" customWidth="1"/>
    <col min="42" max="42" width="12.28515625" customWidth="1"/>
    <col min="43" max="43" width="13.7109375" customWidth="1"/>
    <col min="44" max="44" width="11.7109375" customWidth="1"/>
    <col min="45" max="45" width="12.28515625" customWidth="1"/>
    <col min="46" max="47" width="13" customWidth="1"/>
    <col min="48" max="48" width="12.140625" customWidth="1"/>
    <col min="49" max="51" width="13.140625" customWidth="1"/>
    <col min="52" max="52" width="11.42578125" customWidth="1"/>
    <col min="53" max="53" width="11.7109375" customWidth="1"/>
    <col min="54" max="55" width="15.42578125" customWidth="1"/>
    <col min="56" max="56" width="11" bestFit="1" customWidth="1"/>
    <col min="57" max="57" width="10.7109375" customWidth="1"/>
    <col min="58" max="58" width="14.5703125" customWidth="1"/>
    <col min="59" max="59" width="13" customWidth="1"/>
    <col min="60" max="60" width="10.28515625" customWidth="1"/>
    <col min="61" max="61" width="9" bestFit="1" customWidth="1"/>
    <col min="62" max="62" width="11" customWidth="1"/>
    <col min="63" max="63" width="13.28515625" customWidth="1"/>
    <col min="64" max="64" width="13.85546875" customWidth="1"/>
    <col min="65" max="66" width="9" bestFit="1" customWidth="1"/>
    <col min="67" max="67" width="17.140625" customWidth="1"/>
    <col min="68" max="68" width="12.5703125" customWidth="1"/>
    <col min="69" max="69" width="13" customWidth="1"/>
    <col min="70" max="70" width="11.85546875" customWidth="1"/>
    <col min="71" max="71" width="13.7109375" customWidth="1"/>
    <col min="72" max="72" width="13.140625" customWidth="1"/>
    <col min="73" max="73" width="14.140625" customWidth="1"/>
    <col min="74" max="74" width="12" customWidth="1"/>
    <col min="75" max="75" width="12.85546875" customWidth="1"/>
    <col min="76" max="76" width="14.140625" customWidth="1"/>
    <col min="77" max="77" width="11.140625" customWidth="1"/>
    <col min="78" max="78" width="9.28515625" customWidth="1"/>
    <col min="79" max="79" width="13.7109375" customWidth="1"/>
    <col min="80" max="80" width="11.85546875" customWidth="1"/>
    <col min="81" max="82" width="9" bestFit="1" customWidth="1"/>
    <col min="83" max="83" width="10.5703125" customWidth="1"/>
  </cols>
  <sheetData>
    <row r="1" spans="1:83" ht="15.75" x14ac:dyDescent="0.25">
      <c r="A1" s="1" t="s">
        <v>587</v>
      </c>
      <c r="Z1" s="2"/>
      <c r="AA1" s="3"/>
      <c r="AZ1" s="82"/>
      <c r="BA1" s="87"/>
      <c r="BB1" s="4"/>
      <c r="BC1" s="4"/>
      <c r="BF1" s="4"/>
      <c r="BG1" s="4"/>
      <c r="BL1" s="4"/>
      <c r="BY1" s="4"/>
      <c r="BZ1" s="4"/>
      <c r="CA1" s="5"/>
      <c r="CB1" s="5"/>
      <c r="CC1" s="5"/>
      <c r="CD1" s="5"/>
      <c r="CE1" s="5"/>
    </row>
    <row r="2" spans="1:83" ht="15.75" x14ac:dyDescent="0.25">
      <c r="A2" s="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7"/>
      <c r="CB2" s="7"/>
      <c r="CC2" s="7"/>
      <c r="CD2" s="7"/>
      <c r="CE2" s="7"/>
    </row>
    <row r="3" spans="1:83" x14ac:dyDescent="0.25">
      <c r="A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102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106"/>
      <c r="AW3" s="7"/>
      <c r="AX3" s="7"/>
      <c r="AY3" s="7"/>
      <c r="AZ3" s="7"/>
      <c r="BA3" s="102"/>
      <c r="BB3" s="7"/>
      <c r="BC3" s="7"/>
      <c r="BD3" s="7"/>
      <c r="BE3" s="7"/>
      <c r="BF3" s="7"/>
      <c r="BG3" s="7"/>
      <c r="BH3" s="7"/>
      <c r="BI3" s="7"/>
      <c r="BJ3" s="109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9"/>
      <c r="CB3" s="9"/>
      <c r="CC3" s="9"/>
      <c r="CD3" s="9"/>
      <c r="CE3" s="9"/>
    </row>
    <row r="4" spans="1:83" x14ac:dyDescent="0.25">
      <c r="A4" s="100">
        <v>43552</v>
      </c>
      <c r="B4" s="8"/>
      <c r="C4" s="8"/>
      <c r="D4" s="8"/>
      <c r="E4" s="8"/>
      <c r="F4" s="8"/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9"/>
      <c r="Z4" s="103"/>
      <c r="AA4" s="9"/>
      <c r="AB4" s="9"/>
      <c r="AC4" s="9"/>
      <c r="AD4" s="9"/>
      <c r="AE4" s="9"/>
      <c r="AF4" s="107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108"/>
      <c r="AZ4" s="9"/>
      <c r="BA4" s="104"/>
      <c r="BB4" s="9"/>
      <c r="BC4" s="9"/>
      <c r="BD4" s="9"/>
      <c r="BE4" s="9"/>
      <c r="BF4" s="9"/>
      <c r="BG4" s="9"/>
      <c r="BH4" s="9"/>
      <c r="BI4" s="9"/>
      <c r="BJ4" s="110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8" t="s">
        <v>0</v>
      </c>
      <c r="CB4" s="99"/>
      <c r="CC4" s="99"/>
      <c r="CD4" s="99"/>
      <c r="CE4" s="111"/>
    </row>
    <row r="5" spans="1:83" ht="51.75" x14ac:dyDescent="0.25">
      <c r="A5" s="11" t="s">
        <v>1</v>
      </c>
      <c r="B5" s="12" t="s">
        <v>2</v>
      </c>
      <c r="C5" s="12" t="s">
        <v>3</v>
      </c>
      <c r="D5" s="11" t="s">
        <v>4</v>
      </c>
      <c r="E5" s="12" t="s">
        <v>5</v>
      </c>
      <c r="F5" s="12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 t="s">
        <v>11</v>
      </c>
      <c r="L5" s="12" t="s">
        <v>12</v>
      </c>
      <c r="M5" s="13" t="s">
        <v>13</v>
      </c>
      <c r="N5" s="12" t="s">
        <v>14</v>
      </c>
      <c r="O5" s="12" t="s">
        <v>15</v>
      </c>
      <c r="P5" s="12" t="s">
        <v>16</v>
      </c>
      <c r="Q5" s="12" t="s">
        <v>17</v>
      </c>
      <c r="R5" s="12" t="s">
        <v>18</v>
      </c>
      <c r="S5" s="12" t="s">
        <v>19</v>
      </c>
      <c r="T5" s="12" t="s">
        <v>20</v>
      </c>
      <c r="U5" s="12" t="s">
        <v>21</v>
      </c>
      <c r="V5" s="12" t="s">
        <v>22</v>
      </c>
      <c r="W5" s="12" t="s">
        <v>23</v>
      </c>
      <c r="X5" s="14" t="s">
        <v>24</v>
      </c>
      <c r="Y5" s="15" t="s">
        <v>25</v>
      </c>
      <c r="Z5" s="16" t="s">
        <v>26</v>
      </c>
      <c r="AA5" s="12" t="s">
        <v>27</v>
      </c>
      <c r="AB5" s="12" t="s">
        <v>28</v>
      </c>
      <c r="AC5" s="12" t="s">
        <v>29</v>
      </c>
      <c r="AD5" s="17" t="s">
        <v>30</v>
      </c>
      <c r="AE5" s="17" t="s">
        <v>31</v>
      </c>
      <c r="AF5" s="18" t="s">
        <v>32</v>
      </c>
      <c r="AG5" s="12" t="s">
        <v>33</v>
      </c>
      <c r="AH5" s="12" t="s">
        <v>34</v>
      </c>
      <c r="AI5" s="12" t="s">
        <v>35</v>
      </c>
      <c r="AJ5" s="12" t="s">
        <v>36</v>
      </c>
      <c r="AK5" s="12" t="s">
        <v>37</v>
      </c>
      <c r="AL5" s="12" t="s">
        <v>38</v>
      </c>
      <c r="AM5" s="12" t="s">
        <v>39</v>
      </c>
      <c r="AN5" s="12" t="s">
        <v>40</v>
      </c>
      <c r="AO5" s="12" t="s">
        <v>41</v>
      </c>
      <c r="AP5" s="12" t="s">
        <v>42</v>
      </c>
      <c r="AQ5" s="12" t="s">
        <v>43</v>
      </c>
      <c r="AR5" s="12" t="s">
        <v>44</v>
      </c>
      <c r="AS5" s="12" t="s">
        <v>45</v>
      </c>
      <c r="AT5" s="12" t="s">
        <v>46</v>
      </c>
      <c r="AU5" s="12" t="s">
        <v>47</v>
      </c>
      <c r="AV5" s="14" t="s">
        <v>48</v>
      </c>
      <c r="AW5" s="15" t="s">
        <v>49</v>
      </c>
      <c r="AX5" s="12" t="s">
        <v>50</v>
      </c>
      <c r="AY5" s="19" t="s">
        <v>51</v>
      </c>
      <c r="AZ5" s="12" t="s">
        <v>585</v>
      </c>
      <c r="BA5" s="16" t="s">
        <v>52</v>
      </c>
      <c r="BB5" s="15" t="s">
        <v>53</v>
      </c>
      <c r="BC5" s="15" t="s">
        <v>54</v>
      </c>
      <c r="BD5" s="15" t="s">
        <v>55</v>
      </c>
      <c r="BE5" s="12" t="s">
        <v>56</v>
      </c>
      <c r="BF5" s="12" t="s">
        <v>57</v>
      </c>
      <c r="BG5" s="12" t="s">
        <v>58</v>
      </c>
      <c r="BH5" s="12" t="s">
        <v>59</v>
      </c>
      <c r="BI5" s="17" t="s">
        <v>60</v>
      </c>
      <c r="BJ5" s="20" t="s">
        <v>61</v>
      </c>
      <c r="BK5" s="12" t="s">
        <v>62</v>
      </c>
      <c r="BL5" s="12" t="s">
        <v>568</v>
      </c>
      <c r="BM5" s="12" t="s">
        <v>63</v>
      </c>
      <c r="BN5" s="12" t="s">
        <v>64</v>
      </c>
      <c r="BO5" s="12" t="s">
        <v>65</v>
      </c>
      <c r="BP5" s="12" t="s">
        <v>66</v>
      </c>
      <c r="BQ5" s="12" t="s">
        <v>67</v>
      </c>
      <c r="BR5" s="12" t="s">
        <v>68</v>
      </c>
      <c r="BS5" s="12" t="s">
        <v>69</v>
      </c>
      <c r="BT5" s="12" t="s">
        <v>70</v>
      </c>
      <c r="BU5" s="12" t="s">
        <v>71</v>
      </c>
      <c r="BV5" s="12" t="s">
        <v>72</v>
      </c>
      <c r="BW5" s="12" t="s">
        <v>73</v>
      </c>
      <c r="BX5" s="12" t="s">
        <v>74</v>
      </c>
      <c r="BY5" s="12" t="s">
        <v>569</v>
      </c>
      <c r="BZ5" s="12" t="s">
        <v>75</v>
      </c>
      <c r="CA5" s="11" t="s">
        <v>76</v>
      </c>
      <c r="CB5" s="11" t="s">
        <v>77</v>
      </c>
      <c r="CC5" s="11" t="s">
        <v>78</v>
      </c>
      <c r="CD5" s="21">
        <v>0</v>
      </c>
      <c r="CE5" s="12" t="s">
        <v>79</v>
      </c>
    </row>
    <row r="6" spans="1:83" ht="15.75" x14ac:dyDescent="0.25">
      <c r="A6" s="22"/>
      <c r="B6" s="23" t="s">
        <v>80</v>
      </c>
      <c r="C6" s="24"/>
      <c r="D6" s="24"/>
      <c r="E6" s="24"/>
      <c r="F6" s="25"/>
      <c r="G6" s="26">
        <f t="shared" ref="G6:Y6" si="0">SUM(G9:G183)</f>
        <v>5284244381.6200418</v>
      </c>
      <c r="H6" s="57">
        <f t="shared" si="0"/>
        <v>59106235.310000002</v>
      </c>
      <c r="I6" s="57">
        <f t="shared" si="0"/>
        <v>139262051.55000004</v>
      </c>
      <c r="J6" s="26">
        <f t="shared" si="0"/>
        <v>535733.55995812244</v>
      </c>
      <c r="K6" s="26">
        <f t="shared" si="0"/>
        <v>-534711.79999999981</v>
      </c>
      <c r="L6" s="26">
        <f t="shared" si="0"/>
        <v>5482614561.5899992</v>
      </c>
      <c r="M6" s="26">
        <f t="shared" si="0"/>
        <v>7307457.879999998</v>
      </c>
      <c r="N6" s="26">
        <f t="shared" si="0"/>
        <v>965267165.56000042</v>
      </c>
      <c r="O6" s="26">
        <f t="shared" si="0"/>
        <v>471400314.95400035</v>
      </c>
      <c r="P6" s="26">
        <f t="shared" si="0"/>
        <v>1410500277.1119998</v>
      </c>
      <c r="Q6" s="26">
        <f t="shared" si="0"/>
        <v>6427137.830000001</v>
      </c>
      <c r="R6" s="26">
        <f t="shared" si="0"/>
        <v>317980773.76300007</v>
      </c>
      <c r="S6" s="26">
        <f t="shared" si="0"/>
        <v>1157192594.5499997</v>
      </c>
      <c r="T6" s="26">
        <f t="shared" si="0"/>
        <v>573427114.15000033</v>
      </c>
      <c r="U6" s="26">
        <f t="shared" si="0"/>
        <v>41983.240000000005</v>
      </c>
      <c r="V6" s="26">
        <f t="shared" si="0"/>
        <v>1069090.8499999999</v>
      </c>
      <c r="W6" s="26">
        <f t="shared" si="0"/>
        <v>220299301.08999994</v>
      </c>
      <c r="X6" s="26">
        <f t="shared" si="0"/>
        <v>365798744.7280001</v>
      </c>
      <c r="Y6" s="26">
        <f t="shared" si="0"/>
        <v>5489405391.1070013</v>
      </c>
      <c r="Z6" s="27" t="s">
        <v>81</v>
      </c>
      <c r="AA6" s="26">
        <f t="shared" ref="AA6:AX6" si="1">SUM(AA9:AA183)</f>
        <v>351752791.25799984</v>
      </c>
      <c r="AB6" s="26">
        <f t="shared" si="1"/>
        <v>42836.91</v>
      </c>
      <c r="AC6" s="26">
        <f t="shared" si="1"/>
        <v>611729.39</v>
      </c>
      <c r="AD6" s="26">
        <f t="shared" si="1"/>
        <v>152500.84000000003</v>
      </c>
      <c r="AE6" s="26">
        <f t="shared" si="1"/>
        <v>18019.98</v>
      </c>
      <c r="AF6" s="26">
        <f t="shared" si="1"/>
        <v>170520.82</v>
      </c>
      <c r="AG6" s="26">
        <f t="shared" si="1"/>
        <v>171497930.87400001</v>
      </c>
      <c r="AH6" s="26">
        <f t="shared" si="1"/>
        <v>13686117.720000003</v>
      </c>
      <c r="AI6" s="26">
        <f t="shared" si="1"/>
        <v>41939895.040000007</v>
      </c>
      <c r="AJ6" s="26">
        <f t="shared" si="1"/>
        <v>792840.12000000023</v>
      </c>
      <c r="AK6" s="26">
        <f t="shared" si="1"/>
        <v>25652690.559999991</v>
      </c>
      <c r="AL6" s="26">
        <f t="shared" si="1"/>
        <v>2959587.4400000013</v>
      </c>
      <c r="AM6" s="26">
        <f t="shared" si="1"/>
        <v>13439411.570000002</v>
      </c>
      <c r="AN6" s="26">
        <f t="shared" si="1"/>
        <v>1826155</v>
      </c>
      <c r="AO6" s="26">
        <f t="shared" si="1"/>
        <v>1444500.64</v>
      </c>
      <c r="AP6" s="26">
        <f t="shared" si="1"/>
        <v>2865358.7050000005</v>
      </c>
      <c r="AQ6" s="26">
        <f t="shared" si="1"/>
        <v>10660238.990000002</v>
      </c>
      <c r="AR6" s="26">
        <f t="shared" si="1"/>
        <v>3307288.9999999986</v>
      </c>
      <c r="AS6" s="26">
        <f t="shared" si="1"/>
        <v>449761.03000000009</v>
      </c>
      <c r="AT6" s="26">
        <f t="shared" si="1"/>
        <v>4123950.3400000008</v>
      </c>
      <c r="AU6" s="26">
        <f t="shared" si="1"/>
        <v>5547327.1599999992</v>
      </c>
      <c r="AV6" s="26">
        <f t="shared" si="1"/>
        <v>14156490.870999999</v>
      </c>
      <c r="AW6" s="26">
        <f t="shared" si="1"/>
        <v>314352601.64999974</v>
      </c>
      <c r="AX6" s="26">
        <f t="shared" si="1"/>
        <v>1270805.3199999998</v>
      </c>
      <c r="AY6" s="26"/>
      <c r="AZ6" s="26">
        <f>SUM(AZ9:AZ183)</f>
        <v>52714.549999999996</v>
      </c>
      <c r="BA6" s="27" t="s">
        <v>81</v>
      </c>
      <c r="BB6" s="26">
        <f t="shared" ref="BB6:CE6" si="2">SUM(BB9:BB183)</f>
        <v>172110595.59999999</v>
      </c>
      <c r="BC6" s="26">
        <f t="shared" si="2"/>
        <v>362209194.23000014</v>
      </c>
      <c r="BD6" s="26">
        <f t="shared" si="2"/>
        <v>37217550.079999998</v>
      </c>
      <c r="BE6" s="26">
        <f t="shared" si="2"/>
        <v>18.82000000120027</v>
      </c>
      <c r="BF6" s="26">
        <f t="shared" si="2"/>
        <v>63017803.949999996</v>
      </c>
      <c r="BG6" s="26">
        <f t="shared" si="2"/>
        <v>508601.6700000026</v>
      </c>
      <c r="BH6" s="26">
        <f t="shared" si="2"/>
        <v>27885.800000001909</v>
      </c>
      <c r="BI6" s="26">
        <f t="shared" si="2"/>
        <v>1.61999999996624</v>
      </c>
      <c r="BJ6" s="26">
        <f t="shared" si="2"/>
        <v>27887.420000001875</v>
      </c>
      <c r="BK6" s="26">
        <f t="shared" si="2"/>
        <v>0</v>
      </c>
      <c r="BL6" s="28">
        <f t="shared" si="2"/>
        <v>695289</v>
      </c>
      <c r="BM6" s="28">
        <f t="shared" si="2"/>
        <v>257607</v>
      </c>
      <c r="BN6" s="28">
        <f t="shared" si="2"/>
        <v>5124</v>
      </c>
      <c r="BO6" s="28">
        <f t="shared" si="2"/>
        <v>-2234</v>
      </c>
      <c r="BP6" s="28">
        <f t="shared" si="2"/>
        <v>-6660</v>
      </c>
      <c r="BQ6" s="28">
        <f t="shared" si="2"/>
        <v>-14199</v>
      </c>
      <c r="BR6" s="28">
        <f t="shared" si="2"/>
        <v>-76661</v>
      </c>
      <c r="BS6" s="28">
        <f t="shared" si="2"/>
        <v>-77687</v>
      </c>
      <c r="BT6" s="28">
        <f t="shared" si="2"/>
        <v>1726</v>
      </c>
      <c r="BU6" s="28">
        <f t="shared" si="2"/>
        <v>-576</v>
      </c>
      <c r="BV6" s="28">
        <f t="shared" si="2"/>
        <v>3447</v>
      </c>
      <c r="BW6" s="28">
        <f t="shared" si="2"/>
        <v>-120942</v>
      </c>
      <c r="BX6" s="28">
        <f t="shared" si="2"/>
        <v>-451</v>
      </c>
      <c r="BY6" s="28">
        <f t="shared" si="2"/>
        <v>663785</v>
      </c>
      <c r="BZ6" s="56">
        <f t="shared" si="2"/>
        <v>2780</v>
      </c>
      <c r="CA6" s="56">
        <f t="shared" si="2"/>
        <v>33190</v>
      </c>
      <c r="CB6" s="56">
        <f t="shared" si="2"/>
        <v>11754</v>
      </c>
      <c r="CC6" s="28">
        <f t="shared" si="2"/>
        <v>61559</v>
      </c>
      <c r="CD6" s="28">
        <f t="shared" si="2"/>
        <v>11502</v>
      </c>
      <c r="CE6" s="28">
        <f t="shared" si="2"/>
        <v>1903</v>
      </c>
    </row>
    <row r="7" spans="1:83" ht="31.5" x14ac:dyDescent="0.25">
      <c r="A7" s="22"/>
      <c r="B7" s="29" t="s">
        <v>82</v>
      </c>
      <c r="C7" s="30"/>
      <c r="D7" s="30"/>
      <c r="E7" s="30"/>
      <c r="F7" s="25"/>
      <c r="G7" s="26">
        <f t="shared" ref="G7:AX7" si="3">AVERAGE(G9:G183)</f>
        <v>30195682.180685952</v>
      </c>
      <c r="H7" s="26">
        <f t="shared" si="3"/>
        <v>337749.91605714289</v>
      </c>
      <c r="I7" s="26">
        <f t="shared" si="3"/>
        <v>795783.15171428595</v>
      </c>
      <c r="J7" s="26">
        <f t="shared" si="3"/>
        <v>3061.3346283321284</v>
      </c>
      <c r="K7" s="26">
        <f t="shared" si="3"/>
        <v>-3055.4959999999987</v>
      </c>
      <c r="L7" s="26">
        <f t="shared" si="3"/>
        <v>31329226.066228569</v>
      </c>
      <c r="M7" s="26">
        <f t="shared" si="3"/>
        <v>41756.902171428563</v>
      </c>
      <c r="N7" s="26">
        <f t="shared" si="3"/>
        <v>5515812.3746285737</v>
      </c>
      <c r="O7" s="26">
        <f t="shared" si="3"/>
        <v>2693716.0854514306</v>
      </c>
      <c r="P7" s="26">
        <f t="shared" si="3"/>
        <v>8060001.5834971415</v>
      </c>
      <c r="Q7" s="26">
        <f t="shared" si="3"/>
        <v>36726.501885714293</v>
      </c>
      <c r="R7" s="26">
        <f t="shared" si="3"/>
        <v>1817032.9929314291</v>
      </c>
      <c r="S7" s="26">
        <f t="shared" si="3"/>
        <v>6612529.1117142839</v>
      </c>
      <c r="T7" s="26">
        <f t="shared" si="3"/>
        <v>3276726.3665714306</v>
      </c>
      <c r="U7" s="26">
        <f t="shared" si="3"/>
        <v>239.9042285714286</v>
      </c>
      <c r="V7" s="26">
        <f t="shared" si="3"/>
        <v>6109.0905714285709</v>
      </c>
      <c r="W7" s="26">
        <f t="shared" si="3"/>
        <v>1258853.149085714</v>
      </c>
      <c r="X7" s="26">
        <f t="shared" si="3"/>
        <v>2090278.5413028577</v>
      </c>
      <c r="Y7" s="26">
        <f t="shared" si="3"/>
        <v>31368030.806325722</v>
      </c>
      <c r="Z7" s="31">
        <f t="shared" si="3"/>
        <v>0.10040074346529942</v>
      </c>
      <c r="AA7" s="26">
        <f t="shared" si="3"/>
        <v>2010015.9500457135</v>
      </c>
      <c r="AB7" s="26">
        <f t="shared" si="3"/>
        <v>244.78234285714288</v>
      </c>
      <c r="AC7" s="26">
        <f t="shared" si="3"/>
        <v>3495.5965142857144</v>
      </c>
      <c r="AD7" s="26">
        <f t="shared" si="3"/>
        <v>871.4333714285716</v>
      </c>
      <c r="AE7" s="26">
        <f t="shared" si="3"/>
        <v>102.97131428571429</v>
      </c>
      <c r="AF7" s="26">
        <f t="shared" si="3"/>
        <v>974.40468571428573</v>
      </c>
      <c r="AG7" s="26">
        <f t="shared" si="3"/>
        <v>979988.17642285721</v>
      </c>
      <c r="AH7" s="26">
        <f t="shared" si="3"/>
        <v>78206.386971428583</v>
      </c>
      <c r="AI7" s="26">
        <f t="shared" si="3"/>
        <v>239656.54308571434</v>
      </c>
      <c r="AJ7" s="26">
        <f t="shared" si="3"/>
        <v>4530.5149714285726</v>
      </c>
      <c r="AK7" s="26">
        <f t="shared" si="3"/>
        <v>146586.80319999994</v>
      </c>
      <c r="AL7" s="26">
        <f t="shared" si="3"/>
        <v>16911.928228571436</v>
      </c>
      <c r="AM7" s="26">
        <f t="shared" si="3"/>
        <v>76796.637542857148</v>
      </c>
      <c r="AN7" s="26">
        <f t="shared" si="3"/>
        <v>10435.171428571428</v>
      </c>
      <c r="AO7" s="26">
        <f t="shared" si="3"/>
        <v>8254.289371428571</v>
      </c>
      <c r="AP7" s="26">
        <f t="shared" si="3"/>
        <v>16373.478314285718</v>
      </c>
      <c r="AQ7" s="26">
        <f t="shared" si="3"/>
        <v>60915.651371428583</v>
      </c>
      <c r="AR7" s="26">
        <f t="shared" si="3"/>
        <v>18898.794285714277</v>
      </c>
      <c r="AS7" s="26">
        <f t="shared" si="3"/>
        <v>2570.0630285714292</v>
      </c>
      <c r="AT7" s="26">
        <f t="shared" si="3"/>
        <v>23565.430514285719</v>
      </c>
      <c r="AU7" s="26">
        <f t="shared" si="3"/>
        <v>31699.012342857139</v>
      </c>
      <c r="AV7" s="26">
        <f t="shared" si="3"/>
        <v>80894.233548571428</v>
      </c>
      <c r="AW7" s="26">
        <f t="shared" si="3"/>
        <v>1796300.5808571414</v>
      </c>
      <c r="AX7" s="26">
        <f t="shared" si="3"/>
        <v>7261.744685714285</v>
      </c>
      <c r="AY7" s="31">
        <f>AX7/AW7</f>
        <v>4.042611110357263E-3</v>
      </c>
      <c r="AZ7" s="26">
        <f t="shared" ref="AZ7:CE7" si="4">AVERAGE(AZ9:AZ183)</f>
        <v>301.226</v>
      </c>
      <c r="BA7" s="31">
        <f t="shared" si="4"/>
        <v>7.3707312475586706E-2</v>
      </c>
      <c r="BB7" s="26">
        <f t="shared" si="4"/>
        <v>983489.11771428573</v>
      </c>
      <c r="BC7" s="26">
        <f t="shared" si="4"/>
        <v>2069766.8241714293</v>
      </c>
      <c r="BD7" s="26">
        <f t="shared" si="4"/>
        <v>212671.71474285712</v>
      </c>
      <c r="BE7" s="26">
        <f t="shared" si="4"/>
        <v>0.10754285714971583</v>
      </c>
      <c r="BF7" s="26">
        <f t="shared" si="4"/>
        <v>360101.73685714282</v>
      </c>
      <c r="BG7" s="26">
        <f t="shared" si="4"/>
        <v>2906.2952571428718</v>
      </c>
      <c r="BH7" s="26">
        <f t="shared" si="4"/>
        <v>159.34742857143948</v>
      </c>
      <c r="BI7" s="26">
        <f t="shared" si="4"/>
        <v>9.2571428569499428E-3</v>
      </c>
      <c r="BJ7" s="26">
        <f t="shared" si="4"/>
        <v>159.35668571429642</v>
      </c>
      <c r="BK7" s="26">
        <f t="shared" si="4"/>
        <v>0</v>
      </c>
      <c r="BL7" s="28">
        <f t="shared" si="4"/>
        <v>3973.08</v>
      </c>
      <c r="BM7" s="28">
        <f t="shared" si="4"/>
        <v>1472.04</v>
      </c>
      <c r="BN7" s="28">
        <f t="shared" si="4"/>
        <v>29.28</v>
      </c>
      <c r="BO7" s="28">
        <f t="shared" si="4"/>
        <v>-12.765714285714285</v>
      </c>
      <c r="BP7" s="28">
        <f t="shared" si="4"/>
        <v>-38.057142857142857</v>
      </c>
      <c r="BQ7" s="28">
        <f t="shared" si="4"/>
        <v>-81.137142857142862</v>
      </c>
      <c r="BR7" s="28">
        <f t="shared" si="4"/>
        <v>-438.06285714285713</v>
      </c>
      <c r="BS7" s="28">
        <f t="shared" si="4"/>
        <v>-443.92571428571426</v>
      </c>
      <c r="BT7" s="28">
        <f t="shared" si="4"/>
        <v>9.862857142857143</v>
      </c>
      <c r="BU7" s="28">
        <f t="shared" si="4"/>
        <v>-3.2914285714285714</v>
      </c>
      <c r="BV7" s="28">
        <f t="shared" si="4"/>
        <v>19.697142857142858</v>
      </c>
      <c r="BW7" s="28">
        <f t="shared" si="4"/>
        <v>-691.0971428571429</v>
      </c>
      <c r="BX7" s="28">
        <f t="shared" si="4"/>
        <v>-2.577142857142857</v>
      </c>
      <c r="BY7" s="28">
        <f t="shared" si="4"/>
        <v>3793.0571428571429</v>
      </c>
      <c r="BZ7" s="28">
        <f t="shared" si="4"/>
        <v>15.885714285714286</v>
      </c>
      <c r="CA7" s="28">
        <f t="shared" si="4"/>
        <v>189.65714285714284</v>
      </c>
      <c r="CB7" s="28">
        <f t="shared" si="4"/>
        <v>67.165714285714287</v>
      </c>
      <c r="CC7" s="28">
        <f t="shared" si="4"/>
        <v>351.7657142857143</v>
      </c>
      <c r="CD7" s="28">
        <f t="shared" si="4"/>
        <v>65.72571428571429</v>
      </c>
      <c r="CE7" s="28">
        <f t="shared" si="4"/>
        <v>10.874285714285714</v>
      </c>
    </row>
    <row r="8" spans="1:83" x14ac:dyDescent="0.25">
      <c r="A8" s="49"/>
      <c r="B8" s="49">
        <f>COUNTA(B9:B183)</f>
        <v>175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</row>
    <row r="9" spans="1:83" ht="15.75" x14ac:dyDescent="0.25">
      <c r="A9" s="32">
        <v>1</v>
      </c>
      <c r="B9" s="33" t="s">
        <v>83</v>
      </c>
      <c r="C9" s="63" t="s">
        <v>84</v>
      </c>
      <c r="D9" s="34" t="s">
        <v>85</v>
      </c>
      <c r="E9" s="35" t="s">
        <v>86</v>
      </c>
      <c r="F9" s="34" t="s">
        <v>87</v>
      </c>
      <c r="G9" s="88">
        <v>24338380.09</v>
      </c>
      <c r="H9" s="88">
        <v>0</v>
      </c>
      <c r="I9" s="88">
        <v>30000</v>
      </c>
      <c r="J9" s="88">
        <v>0</v>
      </c>
      <c r="K9" s="89">
        <v>0</v>
      </c>
      <c r="L9" s="89">
        <v>24368380.09</v>
      </c>
      <c r="M9" s="89">
        <v>0</v>
      </c>
      <c r="N9" s="88">
        <v>0</v>
      </c>
      <c r="O9" s="88">
        <v>7597964.7699999996</v>
      </c>
      <c r="P9" s="90">
        <v>1595843.46</v>
      </c>
      <c r="Q9" s="88">
        <v>0</v>
      </c>
      <c r="R9" s="88">
        <v>2549320.1800000002</v>
      </c>
      <c r="S9" s="88">
        <v>6590771.1600000001</v>
      </c>
      <c r="T9" s="88">
        <v>1663783.31</v>
      </c>
      <c r="U9" s="88">
        <v>0</v>
      </c>
      <c r="V9" s="88">
        <v>30959.599999999999</v>
      </c>
      <c r="W9" s="88">
        <v>2185867.87</v>
      </c>
      <c r="X9" s="89">
        <v>2129407.52</v>
      </c>
      <c r="Y9" s="89">
        <v>24343917.870000001</v>
      </c>
      <c r="Z9" s="81">
        <v>0.17883403266383946</v>
      </c>
      <c r="AA9" s="89">
        <v>2041515.05</v>
      </c>
      <c r="AB9" s="89">
        <v>0</v>
      </c>
      <c r="AC9" s="89">
        <v>0</v>
      </c>
      <c r="AD9" s="89">
        <v>0</v>
      </c>
      <c r="AE9" s="89">
        <v>0</v>
      </c>
      <c r="AF9" s="89">
        <f t="shared" ref="AF9:AF19" si="5">SUM(AD9:AE9)</f>
        <v>0</v>
      </c>
      <c r="AG9" s="89">
        <v>864076.82</v>
      </c>
      <c r="AH9" s="88">
        <v>67918.27</v>
      </c>
      <c r="AI9" s="88">
        <v>163999.6</v>
      </c>
      <c r="AJ9" s="89">
        <v>0</v>
      </c>
      <c r="AK9" s="88">
        <v>146044.89000000001</v>
      </c>
      <c r="AL9" s="88">
        <v>34888.879999999997</v>
      </c>
      <c r="AM9" s="88">
        <v>199737.58</v>
      </c>
      <c r="AN9" s="88">
        <v>9125</v>
      </c>
      <c r="AO9" s="88">
        <v>5165</v>
      </c>
      <c r="AP9" s="88">
        <v>0</v>
      </c>
      <c r="AQ9" s="88">
        <v>68893.87</v>
      </c>
      <c r="AR9" s="88">
        <v>19663.419999999998</v>
      </c>
      <c r="AS9" s="88">
        <v>0</v>
      </c>
      <c r="AT9" s="88">
        <v>13272.15</v>
      </c>
      <c r="AU9" s="88">
        <v>2565.2399999999998</v>
      </c>
      <c r="AV9" s="88">
        <v>43552.03</v>
      </c>
      <c r="AW9" s="88">
        <v>1638902.75</v>
      </c>
      <c r="AX9" s="88">
        <v>0</v>
      </c>
      <c r="AY9" s="81">
        <f t="shared" ref="AY9:AY19" si="6">AX9/AW9</f>
        <v>0</v>
      </c>
      <c r="AZ9" s="89">
        <v>0</v>
      </c>
      <c r="BA9" s="81">
        <v>8.3880481874749127E-2</v>
      </c>
      <c r="BB9" s="79">
        <v>3942388.78</v>
      </c>
      <c r="BC9" s="79">
        <v>410141.88</v>
      </c>
      <c r="BD9" s="80">
        <v>219587</v>
      </c>
      <c r="BE9" s="80">
        <v>0</v>
      </c>
      <c r="BF9" s="80">
        <v>353751.25000000099</v>
      </c>
      <c r="BG9" s="80">
        <v>0</v>
      </c>
      <c r="BH9" s="80">
        <v>0</v>
      </c>
      <c r="BI9" s="80">
        <v>0</v>
      </c>
      <c r="BJ9" s="80">
        <f t="shared" ref="BJ9:BJ19" si="7">SUM(BH9:BI9)</f>
        <v>0</v>
      </c>
      <c r="BK9" s="80">
        <v>0</v>
      </c>
      <c r="BL9" s="80">
        <v>3710</v>
      </c>
      <c r="BM9" s="80">
        <v>2108</v>
      </c>
      <c r="BN9" s="79">
        <v>285</v>
      </c>
      <c r="BO9" s="79">
        <v>0</v>
      </c>
      <c r="BP9" s="79">
        <v>-108</v>
      </c>
      <c r="BQ9" s="79">
        <v>-44</v>
      </c>
      <c r="BR9" s="79">
        <v>-1131</v>
      </c>
      <c r="BS9" s="79">
        <v>-300</v>
      </c>
      <c r="BT9" s="79">
        <v>1</v>
      </c>
      <c r="BU9" s="79">
        <v>-1</v>
      </c>
      <c r="BV9" s="79">
        <v>-4</v>
      </c>
      <c r="BW9" s="79">
        <v>-922</v>
      </c>
      <c r="BX9" s="79">
        <v>-1</v>
      </c>
      <c r="BY9" s="79">
        <v>3593</v>
      </c>
      <c r="BZ9" s="79">
        <v>1</v>
      </c>
      <c r="CA9" s="79">
        <v>150</v>
      </c>
      <c r="CB9" s="79">
        <v>65</v>
      </c>
      <c r="CC9" s="79">
        <v>656</v>
      </c>
      <c r="CD9" s="79">
        <v>16</v>
      </c>
      <c r="CE9" s="79">
        <v>1</v>
      </c>
    </row>
    <row r="10" spans="1:83" s="58" customFormat="1" ht="15.75" x14ac:dyDescent="0.25">
      <c r="A10" s="51">
        <v>1</v>
      </c>
      <c r="B10" s="52" t="s">
        <v>88</v>
      </c>
      <c r="C10" s="77" t="s">
        <v>89</v>
      </c>
      <c r="D10" s="53" t="s">
        <v>90</v>
      </c>
      <c r="E10" s="54" t="s">
        <v>86</v>
      </c>
      <c r="F10" s="53" t="s">
        <v>91</v>
      </c>
      <c r="G10" s="88">
        <v>6956860.6600000001</v>
      </c>
      <c r="H10" s="88">
        <v>0</v>
      </c>
      <c r="I10" s="88">
        <v>0</v>
      </c>
      <c r="J10" s="88">
        <v>0</v>
      </c>
      <c r="K10" s="89">
        <v>0</v>
      </c>
      <c r="L10" s="89">
        <v>6956860.6600000001</v>
      </c>
      <c r="M10" s="89">
        <v>0</v>
      </c>
      <c r="N10" s="88">
        <v>685602.03</v>
      </c>
      <c r="O10" s="88">
        <v>1315665.79</v>
      </c>
      <c r="P10" s="90">
        <v>373574.96</v>
      </c>
      <c r="Q10" s="88">
        <v>32270.7</v>
      </c>
      <c r="R10" s="88">
        <v>517579.51</v>
      </c>
      <c r="S10" s="88">
        <v>2733926.49</v>
      </c>
      <c r="T10" s="88">
        <v>617957.43999999994</v>
      </c>
      <c r="U10" s="88">
        <v>0</v>
      </c>
      <c r="V10" s="88">
        <v>0</v>
      </c>
      <c r="W10" s="88">
        <v>373458.02</v>
      </c>
      <c r="X10" s="89">
        <v>520804.87</v>
      </c>
      <c r="Y10" s="89">
        <v>7170839.8099999996</v>
      </c>
      <c r="Z10" s="81">
        <v>0.10164170084154021</v>
      </c>
      <c r="AA10" s="89">
        <v>518304.87</v>
      </c>
      <c r="AB10" s="89">
        <v>0</v>
      </c>
      <c r="AC10" s="89">
        <v>0</v>
      </c>
      <c r="AD10" s="89">
        <v>0</v>
      </c>
      <c r="AE10" s="89">
        <v>0</v>
      </c>
      <c r="AF10" s="89">
        <f t="shared" si="5"/>
        <v>0</v>
      </c>
      <c r="AG10" s="89">
        <v>192932.08</v>
      </c>
      <c r="AH10" s="88">
        <v>16074.94</v>
      </c>
      <c r="AI10" s="88">
        <v>32192.31</v>
      </c>
      <c r="AJ10" s="89">
        <v>0</v>
      </c>
      <c r="AK10" s="88">
        <v>10600</v>
      </c>
      <c r="AL10" s="88">
        <v>3594.56</v>
      </c>
      <c r="AM10" s="88">
        <v>10115.99</v>
      </c>
      <c r="AN10" s="88">
        <v>8670</v>
      </c>
      <c r="AO10" s="88">
        <v>1500</v>
      </c>
      <c r="AP10" s="88">
        <v>0</v>
      </c>
      <c r="AQ10" s="88">
        <v>10908.59</v>
      </c>
      <c r="AR10" s="88">
        <v>0</v>
      </c>
      <c r="AS10" s="88">
        <v>0</v>
      </c>
      <c r="AT10" s="88">
        <v>1743.91</v>
      </c>
      <c r="AU10" s="88">
        <v>4404.59</v>
      </c>
      <c r="AV10" s="88">
        <v>21371.26</v>
      </c>
      <c r="AW10" s="88">
        <v>314108.23</v>
      </c>
      <c r="AX10" s="88">
        <v>0</v>
      </c>
      <c r="AY10" s="81">
        <f t="shared" si="6"/>
        <v>0</v>
      </c>
      <c r="AZ10" s="89">
        <v>0</v>
      </c>
      <c r="BA10" s="81">
        <v>7.4502695300497801E-2</v>
      </c>
      <c r="BB10" s="79">
        <v>234827.4</v>
      </c>
      <c r="BC10" s="79">
        <v>472279.75</v>
      </c>
      <c r="BD10" s="80">
        <v>219587</v>
      </c>
      <c r="BE10" s="80">
        <v>0</v>
      </c>
      <c r="BF10" s="80">
        <v>54292.590000000098</v>
      </c>
      <c r="BG10" s="80">
        <v>0</v>
      </c>
      <c r="BH10" s="80">
        <v>0</v>
      </c>
      <c r="BI10" s="80">
        <v>0</v>
      </c>
      <c r="BJ10" s="80">
        <f t="shared" si="7"/>
        <v>0</v>
      </c>
      <c r="BK10" s="80">
        <v>0</v>
      </c>
      <c r="BL10" s="80">
        <v>976</v>
      </c>
      <c r="BM10" s="80">
        <v>558</v>
      </c>
      <c r="BN10" s="79">
        <v>31</v>
      </c>
      <c r="BO10" s="79">
        <v>0</v>
      </c>
      <c r="BP10" s="79">
        <v>-53</v>
      </c>
      <c r="BQ10" s="79">
        <v>-14</v>
      </c>
      <c r="BR10" s="79">
        <v>-286</v>
      </c>
      <c r="BS10" s="79">
        <v>-66</v>
      </c>
      <c r="BT10" s="79">
        <v>0</v>
      </c>
      <c r="BU10" s="79">
        <v>0</v>
      </c>
      <c r="BV10" s="79">
        <v>9</v>
      </c>
      <c r="BW10" s="79">
        <v>-202</v>
      </c>
      <c r="BX10" s="79">
        <v>-1</v>
      </c>
      <c r="BY10" s="79">
        <v>952</v>
      </c>
      <c r="BZ10" s="79">
        <v>0</v>
      </c>
      <c r="CA10" s="79">
        <v>62</v>
      </c>
      <c r="CB10" s="79">
        <v>26</v>
      </c>
      <c r="CC10" s="79">
        <v>72</v>
      </c>
      <c r="CD10" s="79">
        <v>1</v>
      </c>
      <c r="CE10" s="79">
        <v>5</v>
      </c>
    </row>
    <row r="11" spans="1:83" s="58" customFormat="1" ht="15.75" x14ac:dyDescent="0.25">
      <c r="A11" s="38">
        <v>1</v>
      </c>
      <c r="B11" s="39" t="s">
        <v>577</v>
      </c>
      <c r="C11" s="77" t="s">
        <v>578</v>
      </c>
      <c r="D11" s="53" t="s">
        <v>92</v>
      </c>
      <c r="E11" s="54" t="s">
        <v>86</v>
      </c>
      <c r="F11" s="53" t="s">
        <v>93</v>
      </c>
      <c r="G11" s="88">
        <v>8597870.7300000004</v>
      </c>
      <c r="H11" s="88">
        <v>0</v>
      </c>
      <c r="I11" s="88">
        <v>25710.379999999899</v>
      </c>
      <c r="J11" s="88">
        <v>0</v>
      </c>
      <c r="K11" s="89">
        <v>10170.86</v>
      </c>
      <c r="L11" s="89">
        <v>8633751.9700000007</v>
      </c>
      <c r="M11" s="89">
        <v>0</v>
      </c>
      <c r="N11" s="88">
        <v>89733.81</v>
      </c>
      <c r="O11" s="88">
        <v>714022.26</v>
      </c>
      <c r="P11" s="90">
        <v>2830065.81</v>
      </c>
      <c r="Q11" s="88">
        <v>49672.11</v>
      </c>
      <c r="R11" s="88">
        <v>737878.77</v>
      </c>
      <c r="S11" s="88">
        <v>1931350.5</v>
      </c>
      <c r="T11" s="88">
        <v>1259553.07</v>
      </c>
      <c r="U11" s="88">
        <v>0</v>
      </c>
      <c r="V11" s="88">
        <v>0</v>
      </c>
      <c r="W11" s="88">
        <v>238345.2</v>
      </c>
      <c r="X11" s="89">
        <v>690940.61</v>
      </c>
      <c r="Y11" s="89">
        <v>8541562.1400000006</v>
      </c>
      <c r="Z11" s="81">
        <v>0.19658728923457541</v>
      </c>
      <c r="AA11" s="89">
        <v>617531.03</v>
      </c>
      <c r="AB11" s="89">
        <v>0</v>
      </c>
      <c r="AC11" s="89">
        <v>0</v>
      </c>
      <c r="AD11" s="89">
        <v>10170.86</v>
      </c>
      <c r="AE11" s="89">
        <v>281.87</v>
      </c>
      <c r="AF11" s="89">
        <f t="shared" si="5"/>
        <v>10452.730000000001</v>
      </c>
      <c r="AG11" s="89">
        <v>205570.08</v>
      </c>
      <c r="AH11" s="88">
        <v>16320.22</v>
      </c>
      <c r="AI11" s="88">
        <v>30002.86</v>
      </c>
      <c r="AJ11" s="89">
        <v>0</v>
      </c>
      <c r="AK11" s="88">
        <v>45840.87</v>
      </c>
      <c r="AL11" s="88">
        <v>19527.150000000001</v>
      </c>
      <c r="AM11" s="88">
        <v>32981.31</v>
      </c>
      <c r="AN11" s="88">
        <v>8670</v>
      </c>
      <c r="AO11" s="88">
        <v>1500</v>
      </c>
      <c r="AP11" s="88">
        <v>0</v>
      </c>
      <c r="AQ11" s="88">
        <v>15311.470000000001</v>
      </c>
      <c r="AR11" s="88">
        <v>10791.92</v>
      </c>
      <c r="AS11" s="88">
        <v>0</v>
      </c>
      <c r="AT11" s="88">
        <v>0</v>
      </c>
      <c r="AU11" s="88">
        <v>0</v>
      </c>
      <c r="AV11" s="88">
        <v>37088.75</v>
      </c>
      <c r="AW11" s="88">
        <v>423604.63</v>
      </c>
      <c r="AX11" s="88">
        <v>0</v>
      </c>
      <c r="AY11" s="81">
        <f t="shared" si="6"/>
        <v>0</v>
      </c>
      <c r="AZ11" s="89">
        <v>0</v>
      </c>
      <c r="BA11" s="81">
        <v>7.182371652149741E-2</v>
      </c>
      <c r="BB11" s="79">
        <v>420031</v>
      </c>
      <c r="BC11" s="79">
        <v>1270201.1000000001</v>
      </c>
      <c r="BD11" s="80">
        <v>216829</v>
      </c>
      <c r="BE11" s="80">
        <v>0</v>
      </c>
      <c r="BF11" s="80">
        <v>92337.419999999896</v>
      </c>
      <c r="BG11" s="80">
        <v>0</v>
      </c>
      <c r="BH11" s="80">
        <v>0</v>
      </c>
      <c r="BI11" s="80">
        <v>0</v>
      </c>
      <c r="BJ11" s="80">
        <f t="shared" si="7"/>
        <v>0</v>
      </c>
      <c r="BK11" s="80">
        <v>0</v>
      </c>
      <c r="BL11" s="80">
        <v>964</v>
      </c>
      <c r="BM11" s="80">
        <v>208</v>
      </c>
      <c r="BN11" s="79">
        <v>0</v>
      </c>
      <c r="BO11" s="79">
        <v>0</v>
      </c>
      <c r="BP11" s="79">
        <v>-17</v>
      </c>
      <c r="BQ11" s="79">
        <v>-22</v>
      </c>
      <c r="BR11" s="79">
        <v>-50</v>
      </c>
      <c r="BS11" s="79">
        <v>-40</v>
      </c>
      <c r="BT11" s="79">
        <v>6</v>
      </c>
      <c r="BU11" s="79">
        <v>0</v>
      </c>
      <c r="BV11" s="79">
        <v>-1</v>
      </c>
      <c r="BW11" s="79">
        <v>-207</v>
      </c>
      <c r="BX11" s="79">
        <v>0</v>
      </c>
      <c r="BY11" s="79">
        <v>841</v>
      </c>
      <c r="BZ11" s="79">
        <v>3</v>
      </c>
      <c r="CA11" s="79">
        <v>39</v>
      </c>
      <c r="CB11" s="79">
        <v>17</v>
      </c>
      <c r="CC11" s="79">
        <v>135</v>
      </c>
      <c r="CD11" s="79">
        <v>14</v>
      </c>
      <c r="CE11" s="79">
        <v>2</v>
      </c>
    </row>
    <row r="12" spans="1:83" s="58" customFormat="1" ht="15.75" x14ac:dyDescent="0.25">
      <c r="A12" s="51">
        <v>1</v>
      </c>
      <c r="B12" s="52" t="s">
        <v>94</v>
      </c>
      <c r="C12" s="77" t="s">
        <v>95</v>
      </c>
      <c r="D12" s="53" t="s">
        <v>96</v>
      </c>
      <c r="E12" s="54" t="s">
        <v>86</v>
      </c>
      <c r="F12" s="53" t="s">
        <v>87</v>
      </c>
      <c r="G12" s="88">
        <v>13006748.51</v>
      </c>
      <c r="H12" s="88">
        <v>0</v>
      </c>
      <c r="I12" s="88">
        <v>8257.32</v>
      </c>
      <c r="J12" s="88">
        <v>24693.8</v>
      </c>
      <c r="K12" s="89">
        <v>0</v>
      </c>
      <c r="L12" s="89">
        <v>13039699.630000001</v>
      </c>
      <c r="M12" s="89">
        <v>297126.90999999997</v>
      </c>
      <c r="N12" s="88">
        <v>0</v>
      </c>
      <c r="O12" s="88">
        <v>3854077.85</v>
      </c>
      <c r="P12" s="90">
        <v>776273.16</v>
      </c>
      <c r="Q12" s="88">
        <v>0</v>
      </c>
      <c r="R12" s="88">
        <v>973590.76</v>
      </c>
      <c r="S12" s="88">
        <v>3450165.81</v>
      </c>
      <c r="T12" s="88">
        <v>776283.42</v>
      </c>
      <c r="U12" s="88">
        <v>0</v>
      </c>
      <c r="V12" s="88">
        <v>0</v>
      </c>
      <c r="W12" s="88">
        <v>1033026.67</v>
      </c>
      <c r="X12" s="89">
        <v>1226832.3900000001</v>
      </c>
      <c r="Y12" s="89">
        <v>12090250.060000001</v>
      </c>
      <c r="Z12" s="81">
        <v>0.28678716876336374</v>
      </c>
      <c r="AA12" s="89">
        <v>1139116.58</v>
      </c>
      <c r="AB12" s="89">
        <v>0</v>
      </c>
      <c r="AC12" s="89">
        <v>0</v>
      </c>
      <c r="AD12" s="89">
        <v>0</v>
      </c>
      <c r="AE12" s="89">
        <v>0</v>
      </c>
      <c r="AF12" s="89">
        <f t="shared" si="5"/>
        <v>0</v>
      </c>
      <c r="AG12" s="89">
        <v>520537.22</v>
      </c>
      <c r="AH12" s="88">
        <v>43135.01</v>
      </c>
      <c r="AI12" s="88">
        <v>65030.43</v>
      </c>
      <c r="AJ12" s="89">
        <v>0</v>
      </c>
      <c r="AK12" s="88">
        <v>52672.9</v>
      </c>
      <c r="AL12" s="88">
        <v>7181.64</v>
      </c>
      <c r="AM12" s="88">
        <v>91938.65</v>
      </c>
      <c r="AN12" s="88">
        <v>8670</v>
      </c>
      <c r="AO12" s="88">
        <v>3800</v>
      </c>
      <c r="AP12" s="88">
        <v>0</v>
      </c>
      <c r="AQ12" s="88">
        <v>40634.550000000003</v>
      </c>
      <c r="AR12" s="88">
        <v>13947.56</v>
      </c>
      <c r="AS12" s="88">
        <v>0</v>
      </c>
      <c r="AT12" s="88">
        <v>13818.6</v>
      </c>
      <c r="AU12" s="88">
        <v>0</v>
      </c>
      <c r="AV12" s="88">
        <v>38547.269999999997</v>
      </c>
      <c r="AW12" s="88">
        <v>899913.83</v>
      </c>
      <c r="AX12" s="88">
        <v>0</v>
      </c>
      <c r="AY12" s="81">
        <f t="shared" si="6"/>
        <v>0</v>
      </c>
      <c r="AZ12" s="89">
        <v>648</v>
      </c>
      <c r="BA12" s="81">
        <v>8.5622913928338637E-2</v>
      </c>
      <c r="BB12" s="79">
        <v>3196015.69</v>
      </c>
      <c r="BC12" s="79">
        <v>534152.89</v>
      </c>
      <c r="BD12" s="80">
        <v>219587</v>
      </c>
      <c r="BE12" s="80">
        <v>0</v>
      </c>
      <c r="BF12" s="80">
        <v>197718.769</v>
      </c>
      <c r="BG12" s="80">
        <v>0</v>
      </c>
      <c r="BH12" s="80">
        <v>0</v>
      </c>
      <c r="BI12" s="80">
        <v>0</v>
      </c>
      <c r="BJ12" s="80">
        <f t="shared" si="7"/>
        <v>0</v>
      </c>
      <c r="BK12" s="80">
        <v>0</v>
      </c>
      <c r="BL12" s="80">
        <v>1715</v>
      </c>
      <c r="BM12" s="80">
        <v>1129</v>
      </c>
      <c r="BN12" s="79">
        <v>121</v>
      </c>
      <c r="BO12" s="79">
        <v>0</v>
      </c>
      <c r="BP12" s="79">
        <v>-74</v>
      </c>
      <c r="BQ12" s="79">
        <v>-45</v>
      </c>
      <c r="BR12" s="79">
        <v>-545</v>
      </c>
      <c r="BS12" s="79">
        <v>-97</v>
      </c>
      <c r="BT12" s="79">
        <v>0</v>
      </c>
      <c r="BU12" s="79">
        <v>0</v>
      </c>
      <c r="BV12" s="79">
        <v>-89</v>
      </c>
      <c r="BW12" s="79">
        <v>-337</v>
      </c>
      <c r="BX12" s="79">
        <v>-2</v>
      </c>
      <c r="BY12" s="79">
        <v>1776</v>
      </c>
      <c r="BZ12" s="79">
        <v>4</v>
      </c>
      <c r="CA12" s="79">
        <v>74</v>
      </c>
      <c r="CB12" s="79">
        <v>40</v>
      </c>
      <c r="CC12" s="79">
        <v>222</v>
      </c>
      <c r="CD12" s="79">
        <v>0</v>
      </c>
      <c r="CE12" s="79">
        <v>1</v>
      </c>
    </row>
    <row r="13" spans="1:83" s="58" customFormat="1" ht="15.6" customHeight="1" x14ac:dyDescent="0.25">
      <c r="A13" s="51">
        <v>1</v>
      </c>
      <c r="B13" s="52" t="s">
        <v>97</v>
      </c>
      <c r="C13" s="77" t="s">
        <v>98</v>
      </c>
      <c r="D13" s="50" t="s">
        <v>99</v>
      </c>
      <c r="E13" s="41" t="s">
        <v>86</v>
      </c>
      <c r="F13" s="50" t="s">
        <v>100</v>
      </c>
      <c r="G13" s="89">
        <v>7552075</v>
      </c>
      <c r="H13" s="89">
        <v>79162</v>
      </c>
      <c r="I13" s="89">
        <v>0</v>
      </c>
      <c r="J13" s="89">
        <v>0</v>
      </c>
      <c r="K13" s="89">
        <v>0</v>
      </c>
      <c r="L13" s="89">
        <v>7631236.3700000001</v>
      </c>
      <c r="M13" s="89">
        <v>0</v>
      </c>
      <c r="N13" s="89">
        <v>0</v>
      </c>
      <c r="O13" s="89">
        <v>2076103.85</v>
      </c>
      <c r="P13" s="89">
        <v>626485.04</v>
      </c>
      <c r="Q13" s="89">
        <v>0</v>
      </c>
      <c r="R13" s="89">
        <v>663013.96</v>
      </c>
      <c r="S13" s="89">
        <v>2559907.2999999998</v>
      </c>
      <c r="T13" s="89">
        <v>565570.07999999996</v>
      </c>
      <c r="U13" s="89">
        <v>0</v>
      </c>
      <c r="V13" s="89">
        <v>0</v>
      </c>
      <c r="W13" s="89">
        <v>289783.90000000002</v>
      </c>
      <c r="X13" s="89">
        <v>694033.53</v>
      </c>
      <c r="Y13" s="89">
        <v>7474897.6600000001</v>
      </c>
      <c r="Z13" s="81">
        <v>0.1647181516931574</v>
      </c>
      <c r="AA13" s="89">
        <v>691226.15</v>
      </c>
      <c r="AB13" s="89">
        <v>0</v>
      </c>
      <c r="AC13" s="89">
        <v>0</v>
      </c>
      <c r="AD13" s="89">
        <v>0</v>
      </c>
      <c r="AE13" s="89">
        <v>136.47999999999999</v>
      </c>
      <c r="AF13" s="89">
        <f t="shared" si="5"/>
        <v>136.47999999999999</v>
      </c>
      <c r="AG13" s="89">
        <v>237838.45</v>
      </c>
      <c r="AH13" s="89">
        <v>19240.14</v>
      </c>
      <c r="AI13" s="89">
        <v>68788.429999999993</v>
      </c>
      <c r="AJ13" s="89">
        <v>0</v>
      </c>
      <c r="AK13" s="89">
        <v>43089.09</v>
      </c>
      <c r="AL13" s="89">
        <v>3886.81</v>
      </c>
      <c r="AM13" s="89">
        <v>28394.52</v>
      </c>
      <c r="AN13" s="89">
        <v>8670</v>
      </c>
      <c r="AO13" s="89">
        <v>425</v>
      </c>
      <c r="AP13" s="89">
        <v>0</v>
      </c>
      <c r="AQ13" s="89">
        <v>29618.260000000002</v>
      </c>
      <c r="AR13" s="89">
        <v>399</v>
      </c>
      <c r="AS13" s="89">
        <v>0</v>
      </c>
      <c r="AT13" s="89">
        <v>7122.24</v>
      </c>
      <c r="AU13" s="89">
        <v>10016.57</v>
      </c>
      <c r="AV13" s="89">
        <v>18152.940000000002</v>
      </c>
      <c r="AW13" s="89">
        <v>475641.45</v>
      </c>
      <c r="AX13" s="89">
        <v>0</v>
      </c>
      <c r="AY13" s="81">
        <f t="shared" si="6"/>
        <v>0</v>
      </c>
      <c r="AZ13" s="89">
        <v>0</v>
      </c>
      <c r="BA13" s="81">
        <v>9.1999999999999998E-2</v>
      </c>
      <c r="BB13" s="80">
        <v>214335.77</v>
      </c>
      <c r="BC13" s="80">
        <v>1042667.38</v>
      </c>
      <c r="BD13" s="80">
        <v>219587</v>
      </c>
      <c r="BE13" s="80">
        <v>0</v>
      </c>
      <c r="BF13" s="80">
        <v>100588.8</v>
      </c>
      <c r="BG13" s="80">
        <v>0</v>
      </c>
      <c r="BH13" s="80">
        <v>0</v>
      </c>
      <c r="BI13" s="80">
        <v>0</v>
      </c>
      <c r="BJ13" s="80">
        <f t="shared" si="7"/>
        <v>0</v>
      </c>
      <c r="BK13" s="80">
        <v>0</v>
      </c>
      <c r="BL13" s="80">
        <v>1101</v>
      </c>
      <c r="BM13" s="80">
        <v>485</v>
      </c>
      <c r="BN13" s="80">
        <v>0</v>
      </c>
      <c r="BO13" s="80">
        <v>0</v>
      </c>
      <c r="BP13" s="80">
        <v>-25</v>
      </c>
      <c r="BQ13" s="80">
        <v>-42</v>
      </c>
      <c r="BR13" s="80">
        <v>-106</v>
      </c>
      <c r="BS13" s="80">
        <v>-121</v>
      </c>
      <c r="BT13" s="80">
        <v>0</v>
      </c>
      <c r="BU13" s="80">
        <v>0</v>
      </c>
      <c r="BV13" s="80">
        <v>0</v>
      </c>
      <c r="BW13" s="80">
        <v>-271</v>
      </c>
      <c r="BX13" s="80">
        <v>0</v>
      </c>
      <c r="BY13" s="80">
        <v>1021</v>
      </c>
      <c r="BZ13" s="80">
        <v>3</v>
      </c>
      <c r="CA13" s="80">
        <v>67</v>
      </c>
      <c r="CB13" s="80">
        <v>23</v>
      </c>
      <c r="CC13" s="80">
        <v>181</v>
      </c>
      <c r="CD13" s="80">
        <v>0</v>
      </c>
      <c r="CE13" s="80">
        <v>0</v>
      </c>
    </row>
    <row r="14" spans="1:83" s="83" customFormat="1" ht="15.6" customHeight="1" x14ac:dyDescent="0.25">
      <c r="A14" s="32">
        <v>2</v>
      </c>
      <c r="B14" s="33" t="s">
        <v>101</v>
      </c>
      <c r="C14" s="75" t="s">
        <v>102</v>
      </c>
      <c r="D14" s="34" t="s">
        <v>103</v>
      </c>
      <c r="E14" s="34" t="s">
        <v>104</v>
      </c>
      <c r="F14" s="34" t="s">
        <v>105</v>
      </c>
      <c r="G14" s="90">
        <v>13446460.640000001</v>
      </c>
      <c r="H14" s="90">
        <v>0</v>
      </c>
      <c r="I14" s="90">
        <v>515887.88</v>
      </c>
      <c r="J14" s="90">
        <v>0</v>
      </c>
      <c r="K14" s="90">
        <v>0</v>
      </c>
      <c r="L14" s="90">
        <v>13962348.52</v>
      </c>
      <c r="M14" s="90">
        <v>0</v>
      </c>
      <c r="N14" s="90">
        <v>277075.74</v>
      </c>
      <c r="O14" s="90">
        <v>1582354.31</v>
      </c>
      <c r="P14" s="90">
        <v>3433649.34</v>
      </c>
      <c r="Q14" s="90">
        <v>0</v>
      </c>
      <c r="R14" s="90">
        <v>1076503.2</v>
      </c>
      <c r="S14" s="90">
        <v>3395538.27</v>
      </c>
      <c r="T14" s="90">
        <v>2060872.72</v>
      </c>
      <c r="U14" s="90">
        <v>0</v>
      </c>
      <c r="V14" s="90">
        <v>0</v>
      </c>
      <c r="W14" s="90">
        <v>798269.43999999994</v>
      </c>
      <c r="X14" s="90">
        <v>1193659.0999999999</v>
      </c>
      <c r="Y14" s="90">
        <v>13817922.119999999</v>
      </c>
      <c r="Z14" s="93">
        <v>0.35918908918176107</v>
      </c>
      <c r="AA14" s="90">
        <v>1194215.8999999999</v>
      </c>
      <c r="AB14" s="90">
        <v>0</v>
      </c>
      <c r="AC14" s="90">
        <v>0</v>
      </c>
      <c r="AD14" s="90">
        <v>0</v>
      </c>
      <c r="AE14" s="90">
        <v>168.93</v>
      </c>
      <c r="AF14" s="90">
        <f t="shared" si="5"/>
        <v>168.93</v>
      </c>
      <c r="AG14" s="90">
        <v>490766.19</v>
      </c>
      <c r="AH14" s="90">
        <v>41414.339999999997</v>
      </c>
      <c r="AI14" s="90">
        <v>126573.43</v>
      </c>
      <c r="AJ14" s="90">
        <v>0</v>
      </c>
      <c r="AK14" s="90">
        <v>77194.460000000006</v>
      </c>
      <c r="AL14" s="90">
        <v>35523.550000000003</v>
      </c>
      <c r="AM14" s="90">
        <v>82612.36</v>
      </c>
      <c r="AN14" s="90">
        <v>12075</v>
      </c>
      <c r="AO14" s="90">
        <v>0</v>
      </c>
      <c r="AP14" s="90">
        <v>0</v>
      </c>
      <c r="AQ14" s="90">
        <v>32958.520000000004</v>
      </c>
      <c r="AR14" s="90">
        <v>11680.31</v>
      </c>
      <c r="AS14" s="90">
        <v>0</v>
      </c>
      <c r="AT14" s="90">
        <v>4199.7</v>
      </c>
      <c r="AU14" s="90">
        <v>14634.21</v>
      </c>
      <c r="AV14" s="90">
        <v>60846.119999999995</v>
      </c>
      <c r="AW14" s="90">
        <v>990478.19</v>
      </c>
      <c r="AX14" s="90">
        <v>0</v>
      </c>
      <c r="AY14" s="93">
        <f t="shared" si="6"/>
        <v>0</v>
      </c>
      <c r="AZ14" s="90">
        <v>0</v>
      </c>
      <c r="BA14" s="93">
        <v>8.8812657246583798E-2</v>
      </c>
      <c r="BB14" s="91">
        <v>1676380.03</v>
      </c>
      <c r="BC14" s="91">
        <v>3153441.92</v>
      </c>
      <c r="BD14" s="91">
        <v>219587</v>
      </c>
      <c r="BE14" s="91">
        <v>0</v>
      </c>
      <c r="BF14" s="91">
        <v>223669.22</v>
      </c>
      <c r="BG14" s="91">
        <v>0</v>
      </c>
      <c r="BH14" s="91">
        <v>0</v>
      </c>
      <c r="BI14" s="91">
        <v>0</v>
      </c>
      <c r="BJ14" s="91">
        <f t="shared" si="7"/>
        <v>0</v>
      </c>
      <c r="BK14" s="91">
        <v>0</v>
      </c>
      <c r="BL14" s="91">
        <v>2191</v>
      </c>
      <c r="BM14" s="91">
        <v>636</v>
      </c>
      <c r="BN14" s="91">
        <v>45</v>
      </c>
      <c r="BO14" s="91">
        <v>0</v>
      </c>
      <c r="BP14" s="91">
        <v>-18</v>
      </c>
      <c r="BQ14" s="91">
        <v>-60</v>
      </c>
      <c r="BR14" s="91">
        <v>-122</v>
      </c>
      <c r="BS14" s="91">
        <v>-230</v>
      </c>
      <c r="BT14" s="91">
        <v>0</v>
      </c>
      <c r="BU14" s="91">
        <v>0</v>
      </c>
      <c r="BV14" s="91">
        <v>0</v>
      </c>
      <c r="BW14" s="91">
        <v>-395</v>
      </c>
      <c r="BX14" s="91">
        <v>0</v>
      </c>
      <c r="BY14" s="91">
        <v>2047</v>
      </c>
      <c r="BZ14" s="91">
        <v>84</v>
      </c>
      <c r="CA14" s="91">
        <v>105</v>
      </c>
      <c r="CB14" s="91">
        <v>32</v>
      </c>
      <c r="CC14" s="91">
        <v>206</v>
      </c>
      <c r="CD14" s="91">
        <v>27</v>
      </c>
      <c r="CE14" s="91">
        <v>20</v>
      </c>
    </row>
    <row r="15" spans="1:83" s="58" customFormat="1" ht="15.6" customHeight="1" x14ac:dyDescent="0.25">
      <c r="A15" s="51">
        <v>2</v>
      </c>
      <c r="B15" s="52" t="s">
        <v>106</v>
      </c>
      <c r="C15" s="77" t="s">
        <v>107</v>
      </c>
      <c r="D15" s="50" t="s">
        <v>108</v>
      </c>
      <c r="E15" s="50" t="s">
        <v>109</v>
      </c>
      <c r="F15" s="50" t="s">
        <v>105</v>
      </c>
      <c r="G15" s="88">
        <v>21779263.68</v>
      </c>
      <c r="H15" s="88">
        <v>3026.06</v>
      </c>
      <c r="I15" s="88">
        <v>0</v>
      </c>
      <c r="J15" s="88">
        <v>0</v>
      </c>
      <c r="K15" s="89">
        <v>5391.83</v>
      </c>
      <c r="L15" s="89">
        <v>21787681.57</v>
      </c>
      <c r="M15" s="89">
        <v>0</v>
      </c>
      <c r="N15" s="88">
        <v>0</v>
      </c>
      <c r="O15" s="88">
        <v>4817579.0599999996</v>
      </c>
      <c r="P15" s="90">
        <v>956753.46</v>
      </c>
      <c r="Q15" s="88">
        <v>0</v>
      </c>
      <c r="R15" s="88">
        <v>1250833.6499999999</v>
      </c>
      <c r="S15" s="88">
        <v>5051522.5599999996</v>
      </c>
      <c r="T15" s="88">
        <v>916301.41</v>
      </c>
      <c r="U15" s="88">
        <v>0</v>
      </c>
      <c r="V15" s="88">
        <v>0</v>
      </c>
      <c r="W15" s="88">
        <v>4138153.94</v>
      </c>
      <c r="X15" s="89">
        <v>1260044.4500000002</v>
      </c>
      <c r="Y15" s="89">
        <v>18391188.530000001</v>
      </c>
      <c r="Z15" s="81">
        <v>0.33903226374033163</v>
      </c>
      <c r="AA15" s="89">
        <v>1254652.6200000001</v>
      </c>
      <c r="AB15" s="89">
        <v>0</v>
      </c>
      <c r="AC15" s="89">
        <v>0</v>
      </c>
      <c r="AD15" s="89">
        <v>5391.83</v>
      </c>
      <c r="AE15" s="89">
        <v>316.52999999999997</v>
      </c>
      <c r="AF15" s="89">
        <f t="shared" si="5"/>
        <v>5708.36</v>
      </c>
      <c r="AG15" s="89">
        <v>561001.76</v>
      </c>
      <c r="AH15" s="88">
        <v>44389.42</v>
      </c>
      <c r="AI15" s="88">
        <v>126311.85</v>
      </c>
      <c r="AJ15" s="89">
        <v>0</v>
      </c>
      <c r="AK15" s="88">
        <v>65624.31</v>
      </c>
      <c r="AL15" s="88">
        <v>43352.28</v>
      </c>
      <c r="AM15" s="88">
        <v>101011.92</v>
      </c>
      <c r="AN15" s="88">
        <v>9975</v>
      </c>
      <c r="AO15" s="88">
        <v>8850</v>
      </c>
      <c r="AP15" s="88">
        <v>0</v>
      </c>
      <c r="AQ15" s="88">
        <v>20687.669999999998</v>
      </c>
      <c r="AR15" s="88">
        <v>6971.09</v>
      </c>
      <c r="AS15" s="88">
        <v>0</v>
      </c>
      <c r="AT15" s="88">
        <v>21593.62</v>
      </c>
      <c r="AU15" s="88">
        <v>181.51</v>
      </c>
      <c r="AV15" s="88">
        <v>40406.78</v>
      </c>
      <c r="AW15" s="88">
        <v>1050357.21</v>
      </c>
      <c r="AX15" s="88">
        <v>0</v>
      </c>
      <c r="AY15" s="81">
        <f t="shared" si="6"/>
        <v>0</v>
      </c>
      <c r="AZ15" s="89">
        <v>0</v>
      </c>
      <c r="BA15" s="81">
        <v>5.7607669314925163E-2</v>
      </c>
      <c r="BB15" s="79">
        <v>7303149.7800000003</v>
      </c>
      <c r="BC15" s="79">
        <v>81749.22</v>
      </c>
      <c r="BD15" s="80">
        <v>219587</v>
      </c>
      <c r="BE15" s="80">
        <v>0</v>
      </c>
      <c r="BF15" s="80">
        <v>217153.36799999999</v>
      </c>
      <c r="BG15" s="80">
        <v>0</v>
      </c>
      <c r="BH15" s="80">
        <v>0</v>
      </c>
      <c r="BI15" s="80">
        <v>0</v>
      </c>
      <c r="BJ15" s="80">
        <f t="shared" si="7"/>
        <v>0</v>
      </c>
      <c r="BK15" s="80">
        <v>0</v>
      </c>
      <c r="BL15" s="80">
        <v>2209</v>
      </c>
      <c r="BM15" s="80">
        <v>3166</v>
      </c>
      <c r="BN15" s="79">
        <v>24</v>
      </c>
      <c r="BO15" s="79">
        <v>0</v>
      </c>
      <c r="BP15" s="79">
        <v>-68</v>
      </c>
      <c r="BQ15" s="79">
        <v>-14</v>
      </c>
      <c r="BR15" s="79">
        <v>-2380</v>
      </c>
      <c r="BS15" s="79">
        <v>-113</v>
      </c>
      <c r="BT15" s="79">
        <v>7</v>
      </c>
      <c r="BU15" s="79">
        <v>-9</v>
      </c>
      <c r="BV15" s="79">
        <v>43</v>
      </c>
      <c r="BW15" s="79">
        <v>-243</v>
      </c>
      <c r="BX15" s="79">
        <v>0</v>
      </c>
      <c r="BY15" s="79">
        <v>2622</v>
      </c>
      <c r="BZ15" s="79">
        <v>0</v>
      </c>
      <c r="CA15" s="79">
        <v>81</v>
      </c>
      <c r="CB15" s="79">
        <v>12</v>
      </c>
      <c r="CC15" s="79">
        <v>142</v>
      </c>
      <c r="CD15" s="79">
        <v>0</v>
      </c>
      <c r="CE15" s="79">
        <v>8</v>
      </c>
    </row>
    <row r="16" spans="1:83" s="58" customFormat="1" ht="15.6" customHeight="1" x14ac:dyDescent="0.25">
      <c r="A16" s="51">
        <v>2</v>
      </c>
      <c r="B16" s="52" t="s">
        <v>110</v>
      </c>
      <c r="C16" s="77" t="s">
        <v>111</v>
      </c>
      <c r="D16" s="50" t="s">
        <v>112</v>
      </c>
      <c r="E16" s="50" t="s">
        <v>109</v>
      </c>
      <c r="F16" s="50" t="s">
        <v>105</v>
      </c>
      <c r="G16" s="88">
        <v>19749697.93</v>
      </c>
      <c r="H16" s="88">
        <v>0</v>
      </c>
      <c r="I16" s="88">
        <v>39429.5</v>
      </c>
      <c r="J16" s="88">
        <v>0</v>
      </c>
      <c r="K16" s="89">
        <v>1834.74</v>
      </c>
      <c r="L16" s="89">
        <v>19790962.170000002</v>
      </c>
      <c r="M16" s="89">
        <v>0</v>
      </c>
      <c r="N16" s="88">
        <v>0</v>
      </c>
      <c r="O16" s="88">
        <v>4486962.0599999996</v>
      </c>
      <c r="P16" s="90">
        <v>1250740.8600000001</v>
      </c>
      <c r="Q16" s="88">
        <v>0</v>
      </c>
      <c r="R16" s="88">
        <v>856583.54</v>
      </c>
      <c r="S16" s="88">
        <v>4399323.5</v>
      </c>
      <c r="T16" s="88">
        <v>955785.55</v>
      </c>
      <c r="U16" s="88">
        <v>0</v>
      </c>
      <c r="V16" s="88">
        <v>0</v>
      </c>
      <c r="W16" s="88">
        <v>4103302.42</v>
      </c>
      <c r="X16" s="89">
        <v>1179445.57</v>
      </c>
      <c r="Y16" s="89">
        <v>17232143.5</v>
      </c>
      <c r="Z16" s="81">
        <v>0.28637122147619604</v>
      </c>
      <c r="AA16" s="89">
        <v>1177610.83</v>
      </c>
      <c r="AB16" s="89">
        <v>0</v>
      </c>
      <c r="AC16" s="89">
        <v>0</v>
      </c>
      <c r="AD16" s="89">
        <v>1834.74</v>
      </c>
      <c r="AE16" s="89">
        <v>0</v>
      </c>
      <c r="AF16" s="89">
        <f t="shared" si="5"/>
        <v>1834.74</v>
      </c>
      <c r="AG16" s="89">
        <v>493344.11</v>
      </c>
      <c r="AH16" s="88">
        <v>42033.77</v>
      </c>
      <c r="AI16" s="88">
        <v>80668.820000000007</v>
      </c>
      <c r="AJ16" s="89">
        <v>0</v>
      </c>
      <c r="AK16" s="88">
        <v>79783.03</v>
      </c>
      <c r="AL16" s="88">
        <v>45472.09</v>
      </c>
      <c r="AM16" s="88">
        <v>54335.78</v>
      </c>
      <c r="AN16" s="88">
        <v>9975</v>
      </c>
      <c r="AO16" s="88">
        <v>4780.01</v>
      </c>
      <c r="AP16" s="88">
        <v>0</v>
      </c>
      <c r="AQ16" s="88">
        <v>38260.51</v>
      </c>
      <c r="AR16" s="88">
        <v>12763.47</v>
      </c>
      <c r="AS16" s="88">
        <v>0</v>
      </c>
      <c r="AT16" s="88">
        <v>20001.330000000002</v>
      </c>
      <c r="AU16" s="88">
        <v>0</v>
      </c>
      <c r="AV16" s="88">
        <v>78658.14</v>
      </c>
      <c r="AW16" s="88">
        <v>960076.06</v>
      </c>
      <c r="AX16" s="88">
        <v>0</v>
      </c>
      <c r="AY16" s="81">
        <f t="shared" si="6"/>
        <v>0</v>
      </c>
      <c r="AZ16" s="89">
        <v>0</v>
      </c>
      <c r="BA16" s="81">
        <v>5.9626776782808248E-2</v>
      </c>
      <c r="BB16" s="79">
        <v>4885010.4800000004</v>
      </c>
      <c r="BC16" s="79">
        <v>770734.64</v>
      </c>
      <c r="BD16" s="80">
        <v>219587</v>
      </c>
      <c r="BE16" s="80">
        <v>0</v>
      </c>
      <c r="BF16" s="80">
        <v>228969.08</v>
      </c>
      <c r="BG16" s="80">
        <v>0</v>
      </c>
      <c r="BH16" s="80">
        <v>0</v>
      </c>
      <c r="BI16" s="80">
        <v>0</v>
      </c>
      <c r="BJ16" s="80">
        <f t="shared" si="7"/>
        <v>0</v>
      </c>
      <c r="BK16" s="80">
        <v>0</v>
      </c>
      <c r="BL16" s="80">
        <v>1656</v>
      </c>
      <c r="BM16" s="80">
        <v>3200</v>
      </c>
      <c r="BN16" s="79">
        <v>33</v>
      </c>
      <c r="BO16" s="79">
        <v>-41</v>
      </c>
      <c r="BP16" s="79">
        <v>-70</v>
      </c>
      <c r="BQ16" s="79">
        <v>-16</v>
      </c>
      <c r="BR16" s="79">
        <v>-2467</v>
      </c>
      <c r="BS16" s="79">
        <v>-119</v>
      </c>
      <c r="BT16" s="79">
        <v>14</v>
      </c>
      <c r="BU16" s="79">
        <v>0</v>
      </c>
      <c r="BV16" s="79">
        <v>-281</v>
      </c>
      <c r="BW16" s="79">
        <v>-206</v>
      </c>
      <c r="BX16" s="79">
        <v>0</v>
      </c>
      <c r="BY16" s="79">
        <v>1703</v>
      </c>
      <c r="BZ16" s="79">
        <v>1</v>
      </c>
      <c r="CA16" s="79">
        <v>135</v>
      </c>
      <c r="CB16" s="79">
        <v>10</v>
      </c>
      <c r="CC16" s="79">
        <v>47</v>
      </c>
      <c r="CD16" s="79">
        <v>0</v>
      </c>
      <c r="CE16" s="79">
        <v>14</v>
      </c>
    </row>
    <row r="17" spans="1:83" s="58" customFormat="1" ht="15.6" customHeight="1" x14ac:dyDescent="0.25">
      <c r="A17" s="51">
        <v>2</v>
      </c>
      <c r="B17" s="52" t="s">
        <v>113</v>
      </c>
      <c r="C17" s="77" t="s">
        <v>114</v>
      </c>
      <c r="D17" s="50" t="s">
        <v>115</v>
      </c>
      <c r="E17" s="50" t="s">
        <v>116</v>
      </c>
      <c r="F17" s="50" t="s">
        <v>105</v>
      </c>
      <c r="G17" s="88">
        <v>14654221.82</v>
      </c>
      <c r="H17" s="88">
        <v>79637.570000000007</v>
      </c>
      <c r="I17" s="88">
        <v>90843.44</v>
      </c>
      <c r="J17" s="88">
        <v>0</v>
      </c>
      <c r="K17" s="89">
        <v>0</v>
      </c>
      <c r="L17" s="89">
        <v>14824702.83</v>
      </c>
      <c r="M17" s="89">
        <v>0</v>
      </c>
      <c r="N17" s="88">
        <v>0</v>
      </c>
      <c r="O17" s="88">
        <v>1966766.04</v>
      </c>
      <c r="P17" s="90">
        <v>5708870.0700000003</v>
      </c>
      <c r="Q17" s="88">
        <v>0</v>
      </c>
      <c r="R17" s="88">
        <v>678194.72</v>
      </c>
      <c r="S17" s="88">
        <v>3826548.23</v>
      </c>
      <c r="T17" s="88">
        <v>977097.1</v>
      </c>
      <c r="U17" s="88">
        <v>0</v>
      </c>
      <c r="V17" s="88">
        <v>0</v>
      </c>
      <c r="W17" s="88">
        <v>323879.03999999998</v>
      </c>
      <c r="X17" s="89">
        <v>1467091.6800000002</v>
      </c>
      <c r="Y17" s="89">
        <v>14948446.880000001</v>
      </c>
      <c r="Z17" s="81">
        <v>4.5872731788028483E-2</v>
      </c>
      <c r="AA17" s="89">
        <v>1465432.33</v>
      </c>
      <c r="AB17" s="89">
        <v>0</v>
      </c>
      <c r="AC17" s="89">
        <v>0</v>
      </c>
      <c r="AD17" s="89">
        <v>0</v>
      </c>
      <c r="AE17" s="89">
        <v>213.77</v>
      </c>
      <c r="AF17" s="89">
        <f t="shared" si="5"/>
        <v>213.77</v>
      </c>
      <c r="AG17" s="89">
        <v>705159.17</v>
      </c>
      <c r="AH17" s="88">
        <v>54588.91</v>
      </c>
      <c r="AI17" s="88">
        <v>168570.55</v>
      </c>
      <c r="AJ17" s="89">
        <v>0</v>
      </c>
      <c r="AK17" s="88">
        <v>64099.44</v>
      </c>
      <c r="AL17" s="88">
        <v>54595.22</v>
      </c>
      <c r="AM17" s="88">
        <v>68758.759999999995</v>
      </c>
      <c r="AN17" s="88">
        <v>11025</v>
      </c>
      <c r="AO17" s="88">
        <v>750</v>
      </c>
      <c r="AP17" s="88">
        <v>3393.01</v>
      </c>
      <c r="AQ17" s="88">
        <v>43880.56</v>
      </c>
      <c r="AR17" s="88">
        <v>1140</v>
      </c>
      <c r="AS17" s="88">
        <v>0</v>
      </c>
      <c r="AT17" s="88">
        <v>12704.7</v>
      </c>
      <c r="AU17" s="88">
        <v>9291.31</v>
      </c>
      <c r="AV17" s="88">
        <v>35382.61</v>
      </c>
      <c r="AW17" s="88">
        <v>1233339.24</v>
      </c>
      <c r="AX17" s="88">
        <v>0</v>
      </c>
      <c r="AY17" s="81">
        <f t="shared" si="6"/>
        <v>0</v>
      </c>
      <c r="AZ17" s="89">
        <v>0</v>
      </c>
      <c r="BA17" s="81">
        <v>0.10000069249668285</v>
      </c>
      <c r="BB17" s="79">
        <v>296881.07</v>
      </c>
      <c r="BC17" s="79">
        <v>379001.31</v>
      </c>
      <c r="BD17" s="80">
        <v>219587</v>
      </c>
      <c r="BE17" s="80">
        <v>0</v>
      </c>
      <c r="BF17" s="80">
        <v>261138.49</v>
      </c>
      <c r="BG17" s="80">
        <v>0</v>
      </c>
      <c r="BH17" s="80">
        <v>0</v>
      </c>
      <c r="BI17" s="80">
        <v>0</v>
      </c>
      <c r="BJ17" s="80">
        <f t="shared" si="7"/>
        <v>0</v>
      </c>
      <c r="BK17" s="80">
        <v>0</v>
      </c>
      <c r="BL17" s="80">
        <v>1981</v>
      </c>
      <c r="BM17" s="80">
        <v>904</v>
      </c>
      <c r="BN17" s="79">
        <v>15</v>
      </c>
      <c r="BO17" s="79">
        <v>-5</v>
      </c>
      <c r="BP17" s="79">
        <v>-24</v>
      </c>
      <c r="BQ17" s="79">
        <v>-47</v>
      </c>
      <c r="BR17" s="79">
        <v>-318</v>
      </c>
      <c r="BS17" s="79">
        <v>-192</v>
      </c>
      <c r="BT17" s="79">
        <v>0</v>
      </c>
      <c r="BU17" s="79">
        <v>0</v>
      </c>
      <c r="BV17" s="79">
        <v>0</v>
      </c>
      <c r="BW17" s="79">
        <v>-412</v>
      </c>
      <c r="BX17" s="79">
        <v>-1</v>
      </c>
      <c r="BY17" s="79">
        <v>1901</v>
      </c>
      <c r="BZ17" s="79">
        <v>8</v>
      </c>
      <c r="CA17" s="79">
        <v>95</v>
      </c>
      <c r="CB17" s="79">
        <v>31</v>
      </c>
      <c r="CC17" s="79">
        <v>289</v>
      </c>
      <c r="CD17" s="79">
        <v>3</v>
      </c>
      <c r="CE17" s="79">
        <v>6</v>
      </c>
    </row>
    <row r="18" spans="1:83" s="58" customFormat="1" ht="15.6" customHeight="1" x14ac:dyDescent="0.25">
      <c r="A18" s="51">
        <v>2</v>
      </c>
      <c r="B18" s="52" t="s">
        <v>570</v>
      </c>
      <c r="C18" s="77" t="s">
        <v>586</v>
      </c>
      <c r="D18" s="34" t="s">
        <v>130</v>
      </c>
      <c r="E18" s="34"/>
      <c r="F18" s="34" t="s">
        <v>131</v>
      </c>
      <c r="G18" s="88">
        <v>16050998.039999999</v>
      </c>
      <c r="H18" s="88">
        <v>0</v>
      </c>
      <c r="I18" s="88">
        <v>269779.78000000003</v>
      </c>
      <c r="J18" s="88">
        <v>33831.269999999997</v>
      </c>
      <c r="K18" s="89">
        <v>0</v>
      </c>
      <c r="L18" s="89">
        <v>16354609.09</v>
      </c>
      <c r="M18" s="89">
        <v>375928.5</v>
      </c>
      <c r="N18" s="88">
        <v>1013510.8</v>
      </c>
      <c r="O18" s="88">
        <v>3831923.97</v>
      </c>
      <c r="P18" s="90">
        <v>2261082.67</v>
      </c>
      <c r="Q18" s="88">
        <v>0</v>
      </c>
      <c r="R18" s="88">
        <v>1276678.28</v>
      </c>
      <c r="S18" s="88">
        <v>4875671.8099999996</v>
      </c>
      <c r="T18" s="88">
        <v>650990.86</v>
      </c>
      <c r="U18" s="88">
        <v>0</v>
      </c>
      <c r="V18" s="88">
        <v>0</v>
      </c>
      <c r="W18" s="88">
        <v>2251928.79</v>
      </c>
      <c r="X18" s="89">
        <v>1451734.09</v>
      </c>
      <c r="Y18" s="89">
        <v>17613521.27</v>
      </c>
      <c r="Z18" s="81">
        <v>0.17568354646687129</v>
      </c>
      <c r="AA18" s="89">
        <v>1426478.55</v>
      </c>
      <c r="AB18" s="89">
        <v>0</v>
      </c>
      <c r="AC18" s="89">
        <v>0</v>
      </c>
      <c r="AD18" s="89">
        <v>0</v>
      </c>
      <c r="AE18" s="89">
        <v>8.3000000000000007</v>
      </c>
      <c r="AF18" s="89">
        <f t="shared" si="5"/>
        <v>8.3000000000000007</v>
      </c>
      <c r="AG18" s="89">
        <v>536450.24</v>
      </c>
      <c r="AH18" s="88">
        <v>45056.67</v>
      </c>
      <c r="AI18" s="88">
        <v>131267.65</v>
      </c>
      <c r="AJ18" s="89">
        <v>0</v>
      </c>
      <c r="AK18" s="88">
        <v>83649.649999999994</v>
      </c>
      <c r="AL18" s="88">
        <v>37958.519999999997</v>
      </c>
      <c r="AM18" s="88">
        <v>76274.559999999998</v>
      </c>
      <c r="AN18" s="88">
        <v>7500</v>
      </c>
      <c r="AO18" s="88">
        <v>9460</v>
      </c>
      <c r="AP18" s="88">
        <v>697.13</v>
      </c>
      <c r="AQ18" s="88">
        <v>45966.15</v>
      </c>
      <c r="AR18" s="88">
        <v>15761.13</v>
      </c>
      <c r="AS18" s="88">
        <v>0</v>
      </c>
      <c r="AT18" s="88">
        <v>13310.22</v>
      </c>
      <c r="AU18" s="88">
        <v>13846.62</v>
      </c>
      <c r="AV18" s="88">
        <v>35256.85</v>
      </c>
      <c r="AW18" s="88">
        <v>1052455.3899999999</v>
      </c>
      <c r="AX18" s="88">
        <v>0</v>
      </c>
      <c r="AY18" s="81">
        <f t="shared" si="6"/>
        <v>0</v>
      </c>
      <c r="AZ18" s="89">
        <v>0</v>
      </c>
      <c r="BA18" s="81">
        <v>8.6837823650485507E-2</v>
      </c>
      <c r="BB18" s="88">
        <v>1348490.26</v>
      </c>
      <c r="BC18" s="88">
        <v>1471406</v>
      </c>
      <c r="BD18" s="89">
        <v>216829</v>
      </c>
      <c r="BE18" s="89">
        <v>5.8207660913467401E-11</v>
      </c>
      <c r="BF18" s="89">
        <v>220790.22</v>
      </c>
      <c r="BG18" s="89">
        <v>0</v>
      </c>
      <c r="BH18" s="89">
        <v>0</v>
      </c>
      <c r="BI18" s="89">
        <v>0</v>
      </c>
      <c r="BJ18" s="89">
        <f t="shared" si="7"/>
        <v>0</v>
      </c>
      <c r="BK18" s="89">
        <v>0</v>
      </c>
      <c r="BL18" s="80">
        <v>2148</v>
      </c>
      <c r="BM18" s="80">
        <v>1089</v>
      </c>
      <c r="BN18" s="79">
        <v>235</v>
      </c>
      <c r="BO18" s="79">
        <v>-18</v>
      </c>
      <c r="BP18" s="79">
        <v>-84</v>
      </c>
      <c r="BQ18" s="79">
        <v>-48</v>
      </c>
      <c r="BR18" s="79">
        <v>-861</v>
      </c>
      <c r="BS18" s="79">
        <v>-149</v>
      </c>
      <c r="BT18" s="79">
        <v>0</v>
      </c>
      <c r="BU18" s="79">
        <v>0</v>
      </c>
      <c r="BV18" s="79">
        <v>-302</v>
      </c>
      <c r="BW18" s="79">
        <v>-298</v>
      </c>
      <c r="BX18" s="79">
        <v>0</v>
      </c>
      <c r="BY18" s="79">
        <v>1712</v>
      </c>
      <c r="BZ18" s="79">
        <v>4</v>
      </c>
      <c r="CA18" s="79">
        <v>136</v>
      </c>
      <c r="CB18" s="79">
        <v>24</v>
      </c>
      <c r="CC18" s="79">
        <v>57</v>
      </c>
      <c r="CD18" s="79">
        <v>55</v>
      </c>
      <c r="CE18" s="79">
        <v>12</v>
      </c>
    </row>
    <row r="19" spans="1:83" s="83" customFormat="1" ht="15.6" customHeight="1" x14ac:dyDescent="0.25">
      <c r="A19" s="32">
        <v>2</v>
      </c>
      <c r="B19" s="33" t="s">
        <v>117</v>
      </c>
      <c r="C19" s="75" t="s">
        <v>118</v>
      </c>
      <c r="D19" s="34" t="s">
        <v>119</v>
      </c>
      <c r="E19" s="34" t="s">
        <v>116</v>
      </c>
      <c r="F19" s="34" t="s">
        <v>105</v>
      </c>
      <c r="G19" s="88">
        <v>10385285.890000001</v>
      </c>
      <c r="H19" s="88">
        <v>621.23</v>
      </c>
      <c r="I19" s="88">
        <v>147745.15</v>
      </c>
      <c r="J19" s="88">
        <v>0</v>
      </c>
      <c r="K19" s="89">
        <v>0</v>
      </c>
      <c r="L19" s="89">
        <v>10533652.27</v>
      </c>
      <c r="M19" s="89">
        <v>0</v>
      </c>
      <c r="N19" s="88">
        <v>358584.77</v>
      </c>
      <c r="O19" s="88">
        <v>1041590.62</v>
      </c>
      <c r="P19" s="90">
        <v>2675195.19</v>
      </c>
      <c r="Q19" s="88">
        <v>0</v>
      </c>
      <c r="R19" s="88">
        <v>657173.31000000006</v>
      </c>
      <c r="S19" s="88">
        <v>4032073.77</v>
      </c>
      <c r="T19" s="88">
        <v>694241.61</v>
      </c>
      <c r="U19" s="88">
        <v>0</v>
      </c>
      <c r="V19" s="88">
        <v>0</v>
      </c>
      <c r="W19" s="88">
        <v>333053.56</v>
      </c>
      <c r="X19" s="89">
        <v>936195.91</v>
      </c>
      <c r="Y19" s="89">
        <v>10728108.74</v>
      </c>
      <c r="Z19" s="81">
        <v>9.7479817439384137E-2</v>
      </c>
      <c r="AA19" s="89">
        <v>904917.27</v>
      </c>
      <c r="AB19" s="89">
        <v>0</v>
      </c>
      <c r="AC19" s="89">
        <v>0</v>
      </c>
      <c r="AD19" s="89">
        <v>0</v>
      </c>
      <c r="AE19" s="89">
        <v>0</v>
      </c>
      <c r="AF19" s="89">
        <f t="shared" si="5"/>
        <v>0</v>
      </c>
      <c r="AG19" s="89">
        <v>330257.28000000003</v>
      </c>
      <c r="AH19" s="88">
        <v>26133.14</v>
      </c>
      <c r="AI19" s="88">
        <v>38717.17</v>
      </c>
      <c r="AJ19" s="89">
        <v>0</v>
      </c>
      <c r="AK19" s="88">
        <v>71526.31</v>
      </c>
      <c r="AL19" s="88">
        <v>37877.15</v>
      </c>
      <c r="AM19" s="88">
        <v>36371.78</v>
      </c>
      <c r="AN19" s="88">
        <v>9975</v>
      </c>
      <c r="AO19" s="88">
        <v>4744.24</v>
      </c>
      <c r="AP19" s="88">
        <v>0</v>
      </c>
      <c r="AQ19" s="88">
        <v>51879.21</v>
      </c>
      <c r="AR19" s="88">
        <v>6040.25</v>
      </c>
      <c r="AS19" s="88">
        <v>387.19</v>
      </c>
      <c r="AT19" s="88">
        <v>1967.45</v>
      </c>
      <c r="AU19" s="88">
        <v>16356.88</v>
      </c>
      <c r="AV19" s="88">
        <v>55427.96</v>
      </c>
      <c r="AW19" s="88">
        <v>687661.01</v>
      </c>
      <c r="AX19" s="88">
        <v>0</v>
      </c>
      <c r="AY19" s="81">
        <f t="shared" si="6"/>
        <v>0</v>
      </c>
      <c r="AZ19" s="89">
        <v>0</v>
      </c>
      <c r="BA19" s="81">
        <v>8.7134555522573098E-2</v>
      </c>
      <c r="BB19" s="79">
        <v>395034.49</v>
      </c>
      <c r="BC19" s="79">
        <v>617381.84</v>
      </c>
      <c r="BD19" s="80">
        <v>219588.62</v>
      </c>
      <c r="BE19" s="80">
        <v>1.61999999996624</v>
      </c>
      <c r="BF19" s="80">
        <v>190612.820000001</v>
      </c>
      <c r="BG19" s="80">
        <v>18697.5675000007</v>
      </c>
      <c r="BH19" s="80">
        <v>18697.5675000007</v>
      </c>
      <c r="BI19" s="80">
        <v>1.61999999996624</v>
      </c>
      <c r="BJ19" s="80">
        <f t="shared" si="7"/>
        <v>18699.187500000666</v>
      </c>
      <c r="BK19" s="80">
        <v>0</v>
      </c>
      <c r="BL19" s="80">
        <v>1341</v>
      </c>
      <c r="BM19" s="80">
        <v>394</v>
      </c>
      <c r="BN19" s="79">
        <v>6</v>
      </c>
      <c r="BO19" s="79">
        <v>-3</v>
      </c>
      <c r="BP19" s="79">
        <v>-13</v>
      </c>
      <c r="BQ19" s="79">
        <v>-17</v>
      </c>
      <c r="BR19" s="79">
        <v>-87</v>
      </c>
      <c r="BS19" s="79">
        <v>-57</v>
      </c>
      <c r="BT19" s="79">
        <v>0</v>
      </c>
      <c r="BU19" s="79">
        <v>0</v>
      </c>
      <c r="BV19" s="79">
        <v>0</v>
      </c>
      <c r="BW19" s="79">
        <v>-371</v>
      </c>
      <c r="BX19" s="79">
        <v>-2</v>
      </c>
      <c r="BY19" s="79">
        <v>1191</v>
      </c>
      <c r="BZ19" s="79">
        <v>1</v>
      </c>
      <c r="CA19" s="79">
        <v>119</v>
      </c>
      <c r="CB19" s="79">
        <v>76</v>
      </c>
      <c r="CC19" s="79">
        <v>177</v>
      </c>
      <c r="CD19" s="79">
        <v>2</v>
      </c>
      <c r="CE19" s="79">
        <v>3</v>
      </c>
    </row>
    <row r="20" spans="1:83" s="58" customFormat="1" ht="15.6" customHeight="1" x14ac:dyDescent="0.25">
      <c r="A20" s="43">
        <v>2</v>
      </c>
      <c r="B20" s="59" t="s">
        <v>582</v>
      </c>
      <c r="C20" s="77" t="s">
        <v>573</v>
      </c>
      <c r="D20" s="50" t="s">
        <v>121</v>
      </c>
      <c r="E20" s="50" t="s">
        <v>122</v>
      </c>
      <c r="F20" s="50" t="s">
        <v>105</v>
      </c>
      <c r="G20" s="89">
        <f>16662732+7997149</f>
        <v>24659881</v>
      </c>
      <c r="H20" s="89">
        <f>11194+409666</f>
        <v>420860</v>
      </c>
      <c r="I20" s="89">
        <v>0</v>
      </c>
      <c r="J20" s="89">
        <v>0</v>
      </c>
      <c r="K20" s="89">
        <v>0.02</v>
      </c>
      <c r="L20" s="89">
        <f>16674126+8407486</f>
        <v>25081612</v>
      </c>
      <c r="M20" s="89">
        <v>0</v>
      </c>
      <c r="N20" s="89">
        <v>0</v>
      </c>
      <c r="O20" s="89">
        <f>2469080+1265612</f>
        <v>3734692</v>
      </c>
      <c r="P20" s="89">
        <f>1614466+1163277</f>
        <v>2777743</v>
      </c>
      <c r="Q20" s="89">
        <v>0</v>
      </c>
      <c r="R20" s="89">
        <f>1793377+1093347</f>
        <v>2886724</v>
      </c>
      <c r="S20" s="89">
        <f>4114721+1446290</f>
        <v>5561011</v>
      </c>
      <c r="T20" s="89">
        <f>1773254+783064</f>
        <v>2556318</v>
      </c>
      <c r="U20" s="89">
        <v>0</v>
      </c>
      <c r="V20" s="89">
        <f>899+1837</f>
        <v>2736</v>
      </c>
      <c r="W20" s="89">
        <f>2278019+1297142</f>
        <v>3575161</v>
      </c>
      <c r="X20" s="89">
        <v>1828817</v>
      </c>
      <c r="Y20" s="89">
        <f>15312545+7610658</f>
        <v>22923203</v>
      </c>
      <c r="Z20" s="81">
        <f>11595990/(G20+H20)</f>
        <v>0.46234638761271046</v>
      </c>
      <c r="AA20" s="89">
        <f>1268528+559418</f>
        <v>1827946</v>
      </c>
      <c r="AB20" s="89">
        <v>0</v>
      </c>
      <c r="AC20" s="89">
        <v>0</v>
      </c>
      <c r="AD20" s="89">
        <f>200+671</f>
        <v>871</v>
      </c>
      <c r="AE20" s="89">
        <v>11</v>
      </c>
      <c r="AF20" s="89">
        <f t="shared" ref="AF20:AF28" si="8">SUM(AD20:AE20)</f>
        <v>882</v>
      </c>
      <c r="AG20" s="89">
        <f>552889+218046</f>
        <v>770935</v>
      </c>
      <c r="AH20" s="89">
        <f>52653+13554</f>
        <v>66207</v>
      </c>
      <c r="AI20" s="89">
        <f>81899+40895</f>
        <v>122794</v>
      </c>
      <c r="AJ20" s="89">
        <v>0</v>
      </c>
      <c r="AK20" s="89">
        <f>148034+38289</f>
        <v>186323</v>
      </c>
      <c r="AL20" s="89">
        <f>65636+17584</f>
        <v>83220</v>
      </c>
      <c r="AM20" s="89">
        <f>90365+12133</f>
        <v>102498</v>
      </c>
      <c r="AN20" s="89">
        <v>15000</v>
      </c>
      <c r="AO20" s="89">
        <f>35962+10801</f>
        <v>46763</v>
      </c>
      <c r="AP20" s="89">
        <v>0</v>
      </c>
      <c r="AQ20" s="89">
        <f>2222+17919+13957+544+7127+8561</f>
        <v>50330</v>
      </c>
      <c r="AR20" s="89">
        <f>9059+111</f>
        <v>9170</v>
      </c>
      <c r="AS20" s="89">
        <v>0</v>
      </c>
      <c r="AT20" s="89">
        <v>89831</v>
      </c>
      <c r="AU20" s="89">
        <v>1112</v>
      </c>
      <c r="AV20" s="89">
        <v>123833</v>
      </c>
      <c r="AW20" s="89">
        <f>1259572+408433</f>
        <v>1668005</v>
      </c>
      <c r="AX20" s="89">
        <v>0</v>
      </c>
      <c r="AY20" s="81">
        <f t="shared" ref="AY20:AY28" si="9">AX20/AW20</f>
        <v>0</v>
      </c>
      <c r="AZ20" s="89">
        <v>18739</v>
      </c>
      <c r="BA20" s="81">
        <f>(1268528+559418)/(16662732+7997149)</f>
        <v>7.412631066630046E-2</v>
      </c>
      <c r="BB20" s="89">
        <v>10868206</v>
      </c>
      <c r="BC20" s="89">
        <v>727784</v>
      </c>
      <c r="BD20" s="89">
        <f>144290+73158</f>
        <v>217448</v>
      </c>
      <c r="BE20" s="89">
        <v>0</v>
      </c>
      <c r="BF20" s="89">
        <v>232014</v>
      </c>
      <c r="BG20" s="89">
        <v>0</v>
      </c>
      <c r="BH20" s="89">
        <v>0</v>
      </c>
      <c r="BI20" s="89">
        <v>0</v>
      </c>
      <c r="BJ20" s="89">
        <v>0</v>
      </c>
      <c r="BK20" s="89">
        <v>0</v>
      </c>
      <c r="BL20" s="80">
        <v>4906</v>
      </c>
      <c r="BM20" s="80">
        <v>1896</v>
      </c>
      <c r="BN20" s="80">
        <v>13</v>
      </c>
      <c r="BO20" s="80">
        <v>0</v>
      </c>
      <c r="BP20" s="80">
        <v>-122</v>
      </c>
      <c r="BQ20" s="80">
        <v>-83</v>
      </c>
      <c r="BR20" s="80">
        <v>-993</v>
      </c>
      <c r="BS20" s="80">
        <v>-148</v>
      </c>
      <c r="BT20" s="80">
        <v>0</v>
      </c>
      <c r="BU20" s="80">
        <v>0</v>
      </c>
      <c r="BV20" s="80">
        <v>176</v>
      </c>
      <c r="BW20" s="80">
        <v>-761</v>
      </c>
      <c r="BX20" s="80">
        <v>0</v>
      </c>
      <c r="BY20" s="80">
        <v>4884</v>
      </c>
      <c r="BZ20" s="80">
        <v>18</v>
      </c>
      <c r="CA20" s="80">
        <v>133</v>
      </c>
      <c r="CB20" s="80">
        <v>42</v>
      </c>
      <c r="CC20" s="80">
        <v>546</v>
      </c>
      <c r="CD20" s="80">
        <v>7</v>
      </c>
      <c r="CE20" s="80">
        <v>33</v>
      </c>
    </row>
    <row r="21" spans="1:83" s="58" customFormat="1" ht="15.6" customHeight="1" x14ac:dyDescent="0.25">
      <c r="A21" s="43">
        <v>2</v>
      </c>
      <c r="B21" s="59" t="s">
        <v>123</v>
      </c>
      <c r="C21" s="77" t="s">
        <v>124</v>
      </c>
      <c r="D21" s="50" t="s">
        <v>125</v>
      </c>
      <c r="E21" s="41" t="s">
        <v>86</v>
      </c>
      <c r="F21" s="50" t="s">
        <v>126</v>
      </c>
      <c r="G21" s="89">
        <v>5121008.62</v>
      </c>
      <c r="H21" s="89">
        <v>0</v>
      </c>
      <c r="I21" s="89">
        <v>32164.01</v>
      </c>
      <c r="J21" s="89">
        <v>0</v>
      </c>
      <c r="K21" s="89">
        <v>0</v>
      </c>
      <c r="L21" s="89">
        <v>5153172.63</v>
      </c>
      <c r="M21" s="89">
        <v>0</v>
      </c>
      <c r="N21" s="89">
        <v>1654998.43</v>
      </c>
      <c r="O21" s="89">
        <v>407732.93</v>
      </c>
      <c r="P21" s="89">
        <v>765689.1</v>
      </c>
      <c r="Q21" s="89">
        <v>17062.37</v>
      </c>
      <c r="R21" s="89">
        <v>265845.23</v>
      </c>
      <c r="S21" s="89">
        <v>1167414.01</v>
      </c>
      <c r="T21" s="89">
        <v>160909.87</v>
      </c>
      <c r="U21" s="89">
        <v>0</v>
      </c>
      <c r="V21" s="89">
        <v>0</v>
      </c>
      <c r="W21" s="89">
        <v>472626.33</v>
      </c>
      <c r="X21" s="89">
        <v>422096.04000000004</v>
      </c>
      <c r="Y21" s="89">
        <v>5334374.3099999996</v>
      </c>
      <c r="Z21" s="81">
        <v>8.6229839230382119E-2</v>
      </c>
      <c r="AA21" s="89">
        <v>414668.96</v>
      </c>
      <c r="AB21" s="89">
        <v>0</v>
      </c>
      <c r="AC21" s="89">
        <v>0</v>
      </c>
      <c r="AD21" s="89">
        <v>0</v>
      </c>
      <c r="AE21" s="89">
        <v>24.59</v>
      </c>
      <c r="AF21" s="89">
        <f t="shared" ref="AF21:AF27" si="10">SUM(AD21:AE21)</f>
        <v>24.59</v>
      </c>
      <c r="AG21" s="89">
        <v>115421.57</v>
      </c>
      <c r="AH21" s="89">
        <v>9528.09</v>
      </c>
      <c r="AI21" s="89">
        <v>37316.03</v>
      </c>
      <c r="AJ21" s="89">
        <v>0</v>
      </c>
      <c r="AK21" s="89">
        <v>19392.599999999999</v>
      </c>
      <c r="AL21" s="89">
        <v>22330.25</v>
      </c>
      <c r="AM21" s="89">
        <v>17009.75</v>
      </c>
      <c r="AN21" s="89">
        <v>8700</v>
      </c>
      <c r="AO21" s="89">
        <v>4012.5</v>
      </c>
      <c r="AP21" s="89">
        <v>0</v>
      </c>
      <c r="AQ21" s="89">
        <v>9894.7900000000009</v>
      </c>
      <c r="AR21" s="89">
        <v>6147.69</v>
      </c>
      <c r="AS21" s="89">
        <v>0</v>
      </c>
      <c r="AT21" s="89">
        <v>0</v>
      </c>
      <c r="AU21" s="89">
        <v>4800</v>
      </c>
      <c r="AV21" s="89">
        <v>14941.12</v>
      </c>
      <c r="AW21" s="89">
        <v>269494.39</v>
      </c>
      <c r="AX21" s="89">
        <v>60816.17</v>
      </c>
      <c r="AY21" s="81">
        <f t="shared" ref="AY21:AY27" si="11">AX21/AW21</f>
        <v>0.22566766603193483</v>
      </c>
      <c r="AZ21" s="89">
        <v>0</v>
      </c>
      <c r="BA21" s="81">
        <v>8.09740796726095E-2</v>
      </c>
      <c r="BB21" s="80">
        <v>41235.54</v>
      </c>
      <c r="BC21" s="80">
        <v>400348.21</v>
      </c>
      <c r="BD21" s="80">
        <v>153500</v>
      </c>
      <c r="BE21" s="80">
        <v>0</v>
      </c>
      <c r="BF21" s="80">
        <v>21444.0600000001</v>
      </c>
      <c r="BG21" s="80">
        <v>0</v>
      </c>
      <c r="BH21" s="80">
        <v>0</v>
      </c>
      <c r="BI21" s="80">
        <v>0</v>
      </c>
      <c r="BJ21" s="80">
        <f t="shared" ref="BJ21:BJ28" si="12">SUM(BH21:BI21)</f>
        <v>0</v>
      </c>
      <c r="BK21" s="80">
        <v>0</v>
      </c>
      <c r="BL21" s="80">
        <v>515</v>
      </c>
      <c r="BM21" s="80">
        <v>90</v>
      </c>
      <c r="BN21" s="80">
        <v>0</v>
      </c>
      <c r="BO21" s="80">
        <v>0</v>
      </c>
      <c r="BP21" s="80">
        <v>-6</v>
      </c>
      <c r="BQ21" s="80">
        <v>-9</v>
      </c>
      <c r="BR21" s="80">
        <v>-15</v>
      </c>
      <c r="BS21" s="80">
        <v>-19</v>
      </c>
      <c r="BT21" s="80">
        <v>0</v>
      </c>
      <c r="BU21" s="80">
        <v>0</v>
      </c>
      <c r="BV21" s="80">
        <v>-8</v>
      </c>
      <c r="BW21" s="80">
        <v>-111</v>
      </c>
      <c r="BX21" s="80">
        <v>-2</v>
      </c>
      <c r="BY21" s="80">
        <v>435</v>
      </c>
      <c r="BZ21" s="80">
        <v>6</v>
      </c>
      <c r="CA21" s="80">
        <v>4</v>
      </c>
      <c r="CB21" s="80">
        <v>12</v>
      </c>
      <c r="CC21" s="80">
        <v>71</v>
      </c>
      <c r="CD21" s="80">
        <v>7</v>
      </c>
      <c r="CE21" s="80">
        <v>17</v>
      </c>
    </row>
    <row r="22" spans="1:83" s="58" customFormat="1" ht="15.6" customHeight="1" x14ac:dyDescent="0.25">
      <c r="A22" s="51">
        <v>2</v>
      </c>
      <c r="B22" s="52" t="s">
        <v>127</v>
      </c>
      <c r="C22" s="77" t="s">
        <v>128</v>
      </c>
      <c r="D22" s="50" t="s">
        <v>129</v>
      </c>
      <c r="E22" s="50" t="s">
        <v>104</v>
      </c>
      <c r="F22" s="50" t="s">
        <v>105</v>
      </c>
      <c r="G22" s="88">
        <v>13930000.49</v>
      </c>
      <c r="H22" s="88">
        <v>27067.81</v>
      </c>
      <c r="I22" s="88">
        <v>311907.08</v>
      </c>
      <c r="J22" s="88">
        <v>0</v>
      </c>
      <c r="K22" s="89">
        <v>0</v>
      </c>
      <c r="L22" s="89">
        <v>14268975.380000001</v>
      </c>
      <c r="M22" s="89">
        <v>0</v>
      </c>
      <c r="N22" s="88">
        <v>487045.89</v>
      </c>
      <c r="O22" s="88">
        <v>1585974.99</v>
      </c>
      <c r="P22" s="90">
        <v>3209270.87</v>
      </c>
      <c r="Q22" s="88">
        <v>0</v>
      </c>
      <c r="R22" s="88">
        <v>1053749.99</v>
      </c>
      <c r="S22" s="88">
        <v>4534276.51</v>
      </c>
      <c r="T22" s="88">
        <v>1603861.84</v>
      </c>
      <c r="U22" s="88">
        <v>0</v>
      </c>
      <c r="V22" s="88">
        <v>0</v>
      </c>
      <c r="W22" s="88">
        <v>669809.65</v>
      </c>
      <c r="X22" s="89">
        <v>1246617.48</v>
      </c>
      <c r="Y22" s="89">
        <v>14390607.220000001</v>
      </c>
      <c r="Z22" s="81">
        <v>4.5078640189788285E-2</v>
      </c>
      <c r="AA22" s="89">
        <v>1245805.48</v>
      </c>
      <c r="AB22" s="89">
        <v>0</v>
      </c>
      <c r="AC22" s="89">
        <v>0</v>
      </c>
      <c r="AD22" s="89">
        <v>0</v>
      </c>
      <c r="AE22" s="89">
        <v>228.63</v>
      </c>
      <c r="AF22" s="89">
        <f t="shared" si="10"/>
        <v>228.63</v>
      </c>
      <c r="AG22" s="89">
        <v>523318.69</v>
      </c>
      <c r="AH22" s="88">
        <v>41854.870000000003</v>
      </c>
      <c r="AI22" s="88">
        <v>139900.53</v>
      </c>
      <c r="AJ22" s="89">
        <v>0</v>
      </c>
      <c r="AK22" s="88">
        <v>85136.98</v>
      </c>
      <c r="AL22" s="88">
        <v>36063.980000000003</v>
      </c>
      <c r="AM22" s="88">
        <v>96943.61</v>
      </c>
      <c r="AN22" s="88">
        <v>12075</v>
      </c>
      <c r="AO22" s="88">
        <v>41294.75</v>
      </c>
      <c r="AP22" s="88">
        <v>0</v>
      </c>
      <c r="AQ22" s="88">
        <v>29287.55</v>
      </c>
      <c r="AR22" s="88">
        <v>17145.04</v>
      </c>
      <c r="AS22" s="88">
        <v>0</v>
      </c>
      <c r="AT22" s="88">
        <v>10680.99</v>
      </c>
      <c r="AU22" s="88">
        <v>12000</v>
      </c>
      <c r="AV22" s="88">
        <v>33257.839999999997</v>
      </c>
      <c r="AW22" s="88">
        <v>1078959.83</v>
      </c>
      <c r="AX22" s="88">
        <v>0</v>
      </c>
      <c r="AY22" s="81">
        <f t="shared" si="11"/>
        <v>0</v>
      </c>
      <c r="AZ22" s="89">
        <v>0</v>
      </c>
      <c r="BA22" s="81">
        <v>8.9433268928765131E-2</v>
      </c>
      <c r="BB22" s="79">
        <v>470373.17</v>
      </c>
      <c r="BC22" s="79">
        <v>158792.49</v>
      </c>
      <c r="BD22" s="80">
        <v>219587</v>
      </c>
      <c r="BE22" s="80">
        <v>0</v>
      </c>
      <c r="BF22" s="80">
        <v>207452.94</v>
      </c>
      <c r="BG22" s="80">
        <v>0</v>
      </c>
      <c r="BH22" s="80">
        <v>0</v>
      </c>
      <c r="BI22" s="80">
        <v>0</v>
      </c>
      <c r="BJ22" s="80">
        <f t="shared" si="12"/>
        <v>0</v>
      </c>
      <c r="BK22" s="80">
        <v>0</v>
      </c>
      <c r="BL22" s="80">
        <v>2123</v>
      </c>
      <c r="BM22" s="80">
        <v>699</v>
      </c>
      <c r="BN22" s="79">
        <v>12</v>
      </c>
      <c r="BO22" s="79">
        <v>-28</v>
      </c>
      <c r="BP22" s="79">
        <v>-22</v>
      </c>
      <c r="BQ22" s="79">
        <v>-87</v>
      </c>
      <c r="BR22" s="79">
        <v>-91</v>
      </c>
      <c r="BS22" s="79">
        <v>-127</v>
      </c>
      <c r="BT22" s="79">
        <v>0</v>
      </c>
      <c r="BU22" s="79">
        <v>0</v>
      </c>
      <c r="BV22" s="79">
        <v>0</v>
      </c>
      <c r="BW22" s="79">
        <v>-413</v>
      </c>
      <c r="BX22" s="79">
        <v>0</v>
      </c>
      <c r="BY22" s="79">
        <v>2066</v>
      </c>
      <c r="BZ22" s="79">
        <v>5</v>
      </c>
      <c r="CA22" s="79">
        <v>108</v>
      </c>
      <c r="CB22" s="79">
        <v>36</v>
      </c>
      <c r="CC22" s="79">
        <v>259</v>
      </c>
      <c r="CD22" s="79">
        <v>0</v>
      </c>
      <c r="CE22" s="79">
        <v>10</v>
      </c>
    </row>
    <row r="23" spans="1:83" s="58" customFormat="1" ht="15.6" customHeight="1" x14ac:dyDescent="0.25">
      <c r="A23" s="51">
        <v>3</v>
      </c>
      <c r="B23" s="52" t="s">
        <v>132</v>
      </c>
      <c r="C23" s="77" t="s">
        <v>133</v>
      </c>
      <c r="D23" s="50" t="s">
        <v>134</v>
      </c>
      <c r="E23" s="41" t="s">
        <v>86</v>
      </c>
      <c r="F23" s="50" t="s">
        <v>135</v>
      </c>
      <c r="G23" s="88">
        <v>35249232.289999999</v>
      </c>
      <c r="H23" s="88">
        <v>0</v>
      </c>
      <c r="I23" s="88">
        <v>991418.94</v>
      </c>
      <c r="J23" s="88">
        <v>0</v>
      </c>
      <c r="K23" s="89">
        <v>0</v>
      </c>
      <c r="L23" s="89">
        <v>36240651.229999997</v>
      </c>
      <c r="M23" s="89">
        <v>0</v>
      </c>
      <c r="N23" s="88">
        <v>372289.74</v>
      </c>
      <c r="O23" s="88">
        <v>7802587.9299999997</v>
      </c>
      <c r="P23" s="90">
        <v>5854931.7999999998</v>
      </c>
      <c r="Q23" s="88">
        <v>73632.649999999994</v>
      </c>
      <c r="R23" s="88">
        <v>2212911.9700000002</v>
      </c>
      <c r="S23" s="88">
        <v>8235901.71</v>
      </c>
      <c r="T23" s="88">
        <v>5896702.3700000001</v>
      </c>
      <c r="U23" s="88">
        <v>0</v>
      </c>
      <c r="V23" s="88">
        <v>0</v>
      </c>
      <c r="W23" s="88">
        <v>1956621.54</v>
      </c>
      <c r="X23" s="89">
        <v>3074687.11</v>
      </c>
      <c r="Y23" s="89">
        <v>35480266.82</v>
      </c>
      <c r="Z23" s="81">
        <v>0.17599817746271804</v>
      </c>
      <c r="AA23" s="89">
        <v>2749388.46</v>
      </c>
      <c r="AB23" s="89">
        <v>0</v>
      </c>
      <c r="AC23" s="89">
        <v>0</v>
      </c>
      <c r="AD23" s="89">
        <v>0</v>
      </c>
      <c r="AE23" s="89">
        <v>179</v>
      </c>
      <c r="AF23" s="89">
        <f t="shared" si="10"/>
        <v>179</v>
      </c>
      <c r="AG23" s="89">
        <v>1447048.14</v>
      </c>
      <c r="AH23" s="88">
        <v>116508.19</v>
      </c>
      <c r="AI23" s="88">
        <v>391606.36</v>
      </c>
      <c r="AJ23" s="89">
        <v>0</v>
      </c>
      <c r="AK23" s="88">
        <v>242597.21</v>
      </c>
      <c r="AL23" s="88">
        <v>6903.89</v>
      </c>
      <c r="AM23" s="88">
        <v>113259.13</v>
      </c>
      <c r="AN23" s="88">
        <v>9500</v>
      </c>
      <c r="AO23" s="88">
        <v>2015.02</v>
      </c>
      <c r="AP23" s="88">
        <v>0</v>
      </c>
      <c r="AQ23" s="88">
        <v>67543.199999999997</v>
      </c>
      <c r="AR23" s="88">
        <v>24515.82</v>
      </c>
      <c r="AS23" s="88">
        <v>1389.06</v>
      </c>
      <c r="AT23" s="88">
        <v>18012.650000000001</v>
      </c>
      <c r="AU23" s="88">
        <v>39126.94</v>
      </c>
      <c r="AV23" s="88">
        <v>89416.42</v>
      </c>
      <c r="AW23" s="88">
        <v>2569442.0299999998</v>
      </c>
      <c r="AX23" s="88">
        <v>0</v>
      </c>
      <c r="AY23" s="81">
        <f t="shared" si="11"/>
        <v>0</v>
      </c>
      <c r="AZ23" s="89">
        <v>0</v>
      </c>
      <c r="BA23" s="81">
        <v>7.7998534475316378E-2</v>
      </c>
      <c r="BB23" s="79">
        <v>2504670.64</v>
      </c>
      <c r="BC23" s="79">
        <v>3699130</v>
      </c>
      <c r="BD23" s="80">
        <v>219587</v>
      </c>
      <c r="BE23" s="80">
        <v>0</v>
      </c>
      <c r="BF23" s="80">
        <v>214151.210000002</v>
      </c>
      <c r="BG23" s="80">
        <v>0</v>
      </c>
      <c r="BH23" s="80">
        <v>0</v>
      </c>
      <c r="BI23" s="80">
        <v>0</v>
      </c>
      <c r="BJ23" s="80">
        <f t="shared" si="12"/>
        <v>0</v>
      </c>
      <c r="BK23" s="80">
        <v>0</v>
      </c>
      <c r="BL23" s="80">
        <v>6391</v>
      </c>
      <c r="BM23" s="80">
        <v>3075</v>
      </c>
      <c r="BN23" s="79">
        <v>126</v>
      </c>
      <c r="BO23" s="79">
        <v>-333</v>
      </c>
      <c r="BP23" s="79">
        <v>-63</v>
      </c>
      <c r="BQ23" s="79">
        <v>-173</v>
      </c>
      <c r="BR23" s="79">
        <v>-972</v>
      </c>
      <c r="BS23" s="79">
        <v>-661</v>
      </c>
      <c r="BT23" s="79">
        <v>1</v>
      </c>
      <c r="BU23" s="79">
        <v>-4</v>
      </c>
      <c r="BV23" s="79">
        <v>20</v>
      </c>
      <c r="BW23" s="79">
        <v>-909</v>
      </c>
      <c r="BX23" s="79">
        <v>-2</v>
      </c>
      <c r="BY23" s="79">
        <v>6496</v>
      </c>
      <c r="BZ23" s="79">
        <v>0</v>
      </c>
      <c r="CA23" s="79">
        <v>281</v>
      </c>
      <c r="CB23" s="79">
        <v>71</v>
      </c>
      <c r="CC23" s="79">
        <v>507</v>
      </c>
      <c r="CD23" s="79">
        <v>88</v>
      </c>
      <c r="CE23" s="79">
        <v>40</v>
      </c>
    </row>
    <row r="24" spans="1:83" s="58" customFormat="1" ht="15.6" customHeight="1" x14ac:dyDescent="0.25">
      <c r="A24" s="51">
        <v>3</v>
      </c>
      <c r="B24" s="52" t="s">
        <v>136</v>
      </c>
      <c r="C24" s="77" t="s">
        <v>137</v>
      </c>
      <c r="D24" s="50" t="s">
        <v>138</v>
      </c>
      <c r="E24" s="50" t="s">
        <v>139</v>
      </c>
      <c r="F24" s="50" t="s">
        <v>140</v>
      </c>
      <c r="G24" s="88">
        <v>34900018.369999997</v>
      </c>
      <c r="H24" s="88">
        <v>0</v>
      </c>
      <c r="I24" s="88">
        <v>373895.27</v>
      </c>
      <c r="J24" s="88">
        <v>0</v>
      </c>
      <c r="K24" s="89">
        <v>0</v>
      </c>
      <c r="L24" s="89">
        <v>35273913.640000001</v>
      </c>
      <c r="M24" s="89">
        <v>0</v>
      </c>
      <c r="N24" s="88">
        <v>3412004.7</v>
      </c>
      <c r="O24" s="88">
        <v>5918963.8399999999</v>
      </c>
      <c r="P24" s="90">
        <v>4688272.92</v>
      </c>
      <c r="Q24" s="88">
        <v>0</v>
      </c>
      <c r="R24" s="88">
        <v>2947780.13</v>
      </c>
      <c r="S24" s="88">
        <v>8834452.5399999991</v>
      </c>
      <c r="T24" s="88">
        <v>5062897.01</v>
      </c>
      <c r="U24" s="88">
        <v>0</v>
      </c>
      <c r="V24" s="88">
        <v>0</v>
      </c>
      <c r="W24" s="88">
        <v>1222709.22</v>
      </c>
      <c r="X24" s="89">
        <v>2274037.7200000002</v>
      </c>
      <c r="Y24" s="89">
        <v>34361118.079999998</v>
      </c>
      <c r="Z24" s="81">
        <v>0.16257949637291297</v>
      </c>
      <c r="AA24" s="89">
        <v>2266212.7200000002</v>
      </c>
      <c r="AB24" s="89">
        <v>0</v>
      </c>
      <c r="AC24" s="89">
        <v>0</v>
      </c>
      <c r="AD24" s="89">
        <v>0</v>
      </c>
      <c r="AE24" s="89">
        <v>0</v>
      </c>
      <c r="AF24" s="89">
        <f t="shared" si="10"/>
        <v>0</v>
      </c>
      <c r="AG24" s="89">
        <v>1203769.03</v>
      </c>
      <c r="AH24" s="88">
        <v>96590.83</v>
      </c>
      <c r="AI24" s="88">
        <v>315506.84000000003</v>
      </c>
      <c r="AJ24" s="89">
        <v>0</v>
      </c>
      <c r="AK24" s="88">
        <v>134097.21</v>
      </c>
      <c r="AL24" s="88">
        <v>5398.14</v>
      </c>
      <c r="AM24" s="88">
        <v>69166.679999999993</v>
      </c>
      <c r="AN24" s="88">
        <v>9500</v>
      </c>
      <c r="AO24" s="88">
        <v>0</v>
      </c>
      <c r="AP24" s="88">
        <v>0</v>
      </c>
      <c r="AQ24" s="88">
        <v>43004.49</v>
      </c>
      <c r="AR24" s="88">
        <v>19700.12</v>
      </c>
      <c r="AS24" s="88">
        <v>0</v>
      </c>
      <c r="AT24" s="88">
        <v>6888.2</v>
      </c>
      <c r="AU24" s="88">
        <v>46178.5</v>
      </c>
      <c r="AV24" s="88">
        <v>77352.05</v>
      </c>
      <c r="AW24" s="88">
        <v>2027152.09</v>
      </c>
      <c r="AX24" s="88">
        <v>0</v>
      </c>
      <c r="AY24" s="81">
        <f t="shared" si="11"/>
        <v>0</v>
      </c>
      <c r="AZ24" s="89">
        <v>0</v>
      </c>
      <c r="BA24" s="81">
        <v>6.4934427712165135E-2</v>
      </c>
      <c r="BB24" s="79">
        <v>2137020.06</v>
      </c>
      <c r="BC24" s="79">
        <v>3537007.35</v>
      </c>
      <c r="BD24" s="80">
        <v>219587</v>
      </c>
      <c r="BE24" s="80">
        <v>0</v>
      </c>
      <c r="BF24" s="80">
        <v>290991.76</v>
      </c>
      <c r="BG24" s="80">
        <v>0</v>
      </c>
      <c r="BH24" s="80">
        <v>0</v>
      </c>
      <c r="BI24" s="80">
        <v>0</v>
      </c>
      <c r="BJ24" s="80">
        <f t="shared" si="12"/>
        <v>0</v>
      </c>
      <c r="BK24" s="80">
        <v>0</v>
      </c>
      <c r="BL24" s="80">
        <v>5801</v>
      </c>
      <c r="BM24" s="80">
        <v>1968</v>
      </c>
      <c r="BN24" s="79">
        <v>45</v>
      </c>
      <c r="BO24" s="79">
        <v>-27</v>
      </c>
      <c r="BP24" s="79">
        <v>-79</v>
      </c>
      <c r="BQ24" s="79">
        <v>-106</v>
      </c>
      <c r="BR24" s="79">
        <v>-495</v>
      </c>
      <c r="BS24" s="79">
        <v>-465</v>
      </c>
      <c r="BT24" s="79">
        <v>47</v>
      </c>
      <c r="BU24" s="79">
        <v>0</v>
      </c>
      <c r="BV24" s="79">
        <v>26</v>
      </c>
      <c r="BW24" s="79">
        <v>-1041</v>
      </c>
      <c r="BX24" s="79">
        <v>-1</v>
      </c>
      <c r="BY24" s="79">
        <v>5673</v>
      </c>
      <c r="BZ24" s="79">
        <v>5</v>
      </c>
      <c r="CA24" s="79">
        <v>197</v>
      </c>
      <c r="CB24" s="79">
        <v>100</v>
      </c>
      <c r="CC24" s="79">
        <v>538</v>
      </c>
      <c r="CD24" s="79">
        <v>172</v>
      </c>
      <c r="CE24" s="79">
        <v>34</v>
      </c>
    </row>
    <row r="25" spans="1:83" s="58" customFormat="1" ht="15.6" customHeight="1" x14ac:dyDescent="0.25">
      <c r="A25" s="51">
        <v>3</v>
      </c>
      <c r="B25" s="52" t="s">
        <v>141</v>
      </c>
      <c r="C25" s="77" t="s">
        <v>142</v>
      </c>
      <c r="D25" s="50" t="s">
        <v>143</v>
      </c>
      <c r="E25" s="41" t="s">
        <v>86</v>
      </c>
      <c r="F25" s="50" t="s">
        <v>135</v>
      </c>
      <c r="G25" s="88">
        <v>39362909.729999997</v>
      </c>
      <c r="H25" s="88">
        <v>0</v>
      </c>
      <c r="I25" s="88">
        <v>656744.53</v>
      </c>
      <c r="J25" s="88">
        <v>0</v>
      </c>
      <c r="K25" s="89">
        <v>0</v>
      </c>
      <c r="L25" s="89">
        <v>40019654.259999998</v>
      </c>
      <c r="M25" s="89">
        <v>0</v>
      </c>
      <c r="N25" s="88">
        <v>3150255.97</v>
      </c>
      <c r="O25" s="88">
        <v>11682544.75</v>
      </c>
      <c r="P25" s="90">
        <v>3513017.49</v>
      </c>
      <c r="Q25" s="88">
        <v>0</v>
      </c>
      <c r="R25" s="88">
        <v>2866856.14</v>
      </c>
      <c r="S25" s="88">
        <v>9225739.4499999993</v>
      </c>
      <c r="T25" s="88">
        <v>4819456.5199999996</v>
      </c>
      <c r="U25" s="88">
        <v>0</v>
      </c>
      <c r="V25" s="88">
        <v>0</v>
      </c>
      <c r="W25" s="88">
        <v>1837324.6</v>
      </c>
      <c r="X25" s="89">
        <v>2212333.2000000002</v>
      </c>
      <c r="Y25" s="89">
        <v>39307528.119999997</v>
      </c>
      <c r="Z25" s="81">
        <v>0.15676484671297242</v>
      </c>
      <c r="AA25" s="89">
        <v>2067132.44</v>
      </c>
      <c r="AB25" s="89">
        <v>0</v>
      </c>
      <c r="AC25" s="89">
        <v>0</v>
      </c>
      <c r="AD25" s="89">
        <v>0</v>
      </c>
      <c r="AE25" s="89">
        <v>0</v>
      </c>
      <c r="AF25" s="89">
        <f t="shared" si="10"/>
        <v>0</v>
      </c>
      <c r="AG25" s="89">
        <v>1046432.48</v>
      </c>
      <c r="AH25" s="88">
        <v>84034.07</v>
      </c>
      <c r="AI25" s="88">
        <v>238456.08</v>
      </c>
      <c r="AJ25" s="89">
        <v>0</v>
      </c>
      <c r="AK25" s="88">
        <v>123552.82</v>
      </c>
      <c r="AL25" s="88">
        <v>3187.55</v>
      </c>
      <c r="AM25" s="88">
        <v>128481.32</v>
      </c>
      <c r="AN25" s="88">
        <v>9500</v>
      </c>
      <c r="AO25" s="88">
        <v>2865.68</v>
      </c>
      <c r="AP25" s="88">
        <v>0</v>
      </c>
      <c r="AQ25" s="88">
        <v>49810.03</v>
      </c>
      <c r="AR25" s="88">
        <v>16589.759999999998</v>
      </c>
      <c r="AS25" s="88">
        <v>0</v>
      </c>
      <c r="AT25" s="88">
        <v>24173.19</v>
      </c>
      <c r="AU25" s="88">
        <v>4806.82</v>
      </c>
      <c r="AV25" s="88">
        <v>79666.149999999994</v>
      </c>
      <c r="AW25" s="88">
        <v>1811555.95</v>
      </c>
      <c r="AX25" s="88">
        <v>0</v>
      </c>
      <c r="AY25" s="81">
        <f t="shared" si="11"/>
        <v>0</v>
      </c>
      <c r="AZ25" s="89">
        <v>0</v>
      </c>
      <c r="BA25" s="81">
        <v>5.2514726532641422E-2</v>
      </c>
      <c r="BB25" s="79">
        <v>1898360.33</v>
      </c>
      <c r="BC25" s="79">
        <v>4272360.18</v>
      </c>
      <c r="BD25" s="80">
        <v>219587</v>
      </c>
      <c r="BE25" s="80">
        <v>0</v>
      </c>
      <c r="BF25" s="80">
        <v>353594.86</v>
      </c>
      <c r="BG25" s="80">
        <v>0</v>
      </c>
      <c r="BH25" s="80">
        <v>0</v>
      </c>
      <c r="BI25" s="80">
        <v>0</v>
      </c>
      <c r="BJ25" s="80">
        <f t="shared" si="12"/>
        <v>0</v>
      </c>
      <c r="BK25" s="80">
        <v>0</v>
      </c>
      <c r="BL25" s="80">
        <v>4684</v>
      </c>
      <c r="BM25" s="80">
        <v>3489</v>
      </c>
      <c r="BN25" s="79">
        <v>200</v>
      </c>
      <c r="BO25" s="79">
        <v>-182</v>
      </c>
      <c r="BP25" s="79">
        <v>-95</v>
      </c>
      <c r="BQ25" s="79">
        <v>-101</v>
      </c>
      <c r="BR25" s="79">
        <v>-1548</v>
      </c>
      <c r="BS25" s="79">
        <v>-649</v>
      </c>
      <c r="BT25" s="79">
        <v>0</v>
      </c>
      <c r="BU25" s="79">
        <v>0</v>
      </c>
      <c r="BV25" s="79">
        <v>33</v>
      </c>
      <c r="BW25" s="79">
        <v>-763</v>
      </c>
      <c r="BX25" s="79">
        <v>0</v>
      </c>
      <c r="BY25" s="79">
        <v>5068</v>
      </c>
      <c r="BZ25" s="79">
        <v>8</v>
      </c>
      <c r="CA25" s="79">
        <v>273</v>
      </c>
      <c r="CB25" s="79">
        <v>41</v>
      </c>
      <c r="CC25" s="79">
        <v>422</v>
      </c>
      <c r="CD25" s="79">
        <v>2</v>
      </c>
      <c r="CE25" s="79">
        <v>26</v>
      </c>
    </row>
    <row r="26" spans="1:83" s="58" customFormat="1" ht="15.6" customHeight="1" x14ac:dyDescent="0.25">
      <c r="A26" s="51">
        <v>3</v>
      </c>
      <c r="B26" s="52" t="s">
        <v>144</v>
      </c>
      <c r="C26" s="77" t="s">
        <v>111</v>
      </c>
      <c r="D26" s="50" t="s">
        <v>145</v>
      </c>
      <c r="E26" s="41" t="s">
        <v>86</v>
      </c>
      <c r="F26" s="50" t="s">
        <v>146</v>
      </c>
      <c r="G26" s="88">
        <v>14535949.35</v>
      </c>
      <c r="H26" s="88">
        <v>142035.34</v>
      </c>
      <c r="I26" s="88">
        <v>0</v>
      </c>
      <c r="J26" s="88">
        <v>0</v>
      </c>
      <c r="K26" s="89">
        <v>0</v>
      </c>
      <c r="L26" s="89">
        <v>14677984.689999999</v>
      </c>
      <c r="M26" s="89">
        <v>0</v>
      </c>
      <c r="N26" s="88">
        <v>0</v>
      </c>
      <c r="O26" s="88">
        <v>2433572.0699999998</v>
      </c>
      <c r="P26" s="90">
        <v>5049309.16</v>
      </c>
      <c r="Q26" s="88">
        <v>0</v>
      </c>
      <c r="R26" s="88">
        <v>1594286.32</v>
      </c>
      <c r="S26" s="88">
        <v>1837481.34</v>
      </c>
      <c r="T26" s="88">
        <v>1717367.53</v>
      </c>
      <c r="U26" s="88">
        <v>0</v>
      </c>
      <c r="V26" s="88">
        <v>0</v>
      </c>
      <c r="W26" s="88">
        <v>413984.53</v>
      </c>
      <c r="X26" s="89">
        <v>1105130.54</v>
      </c>
      <c r="Y26" s="89">
        <v>14151131.49</v>
      </c>
      <c r="Z26" s="81">
        <v>0.13398628364422965</v>
      </c>
      <c r="AA26" s="89">
        <v>1105130.54</v>
      </c>
      <c r="AB26" s="89">
        <v>0</v>
      </c>
      <c r="AC26" s="89">
        <v>0</v>
      </c>
      <c r="AD26" s="89">
        <v>0</v>
      </c>
      <c r="AE26" s="89">
        <v>0</v>
      </c>
      <c r="AF26" s="89">
        <f t="shared" si="10"/>
        <v>0</v>
      </c>
      <c r="AG26" s="89">
        <v>398231.34</v>
      </c>
      <c r="AH26" s="88">
        <v>31339.15</v>
      </c>
      <c r="AI26" s="88">
        <v>68790.880000000005</v>
      </c>
      <c r="AJ26" s="89">
        <v>0</v>
      </c>
      <c r="AK26" s="88">
        <v>62097.3</v>
      </c>
      <c r="AL26" s="88">
        <v>40935.629999999997</v>
      </c>
      <c r="AM26" s="88">
        <v>91355.12</v>
      </c>
      <c r="AN26" s="88">
        <v>9500</v>
      </c>
      <c r="AO26" s="88">
        <v>924.02</v>
      </c>
      <c r="AP26" s="88">
        <v>0</v>
      </c>
      <c r="AQ26" s="88">
        <v>32216.53</v>
      </c>
      <c r="AR26" s="88">
        <v>7809.5</v>
      </c>
      <c r="AS26" s="88">
        <v>0</v>
      </c>
      <c r="AT26" s="88">
        <v>5590</v>
      </c>
      <c r="AU26" s="88">
        <v>16305.07</v>
      </c>
      <c r="AV26" s="88">
        <v>27465.72</v>
      </c>
      <c r="AW26" s="88">
        <v>792560.26</v>
      </c>
      <c r="AX26" s="88">
        <v>0</v>
      </c>
      <c r="AY26" s="81">
        <f t="shared" si="11"/>
        <v>0</v>
      </c>
      <c r="AZ26" s="89">
        <v>0</v>
      </c>
      <c r="BA26" s="81">
        <v>7.6027407181354825E-2</v>
      </c>
      <c r="BB26" s="79">
        <v>371693.87</v>
      </c>
      <c r="BC26" s="79">
        <v>1594954.75</v>
      </c>
      <c r="BD26" s="80">
        <v>219587</v>
      </c>
      <c r="BE26" s="80">
        <v>0</v>
      </c>
      <c r="BF26" s="80">
        <v>182696.850000001</v>
      </c>
      <c r="BG26" s="80">
        <v>0</v>
      </c>
      <c r="BH26" s="80">
        <v>0</v>
      </c>
      <c r="BI26" s="80">
        <v>0</v>
      </c>
      <c r="BJ26" s="80">
        <f t="shared" si="12"/>
        <v>0</v>
      </c>
      <c r="BK26" s="80">
        <v>0</v>
      </c>
      <c r="BL26" s="80">
        <v>2806</v>
      </c>
      <c r="BM26" s="80">
        <v>906</v>
      </c>
      <c r="BN26" s="79">
        <v>68</v>
      </c>
      <c r="BO26" s="79">
        <v>-71</v>
      </c>
      <c r="BP26" s="79">
        <v>-23</v>
      </c>
      <c r="BQ26" s="79">
        <v>-37</v>
      </c>
      <c r="BR26" s="79">
        <v>-213</v>
      </c>
      <c r="BS26" s="79">
        <v>-270</v>
      </c>
      <c r="BT26" s="79">
        <v>13</v>
      </c>
      <c r="BU26" s="79">
        <v>-1</v>
      </c>
      <c r="BV26" s="79">
        <v>-35</v>
      </c>
      <c r="BW26" s="79">
        <v>-438</v>
      </c>
      <c r="BX26" s="79">
        <v>0</v>
      </c>
      <c r="BY26" s="79">
        <v>2705</v>
      </c>
      <c r="BZ26" s="79">
        <v>45</v>
      </c>
      <c r="CA26" s="79">
        <v>61</v>
      </c>
      <c r="CB26" s="79">
        <v>23</v>
      </c>
      <c r="CC26" s="79">
        <v>275</v>
      </c>
      <c r="CD26" s="79">
        <v>76</v>
      </c>
      <c r="CE26" s="79">
        <v>3</v>
      </c>
    </row>
    <row r="27" spans="1:83" s="58" customFormat="1" ht="15.6" customHeight="1" x14ac:dyDescent="0.25">
      <c r="A27" s="51">
        <v>3</v>
      </c>
      <c r="B27" s="52" t="s">
        <v>147</v>
      </c>
      <c r="C27" s="77" t="s">
        <v>148</v>
      </c>
      <c r="D27" s="50" t="s">
        <v>149</v>
      </c>
      <c r="E27" s="50" t="s">
        <v>109</v>
      </c>
      <c r="F27" s="50" t="s">
        <v>140</v>
      </c>
      <c r="G27" s="88">
        <v>35386154.020000003</v>
      </c>
      <c r="H27" s="88">
        <v>-1842.98</v>
      </c>
      <c r="I27" s="88">
        <v>434241.05</v>
      </c>
      <c r="J27" s="88">
        <v>0</v>
      </c>
      <c r="K27" s="89">
        <v>0</v>
      </c>
      <c r="L27" s="89">
        <v>35818552.090000004</v>
      </c>
      <c r="M27" s="89">
        <v>0</v>
      </c>
      <c r="N27" s="88">
        <v>0</v>
      </c>
      <c r="O27" s="88">
        <v>7929567.0999999996</v>
      </c>
      <c r="P27" s="90">
        <v>7452075.0800000001</v>
      </c>
      <c r="Q27" s="88">
        <v>29589.599999999999</v>
      </c>
      <c r="R27" s="88">
        <v>2871845.14</v>
      </c>
      <c r="S27" s="88">
        <v>7118105.9400000004</v>
      </c>
      <c r="T27" s="88">
        <v>3868689.28</v>
      </c>
      <c r="U27" s="88">
        <v>0</v>
      </c>
      <c r="V27" s="88">
        <v>0</v>
      </c>
      <c r="W27" s="88">
        <v>2112394.54</v>
      </c>
      <c r="X27" s="89">
        <v>2564098.02</v>
      </c>
      <c r="Y27" s="89">
        <v>33946364.700000003</v>
      </c>
      <c r="Z27" s="81">
        <v>0.24582733008894556</v>
      </c>
      <c r="AA27" s="89">
        <v>2564098.02</v>
      </c>
      <c r="AB27" s="89">
        <v>0</v>
      </c>
      <c r="AC27" s="89">
        <v>0</v>
      </c>
      <c r="AD27" s="89">
        <v>0</v>
      </c>
      <c r="AE27" s="89">
        <v>0</v>
      </c>
      <c r="AF27" s="89">
        <f t="shared" si="10"/>
        <v>0</v>
      </c>
      <c r="AG27" s="89">
        <v>1357415.52</v>
      </c>
      <c r="AH27" s="88">
        <v>108106.16</v>
      </c>
      <c r="AI27" s="88">
        <v>368347.36</v>
      </c>
      <c r="AJ27" s="89">
        <v>0</v>
      </c>
      <c r="AK27" s="88">
        <v>228763.43</v>
      </c>
      <c r="AL27" s="88">
        <v>6362.11</v>
      </c>
      <c r="AM27" s="88">
        <v>113795.56</v>
      </c>
      <c r="AN27" s="88">
        <v>9500</v>
      </c>
      <c r="AO27" s="88">
        <v>0</v>
      </c>
      <c r="AP27" s="88">
        <v>0</v>
      </c>
      <c r="AQ27" s="88">
        <v>45670.880000000005</v>
      </c>
      <c r="AR27" s="88">
        <v>20709.36</v>
      </c>
      <c r="AS27" s="88">
        <v>0</v>
      </c>
      <c r="AT27" s="88">
        <v>23727.3</v>
      </c>
      <c r="AU27" s="88">
        <v>58.66</v>
      </c>
      <c r="AV27" s="88">
        <v>77733.709999999992</v>
      </c>
      <c r="AW27" s="88">
        <v>2360190.0499999998</v>
      </c>
      <c r="AX27" s="88">
        <v>0</v>
      </c>
      <c r="AY27" s="81">
        <f t="shared" si="11"/>
        <v>0</v>
      </c>
      <c r="AZ27" s="89">
        <v>0</v>
      </c>
      <c r="BA27" s="81">
        <v>7.2460488883612215E-2</v>
      </c>
      <c r="BB27" s="79">
        <v>5065224.88</v>
      </c>
      <c r="BC27" s="79">
        <v>3633205.83</v>
      </c>
      <c r="BD27" s="80">
        <v>197233.08</v>
      </c>
      <c r="BE27" s="80">
        <v>0</v>
      </c>
      <c r="BF27" s="80">
        <v>478178.39999999898</v>
      </c>
      <c r="BG27" s="80">
        <v>0</v>
      </c>
      <c r="BH27" s="80">
        <v>0</v>
      </c>
      <c r="BI27" s="80">
        <v>0</v>
      </c>
      <c r="BJ27" s="80">
        <f t="shared" si="12"/>
        <v>0</v>
      </c>
      <c r="BK27" s="80">
        <v>0</v>
      </c>
      <c r="BL27" s="80">
        <v>5610</v>
      </c>
      <c r="BM27" s="80">
        <v>2239</v>
      </c>
      <c r="BN27" s="79">
        <v>128</v>
      </c>
      <c r="BO27" s="79">
        <v>-139</v>
      </c>
      <c r="BP27" s="79">
        <v>-73</v>
      </c>
      <c r="BQ27" s="79">
        <v>-47</v>
      </c>
      <c r="BR27" s="79">
        <v>-1363</v>
      </c>
      <c r="BS27" s="79">
        <v>-695</v>
      </c>
      <c r="BT27" s="79">
        <v>20</v>
      </c>
      <c r="BU27" s="79">
        <v>0</v>
      </c>
      <c r="BV27" s="79">
        <v>177</v>
      </c>
      <c r="BW27" s="79">
        <v>-784</v>
      </c>
      <c r="BX27" s="79">
        <v>-1</v>
      </c>
      <c r="BY27" s="79">
        <v>5072</v>
      </c>
      <c r="BZ27" s="79">
        <v>6</v>
      </c>
      <c r="CA27" s="79">
        <v>232</v>
      </c>
      <c r="CB27" s="79">
        <v>47</v>
      </c>
      <c r="CC27" s="79">
        <v>417</v>
      </c>
      <c r="CD27" s="79">
        <v>51</v>
      </c>
      <c r="CE27" s="79">
        <v>30</v>
      </c>
    </row>
    <row r="28" spans="1:83" s="58" customFormat="1" ht="15.6" customHeight="1" x14ac:dyDescent="0.25">
      <c r="A28" s="51">
        <v>3</v>
      </c>
      <c r="B28" s="52" t="s">
        <v>583</v>
      </c>
      <c r="C28" s="77" t="s">
        <v>150</v>
      </c>
      <c r="D28" s="50" t="s">
        <v>151</v>
      </c>
      <c r="E28" s="50" t="s">
        <v>109</v>
      </c>
      <c r="F28" s="50" t="s">
        <v>140</v>
      </c>
      <c r="G28" s="89">
        <f>3491612+14299528</f>
        <v>17791140</v>
      </c>
      <c r="H28" s="89">
        <v>0</v>
      </c>
      <c r="I28" s="89">
        <f>23396-27712+19342+255652</f>
        <v>270678</v>
      </c>
      <c r="J28" s="89">
        <v>0</v>
      </c>
      <c r="K28" s="89">
        <v>0</v>
      </c>
      <c r="L28" s="89">
        <f>3534351+14527468</f>
        <v>18061819</v>
      </c>
      <c r="M28" s="89">
        <v>0</v>
      </c>
      <c r="N28" s="89">
        <v>0</v>
      </c>
      <c r="O28" s="89">
        <f>1033479+3157419</f>
        <v>4190898</v>
      </c>
      <c r="P28" s="89">
        <f>585459+1929652</f>
        <v>2515111</v>
      </c>
      <c r="Q28" s="89">
        <v>0</v>
      </c>
      <c r="R28" s="89">
        <f>363409+895698</f>
        <v>1259107</v>
      </c>
      <c r="S28" s="89">
        <f>1110202+2861027</f>
        <v>3971229</v>
      </c>
      <c r="T28" s="89">
        <f>627967+1616515</f>
        <v>2244482</v>
      </c>
      <c r="U28" s="89">
        <v>0</v>
      </c>
      <c r="V28" s="89">
        <v>0</v>
      </c>
      <c r="W28" s="89">
        <f>306276+899642</f>
        <v>1205918</v>
      </c>
      <c r="X28" s="89">
        <f>14558+16989+172806+1312086</f>
        <v>1516439</v>
      </c>
      <c r="Y28" s="89">
        <f>4215157+12689027</f>
        <v>16904184</v>
      </c>
      <c r="Z28" s="81">
        <f>4903238/(3491612+14299528)</f>
        <v>0.27559998965777349</v>
      </c>
      <c r="AA28" s="89">
        <f>251845+1234047</f>
        <v>1485892</v>
      </c>
      <c r="AB28" s="89">
        <v>0</v>
      </c>
      <c r="AC28" s="89">
        <v>0</v>
      </c>
      <c r="AD28" s="89">
        <v>0</v>
      </c>
      <c r="AE28" s="89">
        <f>60+205</f>
        <v>265</v>
      </c>
      <c r="AF28" s="89">
        <f t="shared" si="8"/>
        <v>265</v>
      </c>
      <c r="AG28" s="89">
        <f>148327+612237</f>
        <v>760564</v>
      </c>
      <c r="AH28" s="89">
        <f>11924+53267</f>
        <v>65191</v>
      </c>
      <c r="AI28" s="89">
        <f>63830+86599</f>
        <v>150429</v>
      </c>
      <c r="AJ28" s="89">
        <v>6101</v>
      </c>
      <c r="AK28" s="89">
        <f>22115+100162</f>
        <v>122277</v>
      </c>
      <c r="AL28" s="89">
        <f>757+4643</f>
        <v>5400</v>
      </c>
      <c r="AM28" s="89">
        <f>10698+79529</f>
        <v>90227</v>
      </c>
      <c r="AN28" s="89">
        <v>9500</v>
      </c>
      <c r="AO28" s="89">
        <f>798+3069</f>
        <v>3867</v>
      </c>
      <c r="AP28" s="89">
        <v>0</v>
      </c>
      <c r="AQ28" s="89">
        <f>770+3674+2183+6754+4255+16157</f>
        <v>33793</v>
      </c>
      <c r="AR28" s="89">
        <f>1018+8179</f>
        <v>9197</v>
      </c>
      <c r="AS28" s="89">
        <v>0</v>
      </c>
      <c r="AT28" s="89">
        <v>27891</v>
      </c>
      <c r="AU28" s="89">
        <v>0</v>
      </c>
      <c r="AV28" s="89">
        <v>57482</v>
      </c>
      <c r="AW28" s="89">
        <f>290437+1052526</f>
        <v>1342963</v>
      </c>
      <c r="AX28" s="89">
        <v>0</v>
      </c>
      <c r="AY28" s="81">
        <f t="shared" si="9"/>
        <v>0</v>
      </c>
      <c r="AZ28" s="89">
        <v>0</v>
      </c>
      <c r="BA28" s="81">
        <f>(251845+1234047)/(3491612+14299528)</f>
        <v>8.3518650294472419E-2</v>
      </c>
      <c r="BB28" s="89">
        <v>3000816</v>
      </c>
      <c r="BC28" s="89">
        <v>1902421</v>
      </c>
      <c r="BD28" s="89">
        <f>23162+182989</f>
        <v>206151</v>
      </c>
      <c r="BE28" s="89">
        <v>0</v>
      </c>
      <c r="BF28" s="89">
        <v>199035</v>
      </c>
      <c r="BG28" s="89">
        <v>0</v>
      </c>
      <c r="BH28" s="89">
        <v>0</v>
      </c>
      <c r="BI28" s="89">
        <v>0</v>
      </c>
      <c r="BJ28" s="89">
        <f t="shared" si="12"/>
        <v>0</v>
      </c>
      <c r="BK28" s="89">
        <v>0</v>
      </c>
      <c r="BL28" s="80">
        <v>2957</v>
      </c>
      <c r="BM28" s="80">
        <v>1791</v>
      </c>
      <c r="BN28" s="80">
        <v>77</v>
      </c>
      <c r="BO28" s="80">
        <v>-101</v>
      </c>
      <c r="BP28" s="80">
        <v>-69</v>
      </c>
      <c r="BQ28" s="80">
        <v>-42</v>
      </c>
      <c r="BR28" s="80">
        <v>-666</v>
      </c>
      <c r="BS28" s="80">
        <v>-274</v>
      </c>
      <c r="BT28" s="80">
        <v>23</v>
      </c>
      <c r="BU28" s="80">
        <v>-137</v>
      </c>
      <c r="BV28" s="80">
        <v>0</v>
      </c>
      <c r="BW28" s="80">
        <v>-421</v>
      </c>
      <c r="BX28" s="80">
        <v>-1</v>
      </c>
      <c r="BY28" s="80">
        <v>3137</v>
      </c>
      <c r="BZ28" s="80">
        <v>5</v>
      </c>
      <c r="CA28" s="80">
        <v>133</v>
      </c>
      <c r="CB28" s="80">
        <v>46</v>
      </c>
      <c r="CC28" s="80">
        <v>185</v>
      </c>
      <c r="CD28" s="80">
        <v>50</v>
      </c>
      <c r="CE28" s="80">
        <v>8</v>
      </c>
    </row>
    <row r="29" spans="1:83" s="83" customFormat="1" ht="15.6" customHeight="1" x14ac:dyDescent="0.25">
      <c r="A29" s="32">
        <v>3</v>
      </c>
      <c r="B29" s="33" t="s">
        <v>152</v>
      </c>
      <c r="C29" s="75" t="s">
        <v>114</v>
      </c>
      <c r="D29" s="34" t="s">
        <v>153</v>
      </c>
      <c r="E29" s="35" t="s">
        <v>86</v>
      </c>
      <c r="F29" s="34" t="s">
        <v>135</v>
      </c>
      <c r="G29" s="90">
        <v>44000755.210000001</v>
      </c>
      <c r="H29" s="90">
        <v>763.6</v>
      </c>
      <c r="I29" s="90">
        <v>1332955.96</v>
      </c>
      <c r="J29" s="90">
        <v>0</v>
      </c>
      <c r="K29" s="90">
        <v>488.97</v>
      </c>
      <c r="L29" s="90">
        <v>45334963.740000002</v>
      </c>
      <c r="M29" s="90">
        <v>0</v>
      </c>
      <c r="N29" s="90">
        <v>247242.18</v>
      </c>
      <c r="O29" s="90">
        <v>12239470.75</v>
      </c>
      <c r="P29" s="90">
        <v>4888798.76</v>
      </c>
      <c r="Q29" s="90">
        <v>0</v>
      </c>
      <c r="R29" s="90">
        <v>3370012.6</v>
      </c>
      <c r="S29" s="90">
        <v>13345827.65</v>
      </c>
      <c r="T29" s="90">
        <v>5746775.1200000001</v>
      </c>
      <c r="U29" s="90">
        <v>0</v>
      </c>
      <c r="V29" s="90">
        <v>0</v>
      </c>
      <c r="W29" s="90">
        <v>2734349.56</v>
      </c>
      <c r="X29" s="90">
        <v>2860507.12</v>
      </c>
      <c r="Y29" s="90">
        <v>45432983.740000002</v>
      </c>
      <c r="Z29" s="93">
        <v>0.21296230933443092</v>
      </c>
      <c r="AA29" s="90">
        <v>2860018.15</v>
      </c>
      <c r="AB29" s="90">
        <v>0</v>
      </c>
      <c r="AC29" s="90">
        <v>0</v>
      </c>
      <c r="AD29" s="90">
        <v>488.97</v>
      </c>
      <c r="AE29" s="90">
        <v>0</v>
      </c>
      <c r="AF29" s="90">
        <f t="shared" ref="AF29:AF60" si="13">SUM(AD29:AE29)</f>
        <v>488.97</v>
      </c>
      <c r="AG29" s="90">
        <v>1530022.35</v>
      </c>
      <c r="AH29" s="90">
        <v>131396.07</v>
      </c>
      <c r="AI29" s="90">
        <v>351367.66</v>
      </c>
      <c r="AJ29" s="90">
        <v>0</v>
      </c>
      <c r="AK29" s="90">
        <v>193871.76</v>
      </c>
      <c r="AL29" s="90">
        <v>6925.96</v>
      </c>
      <c r="AM29" s="90">
        <v>69293.119999999995</v>
      </c>
      <c r="AN29" s="90">
        <v>9500</v>
      </c>
      <c r="AO29" s="90">
        <v>3677.52</v>
      </c>
      <c r="AP29" s="90">
        <v>0</v>
      </c>
      <c r="AQ29" s="90">
        <v>65484.520000000004</v>
      </c>
      <c r="AR29" s="90">
        <v>33367.81</v>
      </c>
      <c r="AS29" s="90">
        <v>0</v>
      </c>
      <c r="AT29" s="90">
        <v>8997.7999999999993</v>
      </c>
      <c r="AU29" s="90">
        <v>0</v>
      </c>
      <c r="AV29" s="90">
        <v>128292.59</v>
      </c>
      <c r="AW29" s="90">
        <v>2532197.16</v>
      </c>
      <c r="AX29" s="90">
        <v>0</v>
      </c>
      <c r="AY29" s="93">
        <f t="shared" ref="AY29:AY60" si="14">AX29/AW29</f>
        <v>0</v>
      </c>
      <c r="AZ29" s="90">
        <v>1175</v>
      </c>
      <c r="BA29" s="93">
        <v>6.4999296860932212E-2</v>
      </c>
      <c r="BB29" s="91">
        <v>2813618.83</v>
      </c>
      <c r="BC29" s="91">
        <v>6557046.2300000004</v>
      </c>
      <c r="BD29" s="91">
        <v>219587</v>
      </c>
      <c r="BE29" s="91">
        <v>0</v>
      </c>
      <c r="BF29" s="91">
        <v>575767.21</v>
      </c>
      <c r="BG29" s="91">
        <v>0</v>
      </c>
      <c r="BH29" s="91">
        <v>0</v>
      </c>
      <c r="BI29" s="91">
        <v>0</v>
      </c>
      <c r="BJ29" s="91">
        <f t="shared" ref="BJ29:BJ60" si="15">SUM(BH29:BI29)</f>
        <v>0</v>
      </c>
      <c r="BK29" s="91">
        <v>0</v>
      </c>
      <c r="BL29" s="91">
        <v>6851</v>
      </c>
      <c r="BM29" s="91">
        <v>3496</v>
      </c>
      <c r="BN29" s="91">
        <v>108</v>
      </c>
      <c r="BO29" s="91">
        <v>-7</v>
      </c>
      <c r="BP29" s="91">
        <v>-115</v>
      </c>
      <c r="BQ29" s="91">
        <v>-155</v>
      </c>
      <c r="BR29" s="91">
        <v>-1774</v>
      </c>
      <c r="BS29" s="91">
        <v>-721</v>
      </c>
      <c r="BT29" s="91">
        <v>0</v>
      </c>
      <c r="BU29" s="91">
        <v>-1</v>
      </c>
      <c r="BV29" s="91">
        <v>-15</v>
      </c>
      <c r="BW29" s="91">
        <v>-1111</v>
      </c>
      <c r="BX29" s="91">
        <v>-1</v>
      </c>
      <c r="BY29" s="91">
        <v>6555</v>
      </c>
      <c r="BZ29" s="91">
        <v>13</v>
      </c>
      <c r="CA29" s="91">
        <v>364</v>
      </c>
      <c r="CB29" s="91">
        <v>102</v>
      </c>
      <c r="CC29" s="91">
        <v>544</v>
      </c>
      <c r="CD29" s="91">
        <v>65</v>
      </c>
      <c r="CE29" s="91">
        <v>33</v>
      </c>
    </row>
    <row r="30" spans="1:83" s="58" customFormat="1" ht="15.6" customHeight="1" x14ac:dyDescent="0.25">
      <c r="A30" s="51">
        <v>3</v>
      </c>
      <c r="B30" s="52" t="s">
        <v>154</v>
      </c>
      <c r="C30" s="77" t="s">
        <v>155</v>
      </c>
      <c r="D30" s="50" t="s">
        <v>156</v>
      </c>
      <c r="E30" s="50" t="s">
        <v>116</v>
      </c>
      <c r="F30" s="50" t="s">
        <v>140</v>
      </c>
      <c r="G30" s="88">
        <v>99251131.260000005</v>
      </c>
      <c r="H30" s="88">
        <v>0</v>
      </c>
      <c r="I30" s="88">
        <v>1580382.75</v>
      </c>
      <c r="J30" s="88">
        <v>58113.279999999999</v>
      </c>
      <c r="K30" s="89">
        <v>0</v>
      </c>
      <c r="L30" s="89">
        <v>100889627.29000001</v>
      </c>
      <c r="M30" s="89">
        <v>1236175.08</v>
      </c>
      <c r="N30" s="88">
        <v>46015591.270000003</v>
      </c>
      <c r="O30" s="88">
        <v>5096956.26</v>
      </c>
      <c r="P30" s="90">
        <v>18602863.559999999</v>
      </c>
      <c r="Q30" s="88">
        <v>33829.06</v>
      </c>
      <c r="R30" s="88">
        <v>4965586.8499999996</v>
      </c>
      <c r="S30" s="88">
        <v>9057686.3200000003</v>
      </c>
      <c r="T30" s="88">
        <v>6906716.1200000001</v>
      </c>
      <c r="U30" s="88">
        <v>0</v>
      </c>
      <c r="V30" s="88">
        <v>0</v>
      </c>
      <c r="W30" s="88">
        <v>3609988.92</v>
      </c>
      <c r="X30" s="89">
        <v>4854974.8899999997</v>
      </c>
      <c r="Y30" s="89">
        <v>99144193.25</v>
      </c>
      <c r="Z30" s="81">
        <v>0.16402949874044589</v>
      </c>
      <c r="AA30" s="89">
        <v>4374535.38</v>
      </c>
      <c r="AB30" s="89">
        <v>0</v>
      </c>
      <c r="AC30" s="89">
        <v>0</v>
      </c>
      <c r="AD30" s="89">
        <v>0</v>
      </c>
      <c r="AE30" s="89">
        <v>0</v>
      </c>
      <c r="AF30" s="89">
        <f t="shared" si="13"/>
        <v>0</v>
      </c>
      <c r="AG30" s="89">
        <v>2250330.02</v>
      </c>
      <c r="AH30" s="88">
        <v>213685.7</v>
      </c>
      <c r="AI30" s="88">
        <v>554479.15</v>
      </c>
      <c r="AJ30" s="89">
        <v>0</v>
      </c>
      <c r="AK30" s="88">
        <v>557904.68999999994</v>
      </c>
      <c r="AL30" s="88">
        <v>6318.38</v>
      </c>
      <c r="AM30" s="88">
        <v>86480.97</v>
      </c>
      <c r="AN30" s="88">
        <v>9500</v>
      </c>
      <c r="AO30" s="88">
        <v>28012.5</v>
      </c>
      <c r="AP30" s="88">
        <v>0</v>
      </c>
      <c r="AQ30" s="88">
        <v>198788.47</v>
      </c>
      <c r="AR30" s="88">
        <v>51296.47</v>
      </c>
      <c r="AS30" s="88">
        <v>0</v>
      </c>
      <c r="AT30" s="88">
        <v>27241.99</v>
      </c>
      <c r="AU30" s="88">
        <v>33852.33</v>
      </c>
      <c r="AV30" s="88">
        <v>185212.29</v>
      </c>
      <c r="AW30" s="88">
        <v>4203102.96</v>
      </c>
      <c r="AX30" s="88">
        <v>0</v>
      </c>
      <c r="AY30" s="81">
        <f t="shared" si="14"/>
        <v>0</v>
      </c>
      <c r="AZ30" s="89">
        <v>0</v>
      </c>
      <c r="BA30" s="81">
        <v>4.3533213689684415E-2</v>
      </c>
      <c r="BB30" s="79">
        <v>1101240.6599999999</v>
      </c>
      <c r="BC30" s="79">
        <v>15178872.65</v>
      </c>
      <c r="BD30" s="80">
        <v>219587</v>
      </c>
      <c r="BE30" s="80">
        <v>0</v>
      </c>
      <c r="BF30" s="80">
        <v>930166.75</v>
      </c>
      <c r="BG30" s="80">
        <v>0</v>
      </c>
      <c r="BH30" s="80">
        <v>0</v>
      </c>
      <c r="BI30" s="80">
        <v>0</v>
      </c>
      <c r="BJ30" s="80">
        <f t="shared" si="15"/>
        <v>0</v>
      </c>
      <c r="BK30" s="80">
        <v>0</v>
      </c>
      <c r="BL30" s="80">
        <v>6437</v>
      </c>
      <c r="BM30" s="80">
        <v>2528</v>
      </c>
      <c r="BN30" s="79">
        <v>0</v>
      </c>
      <c r="BO30" s="79">
        <v>0</v>
      </c>
      <c r="BP30" s="79">
        <v>-38</v>
      </c>
      <c r="BQ30" s="79">
        <v>-143</v>
      </c>
      <c r="BR30" s="79">
        <v>-378</v>
      </c>
      <c r="BS30" s="79">
        <v>-891</v>
      </c>
      <c r="BT30" s="79">
        <v>40</v>
      </c>
      <c r="BU30" s="79">
        <v>-1</v>
      </c>
      <c r="BV30" s="79">
        <v>0</v>
      </c>
      <c r="BW30" s="79">
        <v>-1011</v>
      </c>
      <c r="BX30" s="79">
        <v>-6</v>
      </c>
      <c r="BY30" s="79">
        <v>6537</v>
      </c>
      <c r="BZ30" s="79">
        <v>3</v>
      </c>
      <c r="CA30" s="79">
        <v>249</v>
      </c>
      <c r="CB30" s="79">
        <v>87</v>
      </c>
      <c r="CC30" s="79">
        <v>500</v>
      </c>
      <c r="CD30" s="79">
        <v>147</v>
      </c>
      <c r="CE30" s="79">
        <v>28</v>
      </c>
    </row>
    <row r="31" spans="1:83" ht="15.6" customHeight="1" x14ac:dyDescent="0.25">
      <c r="A31" s="36">
        <v>4</v>
      </c>
      <c r="B31" s="40" t="s">
        <v>157</v>
      </c>
      <c r="C31" s="65" t="s">
        <v>158</v>
      </c>
      <c r="D31" s="40" t="s">
        <v>159</v>
      </c>
      <c r="E31" s="40" t="s">
        <v>109</v>
      </c>
      <c r="F31" s="40" t="s">
        <v>160</v>
      </c>
      <c r="G31" s="88">
        <v>31172442.969999999</v>
      </c>
      <c r="H31" s="88">
        <v>0</v>
      </c>
      <c r="I31" s="88">
        <v>484864.87</v>
      </c>
      <c r="J31" s="88">
        <v>0</v>
      </c>
      <c r="K31" s="89">
        <v>0</v>
      </c>
      <c r="L31" s="89">
        <v>31657307.84</v>
      </c>
      <c r="M31" s="89">
        <v>0</v>
      </c>
      <c r="N31" s="88">
        <v>104806.79</v>
      </c>
      <c r="O31" s="88">
        <v>2772473.92</v>
      </c>
      <c r="P31" s="90">
        <v>10409022.119999999</v>
      </c>
      <c r="Q31" s="88">
        <v>185675.27</v>
      </c>
      <c r="R31" s="88">
        <v>2402347.16</v>
      </c>
      <c r="S31" s="88">
        <v>7513707.9400000004</v>
      </c>
      <c r="T31" s="88">
        <v>6152380.04</v>
      </c>
      <c r="U31" s="88">
        <v>0</v>
      </c>
      <c r="V31" s="88">
        <v>0</v>
      </c>
      <c r="W31" s="88">
        <v>572304.89</v>
      </c>
      <c r="X31" s="89">
        <v>1817298.3</v>
      </c>
      <c r="Y31" s="89">
        <v>31930016.43</v>
      </c>
      <c r="Z31" s="81">
        <v>8.2066939458739829E-2</v>
      </c>
      <c r="AA31" s="89">
        <v>1807760.58</v>
      </c>
      <c r="AB31" s="89">
        <v>0</v>
      </c>
      <c r="AC31" s="89">
        <v>0</v>
      </c>
      <c r="AD31" s="89">
        <v>0</v>
      </c>
      <c r="AE31" s="89">
        <v>221.84</v>
      </c>
      <c r="AF31" s="89">
        <f t="shared" si="13"/>
        <v>221.84</v>
      </c>
      <c r="AG31" s="89">
        <v>808452.84</v>
      </c>
      <c r="AH31" s="88">
        <v>59942.55</v>
      </c>
      <c r="AI31" s="88">
        <v>239295.17</v>
      </c>
      <c r="AJ31" s="89">
        <v>0</v>
      </c>
      <c r="AK31" s="88">
        <v>123839.78</v>
      </c>
      <c r="AL31" s="88">
        <v>26227.919999999998</v>
      </c>
      <c r="AM31" s="88">
        <v>122847.67</v>
      </c>
      <c r="AN31" s="88">
        <v>12200</v>
      </c>
      <c r="AO31" s="88">
        <v>0</v>
      </c>
      <c r="AP31" s="88">
        <v>0</v>
      </c>
      <c r="AQ31" s="88">
        <v>48398.44</v>
      </c>
      <c r="AR31" s="88">
        <v>18744.88</v>
      </c>
      <c r="AS31" s="88">
        <v>0</v>
      </c>
      <c r="AT31" s="88">
        <v>18970.07</v>
      </c>
      <c r="AU31" s="88">
        <v>87152.34</v>
      </c>
      <c r="AV31" s="88">
        <v>63222.21</v>
      </c>
      <c r="AW31" s="88">
        <v>1629293.87</v>
      </c>
      <c r="AX31" s="88">
        <v>0</v>
      </c>
      <c r="AY31" s="81">
        <f t="shared" si="14"/>
        <v>0</v>
      </c>
      <c r="AZ31" s="89">
        <v>0</v>
      </c>
      <c r="BA31" s="81">
        <v>5.7992265211288321E-2</v>
      </c>
      <c r="BB31" s="79">
        <v>479132.41</v>
      </c>
      <c r="BC31" s="79">
        <v>2079094.58</v>
      </c>
      <c r="BD31" s="80">
        <v>219587</v>
      </c>
      <c r="BE31" s="80">
        <v>0</v>
      </c>
      <c r="BF31" s="80">
        <v>300644.76</v>
      </c>
      <c r="BG31" s="80">
        <v>0</v>
      </c>
      <c r="BH31" s="80">
        <v>0</v>
      </c>
      <c r="BI31" s="80">
        <v>0</v>
      </c>
      <c r="BJ31" s="80">
        <f t="shared" si="15"/>
        <v>0</v>
      </c>
      <c r="BK31" s="80">
        <v>0</v>
      </c>
      <c r="BL31" s="80">
        <v>5268</v>
      </c>
      <c r="BM31" s="80">
        <v>1523</v>
      </c>
      <c r="BN31" s="79">
        <v>0</v>
      </c>
      <c r="BO31" s="79">
        <v>0</v>
      </c>
      <c r="BP31" s="79">
        <v>-26</v>
      </c>
      <c r="BQ31" s="79">
        <v>-137</v>
      </c>
      <c r="BR31" s="79">
        <v>-144</v>
      </c>
      <c r="BS31" s="79">
        <v>-450</v>
      </c>
      <c r="BT31" s="79">
        <v>0</v>
      </c>
      <c r="BU31" s="79">
        <v>-1</v>
      </c>
      <c r="BV31" s="79">
        <v>0</v>
      </c>
      <c r="BW31" s="79">
        <v>-947</v>
      </c>
      <c r="BX31" s="79">
        <v>0</v>
      </c>
      <c r="BY31" s="79">
        <v>5086</v>
      </c>
      <c r="BZ31" s="79">
        <v>15</v>
      </c>
      <c r="CA31" s="79">
        <v>255</v>
      </c>
      <c r="CB31" s="79">
        <v>116</v>
      </c>
      <c r="CC31" s="79">
        <v>590</v>
      </c>
      <c r="CD31" s="79">
        <v>2</v>
      </c>
      <c r="CE31" s="79">
        <v>6</v>
      </c>
    </row>
    <row r="32" spans="1:83" ht="15.6" customHeight="1" x14ac:dyDescent="0.25">
      <c r="A32" s="36">
        <v>4</v>
      </c>
      <c r="B32" s="40" t="s">
        <v>161</v>
      </c>
      <c r="C32" s="64" t="s">
        <v>162</v>
      </c>
      <c r="D32" s="40" t="s">
        <v>163</v>
      </c>
      <c r="E32" s="40" t="s">
        <v>116</v>
      </c>
      <c r="F32" s="40" t="s">
        <v>160</v>
      </c>
      <c r="G32" s="88">
        <v>29309441.460000001</v>
      </c>
      <c r="H32" s="88">
        <v>0</v>
      </c>
      <c r="I32" s="88">
        <v>619740.80000000005</v>
      </c>
      <c r="J32" s="88">
        <v>0</v>
      </c>
      <c r="K32" s="89">
        <v>0</v>
      </c>
      <c r="L32" s="89">
        <v>29929182.260000002</v>
      </c>
      <c r="M32" s="89">
        <v>0</v>
      </c>
      <c r="N32" s="88">
        <v>1232963.7</v>
      </c>
      <c r="O32" s="88">
        <v>2005268.88</v>
      </c>
      <c r="P32" s="90">
        <v>8208869.0599999996</v>
      </c>
      <c r="Q32" s="88">
        <v>0</v>
      </c>
      <c r="R32" s="88">
        <v>1949789.8</v>
      </c>
      <c r="S32" s="88">
        <v>9632521.0199999996</v>
      </c>
      <c r="T32" s="88">
        <v>4408819.67</v>
      </c>
      <c r="U32" s="88">
        <v>0</v>
      </c>
      <c r="V32" s="88">
        <v>0</v>
      </c>
      <c r="W32" s="88">
        <v>666748.57999999996</v>
      </c>
      <c r="X32" s="89">
        <v>1998838.19</v>
      </c>
      <c r="Y32" s="89">
        <v>30103818.899999999</v>
      </c>
      <c r="Z32" s="81">
        <v>5.1602983361662122E-2</v>
      </c>
      <c r="AA32" s="89">
        <v>1998838.19</v>
      </c>
      <c r="AB32" s="89">
        <v>0</v>
      </c>
      <c r="AC32" s="89">
        <v>0</v>
      </c>
      <c r="AD32" s="89">
        <v>0</v>
      </c>
      <c r="AE32" s="89">
        <v>0</v>
      </c>
      <c r="AF32" s="89">
        <f t="shared" si="13"/>
        <v>0</v>
      </c>
      <c r="AG32" s="89">
        <v>985439.46</v>
      </c>
      <c r="AH32" s="88">
        <v>74391.88</v>
      </c>
      <c r="AI32" s="88">
        <v>249302.01</v>
      </c>
      <c r="AJ32" s="89">
        <v>0</v>
      </c>
      <c r="AK32" s="88">
        <v>126662.99</v>
      </c>
      <c r="AL32" s="88">
        <v>5061.74</v>
      </c>
      <c r="AM32" s="88">
        <v>92022.06</v>
      </c>
      <c r="AN32" s="88">
        <v>10000</v>
      </c>
      <c r="AO32" s="88">
        <v>2750</v>
      </c>
      <c r="AP32" s="88">
        <v>0</v>
      </c>
      <c r="AQ32" s="88">
        <v>47324.53</v>
      </c>
      <c r="AR32" s="88">
        <v>25865.1</v>
      </c>
      <c r="AS32" s="88">
        <v>1500</v>
      </c>
      <c r="AT32" s="88">
        <v>32587.29</v>
      </c>
      <c r="AU32" s="88">
        <v>51555.7</v>
      </c>
      <c r="AV32" s="88">
        <v>72001.429999999993</v>
      </c>
      <c r="AW32" s="88">
        <v>1776464.19</v>
      </c>
      <c r="AX32" s="88">
        <v>0</v>
      </c>
      <c r="AY32" s="81">
        <f t="shared" si="14"/>
        <v>0</v>
      </c>
      <c r="AZ32" s="89">
        <v>-96.4</v>
      </c>
      <c r="BA32" s="81">
        <v>6.8197757801966657E-2</v>
      </c>
      <c r="BB32" s="79">
        <v>487873.92</v>
      </c>
      <c r="BC32" s="79">
        <v>1024580.7</v>
      </c>
      <c r="BD32" s="80">
        <v>219587</v>
      </c>
      <c r="BE32" s="80">
        <v>0</v>
      </c>
      <c r="BF32" s="80">
        <v>326145.55000000098</v>
      </c>
      <c r="BG32" s="80">
        <v>0</v>
      </c>
      <c r="BH32" s="80">
        <v>0</v>
      </c>
      <c r="BI32" s="80">
        <v>0</v>
      </c>
      <c r="BJ32" s="80">
        <f t="shared" si="15"/>
        <v>0</v>
      </c>
      <c r="BK32" s="80">
        <v>0</v>
      </c>
      <c r="BL32" s="80">
        <v>4410</v>
      </c>
      <c r="BM32" s="80">
        <v>1377</v>
      </c>
      <c r="BN32" s="79">
        <v>7</v>
      </c>
      <c r="BO32" s="79">
        <v>0</v>
      </c>
      <c r="BP32" s="79">
        <v>-48</v>
      </c>
      <c r="BQ32" s="79">
        <v>-84</v>
      </c>
      <c r="BR32" s="79">
        <v>-188</v>
      </c>
      <c r="BS32" s="79">
        <v>-236</v>
      </c>
      <c r="BT32" s="79">
        <v>15</v>
      </c>
      <c r="BU32" s="79">
        <v>-1</v>
      </c>
      <c r="BV32" s="79">
        <v>0</v>
      </c>
      <c r="BW32" s="79">
        <v>-702</v>
      </c>
      <c r="BX32" s="79">
        <v>-3</v>
      </c>
      <c r="BY32" s="79">
        <v>4547</v>
      </c>
      <c r="BZ32" s="79">
        <v>12</v>
      </c>
      <c r="CA32" s="79">
        <v>276</v>
      </c>
      <c r="CB32" s="79">
        <v>99</v>
      </c>
      <c r="CC32" s="79">
        <v>319</v>
      </c>
      <c r="CD32" s="79">
        <v>2</v>
      </c>
      <c r="CE32" s="79">
        <v>7</v>
      </c>
    </row>
    <row r="33" spans="1:83" ht="15.6" customHeight="1" x14ac:dyDescent="0.25">
      <c r="A33" s="36">
        <v>4</v>
      </c>
      <c r="B33" s="40" t="s">
        <v>164</v>
      </c>
      <c r="C33" s="64" t="s">
        <v>165</v>
      </c>
      <c r="D33" s="40" t="s">
        <v>166</v>
      </c>
      <c r="E33" s="41" t="s">
        <v>86</v>
      </c>
      <c r="F33" s="40" t="s">
        <v>167</v>
      </c>
      <c r="G33" s="88">
        <v>19964433.859999999</v>
      </c>
      <c r="H33" s="88">
        <v>0</v>
      </c>
      <c r="I33" s="88">
        <v>822716.31</v>
      </c>
      <c r="J33" s="88">
        <v>0</v>
      </c>
      <c r="K33" s="89">
        <v>0</v>
      </c>
      <c r="L33" s="89">
        <v>20787150.170000002</v>
      </c>
      <c r="M33" s="89">
        <v>0</v>
      </c>
      <c r="N33" s="88">
        <v>0</v>
      </c>
      <c r="O33" s="88">
        <v>5264250.0999999996</v>
      </c>
      <c r="P33" s="90">
        <v>1769065.18</v>
      </c>
      <c r="Q33" s="88">
        <v>0</v>
      </c>
      <c r="R33" s="88">
        <v>2437919.0299999998</v>
      </c>
      <c r="S33" s="88">
        <v>6624099.8499999996</v>
      </c>
      <c r="T33" s="88">
        <v>2280969.23</v>
      </c>
      <c r="U33" s="88">
        <v>0</v>
      </c>
      <c r="V33" s="88">
        <v>0</v>
      </c>
      <c r="W33" s="88">
        <v>1563929.13</v>
      </c>
      <c r="X33" s="89">
        <v>1177397.7100000002</v>
      </c>
      <c r="Y33" s="89">
        <v>21117630.23</v>
      </c>
      <c r="Z33" s="81">
        <v>0.10715711875438026</v>
      </c>
      <c r="AA33" s="89">
        <v>1176137.3700000001</v>
      </c>
      <c r="AB33" s="89">
        <v>0</v>
      </c>
      <c r="AC33" s="89">
        <v>0</v>
      </c>
      <c r="AD33" s="89">
        <v>0</v>
      </c>
      <c r="AE33" s="89">
        <v>0</v>
      </c>
      <c r="AF33" s="89">
        <f t="shared" si="13"/>
        <v>0</v>
      </c>
      <c r="AG33" s="89">
        <v>464429.16</v>
      </c>
      <c r="AH33" s="88">
        <v>35650.03</v>
      </c>
      <c r="AI33" s="88">
        <v>105957.1</v>
      </c>
      <c r="AJ33" s="89">
        <v>0</v>
      </c>
      <c r="AK33" s="88">
        <v>90671.26</v>
      </c>
      <c r="AL33" s="88">
        <v>38239.83</v>
      </c>
      <c r="AM33" s="88">
        <v>55695.26</v>
      </c>
      <c r="AN33" s="88">
        <v>9100</v>
      </c>
      <c r="AO33" s="88">
        <v>2500</v>
      </c>
      <c r="AP33" s="88">
        <v>0</v>
      </c>
      <c r="AQ33" s="88">
        <v>35672.370000000003</v>
      </c>
      <c r="AR33" s="88">
        <v>409.65</v>
      </c>
      <c r="AS33" s="88">
        <v>0</v>
      </c>
      <c r="AT33" s="88">
        <v>5308.55</v>
      </c>
      <c r="AU33" s="88">
        <v>31803.22</v>
      </c>
      <c r="AV33" s="88">
        <v>33113.25</v>
      </c>
      <c r="AW33" s="88">
        <v>908549.68</v>
      </c>
      <c r="AX33" s="88">
        <v>0</v>
      </c>
      <c r="AY33" s="81">
        <f t="shared" si="14"/>
        <v>0</v>
      </c>
      <c r="AZ33" s="89">
        <v>0</v>
      </c>
      <c r="BA33" s="81">
        <v>5.8911631466618514E-2</v>
      </c>
      <c r="BB33" s="79">
        <v>1208956.3500000001</v>
      </c>
      <c r="BC33" s="79">
        <v>930374.86</v>
      </c>
      <c r="BD33" s="80">
        <v>219587</v>
      </c>
      <c r="BE33" s="80">
        <v>0</v>
      </c>
      <c r="BF33" s="80">
        <v>199155.92</v>
      </c>
      <c r="BG33" s="80">
        <v>0</v>
      </c>
      <c r="BH33" s="80">
        <v>0</v>
      </c>
      <c r="BI33" s="80">
        <v>0</v>
      </c>
      <c r="BJ33" s="80">
        <f t="shared" si="15"/>
        <v>0</v>
      </c>
      <c r="BK33" s="80">
        <v>0</v>
      </c>
      <c r="BL33" s="80">
        <v>2694</v>
      </c>
      <c r="BM33" s="80">
        <v>1448</v>
      </c>
      <c r="BN33" s="79">
        <v>70</v>
      </c>
      <c r="BO33" s="79">
        <v>0</v>
      </c>
      <c r="BP33" s="79">
        <v>-77</v>
      </c>
      <c r="BQ33" s="79">
        <v>-92</v>
      </c>
      <c r="BR33" s="79">
        <v>-662</v>
      </c>
      <c r="BS33" s="79">
        <v>-305</v>
      </c>
      <c r="BT33" s="79">
        <v>0</v>
      </c>
      <c r="BU33" s="79">
        <v>-1</v>
      </c>
      <c r="BV33" s="79">
        <v>4</v>
      </c>
      <c r="BW33" s="79">
        <v>-366</v>
      </c>
      <c r="BX33" s="79">
        <v>-1</v>
      </c>
      <c r="BY33" s="79">
        <v>2712</v>
      </c>
      <c r="BZ33" s="79">
        <v>29</v>
      </c>
      <c r="CA33" s="79">
        <v>129</v>
      </c>
      <c r="CB33" s="79">
        <v>48</v>
      </c>
      <c r="CC33" s="79">
        <v>190</v>
      </c>
      <c r="CD33" s="79">
        <v>2</v>
      </c>
      <c r="CE33" s="79">
        <v>12</v>
      </c>
    </row>
    <row r="34" spans="1:83" ht="15.6" customHeight="1" x14ac:dyDescent="0.25">
      <c r="A34" s="36">
        <v>4</v>
      </c>
      <c r="B34" s="42" t="s">
        <v>169</v>
      </c>
      <c r="C34" s="66" t="s">
        <v>111</v>
      </c>
      <c r="D34" s="40" t="s">
        <v>170</v>
      </c>
      <c r="E34" s="40" t="s">
        <v>109</v>
      </c>
      <c r="F34" s="40" t="s">
        <v>160</v>
      </c>
      <c r="G34" s="88">
        <v>19818419.079999998</v>
      </c>
      <c r="H34" s="88">
        <v>0</v>
      </c>
      <c r="I34" s="88">
        <v>384648.88999999996</v>
      </c>
      <c r="J34" s="88">
        <v>0</v>
      </c>
      <c r="K34" s="89">
        <v>0</v>
      </c>
      <c r="L34" s="89">
        <v>20203067.969999999</v>
      </c>
      <c r="M34" s="89">
        <v>0</v>
      </c>
      <c r="N34" s="88">
        <v>20802.54</v>
      </c>
      <c r="O34" s="88">
        <v>1692196.33</v>
      </c>
      <c r="P34" s="90">
        <v>6391845.8799999999</v>
      </c>
      <c r="Q34" s="88">
        <v>5760.43</v>
      </c>
      <c r="R34" s="88">
        <v>1282452.07</v>
      </c>
      <c r="S34" s="88">
        <v>5404061.46</v>
      </c>
      <c r="T34" s="88">
        <v>3404965.31</v>
      </c>
      <c r="U34" s="88">
        <v>0</v>
      </c>
      <c r="V34" s="88">
        <v>0</v>
      </c>
      <c r="W34" s="88">
        <v>587019.85</v>
      </c>
      <c r="X34" s="89">
        <v>1425374.81</v>
      </c>
      <c r="Y34" s="89">
        <v>20214478.68</v>
      </c>
      <c r="Z34" s="81">
        <v>1.278497487499871E-2</v>
      </c>
      <c r="AA34" s="89">
        <v>1425374.81</v>
      </c>
      <c r="AB34" s="89">
        <v>0</v>
      </c>
      <c r="AC34" s="89">
        <v>0</v>
      </c>
      <c r="AD34" s="89">
        <v>0</v>
      </c>
      <c r="AE34" s="89">
        <v>0</v>
      </c>
      <c r="AF34" s="89">
        <f t="shared" si="13"/>
        <v>0</v>
      </c>
      <c r="AG34" s="89">
        <v>599190.88</v>
      </c>
      <c r="AH34" s="88">
        <v>50408.98</v>
      </c>
      <c r="AI34" s="88">
        <v>155484.89000000001</v>
      </c>
      <c r="AJ34" s="89">
        <v>0</v>
      </c>
      <c r="AK34" s="88">
        <v>132059.31</v>
      </c>
      <c r="AL34" s="88">
        <v>36473.81</v>
      </c>
      <c r="AM34" s="88">
        <v>73055.11</v>
      </c>
      <c r="AN34" s="88">
        <v>9500</v>
      </c>
      <c r="AO34" s="88">
        <v>0</v>
      </c>
      <c r="AP34" s="88">
        <v>15359.5</v>
      </c>
      <c r="AQ34" s="88">
        <v>33821.020000000004</v>
      </c>
      <c r="AR34" s="88">
        <v>14676.94</v>
      </c>
      <c r="AS34" s="88">
        <v>0</v>
      </c>
      <c r="AT34" s="88">
        <v>25062.52</v>
      </c>
      <c r="AU34" s="88">
        <v>15877.32</v>
      </c>
      <c r="AV34" s="88">
        <v>81310.05</v>
      </c>
      <c r="AW34" s="88">
        <v>1242280.33</v>
      </c>
      <c r="AX34" s="88">
        <v>0</v>
      </c>
      <c r="AY34" s="81">
        <f t="shared" si="14"/>
        <v>0</v>
      </c>
      <c r="AZ34" s="89">
        <v>0</v>
      </c>
      <c r="BA34" s="81">
        <v>7.1921721114396792E-2</v>
      </c>
      <c r="BB34" s="79">
        <v>183961.72</v>
      </c>
      <c r="BC34" s="79">
        <v>69416.27</v>
      </c>
      <c r="BD34" s="80">
        <v>219587</v>
      </c>
      <c r="BE34" s="80">
        <v>2.91038304567337E-11</v>
      </c>
      <c r="BF34" s="80">
        <v>245985.62700000001</v>
      </c>
      <c r="BG34" s="80">
        <v>0</v>
      </c>
      <c r="BH34" s="80">
        <v>0</v>
      </c>
      <c r="BI34" s="80">
        <v>0</v>
      </c>
      <c r="BJ34" s="80">
        <f t="shared" si="15"/>
        <v>0</v>
      </c>
      <c r="BK34" s="80">
        <v>0</v>
      </c>
      <c r="BL34" s="80">
        <v>3000</v>
      </c>
      <c r="BM34" s="80">
        <v>1124</v>
      </c>
      <c r="BN34" s="79">
        <v>0</v>
      </c>
      <c r="BO34" s="79">
        <v>0</v>
      </c>
      <c r="BP34" s="79">
        <v>-19</v>
      </c>
      <c r="BQ34" s="79">
        <v>-150</v>
      </c>
      <c r="BR34" s="79">
        <v>-239</v>
      </c>
      <c r="BS34" s="79">
        <v>-433</v>
      </c>
      <c r="BT34" s="79">
        <v>0</v>
      </c>
      <c r="BU34" s="79">
        <v>0</v>
      </c>
      <c r="BV34" s="79">
        <v>-1</v>
      </c>
      <c r="BW34" s="79">
        <v>-490</v>
      </c>
      <c r="BX34" s="79">
        <v>-5</v>
      </c>
      <c r="BY34" s="79">
        <v>2787</v>
      </c>
      <c r="BZ34" s="79">
        <v>0</v>
      </c>
      <c r="CA34" s="79">
        <v>142</v>
      </c>
      <c r="CB34" s="79">
        <v>64</v>
      </c>
      <c r="CC34" s="79">
        <v>276</v>
      </c>
      <c r="CD34" s="79">
        <v>0</v>
      </c>
      <c r="CE34" s="79">
        <v>7</v>
      </c>
    </row>
    <row r="35" spans="1:83" ht="15.6" customHeight="1" x14ac:dyDescent="0.25">
      <c r="A35" s="36">
        <v>4</v>
      </c>
      <c r="B35" s="40" t="s">
        <v>173</v>
      </c>
      <c r="C35" s="69" t="s">
        <v>174</v>
      </c>
      <c r="D35" s="40" t="s">
        <v>175</v>
      </c>
      <c r="E35" s="40" t="s">
        <v>109</v>
      </c>
      <c r="F35" s="40" t="s">
        <v>160</v>
      </c>
      <c r="G35" s="88">
        <v>18993251.449999999</v>
      </c>
      <c r="H35" s="88">
        <v>0</v>
      </c>
      <c r="I35" s="88">
        <v>492065.35</v>
      </c>
      <c r="J35" s="88">
        <v>0</v>
      </c>
      <c r="K35" s="89">
        <v>0</v>
      </c>
      <c r="L35" s="89">
        <v>19485316.800000001</v>
      </c>
      <c r="M35" s="89">
        <v>0</v>
      </c>
      <c r="N35" s="88">
        <v>262549.39</v>
      </c>
      <c r="O35" s="88">
        <v>3913816.02</v>
      </c>
      <c r="P35" s="90">
        <v>2293633.2400000002</v>
      </c>
      <c r="Q35" s="88">
        <v>87624.55</v>
      </c>
      <c r="R35" s="88">
        <v>1647199.05</v>
      </c>
      <c r="S35" s="88">
        <v>7137375.7199999997</v>
      </c>
      <c r="T35" s="88">
        <v>1492077.61</v>
      </c>
      <c r="U35" s="88">
        <v>0</v>
      </c>
      <c r="V35" s="88">
        <v>0</v>
      </c>
      <c r="W35" s="88">
        <v>1142975.3600000001</v>
      </c>
      <c r="X35" s="89">
        <v>1311654.03</v>
      </c>
      <c r="Y35" s="89">
        <v>19288904.969999999</v>
      </c>
      <c r="Z35" s="81">
        <v>8.9999169435763457E-2</v>
      </c>
      <c r="AA35" s="89">
        <v>1289237.82</v>
      </c>
      <c r="AB35" s="89">
        <v>0</v>
      </c>
      <c r="AC35" s="89">
        <v>0</v>
      </c>
      <c r="AD35" s="89">
        <v>0</v>
      </c>
      <c r="AE35" s="89">
        <v>0</v>
      </c>
      <c r="AF35" s="89">
        <f t="shared" si="13"/>
        <v>0</v>
      </c>
      <c r="AG35" s="89">
        <v>541203.04</v>
      </c>
      <c r="AH35" s="88">
        <v>41859.839999999997</v>
      </c>
      <c r="AI35" s="88">
        <v>105665.66</v>
      </c>
      <c r="AJ35" s="89">
        <v>0</v>
      </c>
      <c r="AK35" s="88">
        <v>107561.08</v>
      </c>
      <c r="AL35" s="88">
        <v>43090.82</v>
      </c>
      <c r="AM35" s="88">
        <v>49922.87</v>
      </c>
      <c r="AN35" s="88">
        <v>8900</v>
      </c>
      <c r="AO35" s="88">
        <v>0</v>
      </c>
      <c r="AP35" s="88">
        <v>0</v>
      </c>
      <c r="AQ35" s="88">
        <v>48682.82</v>
      </c>
      <c r="AR35" s="88">
        <v>6723.36</v>
      </c>
      <c r="AS35" s="88">
        <v>0</v>
      </c>
      <c r="AT35" s="88">
        <v>34149.79</v>
      </c>
      <c r="AU35" s="88">
        <v>20504.169999999998</v>
      </c>
      <c r="AV35" s="88">
        <v>31075.85</v>
      </c>
      <c r="AW35" s="88">
        <v>1039339.3</v>
      </c>
      <c r="AX35" s="88">
        <v>0</v>
      </c>
      <c r="AY35" s="81">
        <f t="shared" si="14"/>
        <v>0</v>
      </c>
      <c r="AZ35" s="89">
        <v>0</v>
      </c>
      <c r="BA35" s="81">
        <v>6.7878731737635159E-2</v>
      </c>
      <c r="BB35" s="79">
        <v>937134.33</v>
      </c>
      <c r="BC35" s="79">
        <v>772242.53</v>
      </c>
      <c r="BD35" s="80">
        <v>219587.02</v>
      </c>
      <c r="BE35" s="80">
        <v>1.9999999960418801E-2</v>
      </c>
      <c r="BF35" s="80">
        <v>230322.15</v>
      </c>
      <c r="BG35" s="80">
        <v>0</v>
      </c>
      <c r="BH35" s="80">
        <v>0</v>
      </c>
      <c r="BI35" s="80">
        <v>0</v>
      </c>
      <c r="BJ35" s="80">
        <f t="shared" si="15"/>
        <v>0</v>
      </c>
      <c r="BK35" s="80">
        <v>0</v>
      </c>
      <c r="BL35" s="80">
        <v>1721</v>
      </c>
      <c r="BM35" s="80">
        <v>1469</v>
      </c>
      <c r="BN35" s="79">
        <v>0</v>
      </c>
      <c r="BO35" s="79">
        <v>0</v>
      </c>
      <c r="BP35" s="79">
        <v>-197</v>
      </c>
      <c r="BQ35" s="79">
        <v>-82</v>
      </c>
      <c r="BR35" s="79">
        <v>-691</v>
      </c>
      <c r="BS35" s="79">
        <v>-321</v>
      </c>
      <c r="BT35" s="79">
        <v>0</v>
      </c>
      <c r="BU35" s="79">
        <v>0</v>
      </c>
      <c r="BV35" s="79">
        <v>-137</v>
      </c>
      <c r="BW35" s="79">
        <v>-345</v>
      </c>
      <c r="BX35" s="79">
        <v>0</v>
      </c>
      <c r="BY35" s="79">
        <v>1417</v>
      </c>
      <c r="BZ35" s="79">
        <v>0</v>
      </c>
      <c r="CA35" s="79">
        <v>10</v>
      </c>
      <c r="CB35" s="79">
        <v>5</v>
      </c>
      <c r="CC35" s="79">
        <v>32</v>
      </c>
      <c r="CD35" s="79">
        <v>140</v>
      </c>
      <c r="CE35" s="79">
        <v>16</v>
      </c>
    </row>
    <row r="36" spans="1:83" ht="15.6" customHeight="1" x14ac:dyDescent="0.25">
      <c r="A36" s="36">
        <v>4</v>
      </c>
      <c r="B36" s="40" t="s">
        <v>176</v>
      </c>
      <c r="C36" s="67" t="s">
        <v>177</v>
      </c>
      <c r="D36" s="40" t="s">
        <v>178</v>
      </c>
      <c r="E36" s="41" t="s">
        <v>86</v>
      </c>
      <c r="F36" s="50" t="s">
        <v>567</v>
      </c>
      <c r="G36" s="88">
        <v>36906502.890000001</v>
      </c>
      <c r="H36" s="88">
        <v>0</v>
      </c>
      <c r="I36" s="88">
        <v>2155972.88</v>
      </c>
      <c r="J36" s="88">
        <v>0</v>
      </c>
      <c r="K36" s="89">
        <v>0</v>
      </c>
      <c r="L36" s="89">
        <v>39062475.770000003</v>
      </c>
      <c r="M36" s="89">
        <v>0</v>
      </c>
      <c r="N36" s="88">
        <v>0</v>
      </c>
      <c r="O36" s="88">
        <v>9344342.3399999999</v>
      </c>
      <c r="P36" s="90">
        <v>3246720.26</v>
      </c>
      <c r="Q36" s="88">
        <v>0</v>
      </c>
      <c r="R36" s="88">
        <v>4098020.87</v>
      </c>
      <c r="S36" s="88">
        <v>12161183.640000001</v>
      </c>
      <c r="T36" s="88">
        <v>3805012.59</v>
      </c>
      <c r="U36" s="88">
        <v>0</v>
      </c>
      <c r="V36" s="88">
        <v>0</v>
      </c>
      <c r="W36" s="88">
        <v>3415605.05</v>
      </c>
      <c r="X36" s="89">
        <v>2659176.86</v>
      </c>
      <c r="Y36" s="89">
        <v>38730061.609999999</v>
      </c>
      <c r="Z36" s="81">
        <v>0.13615653845549167</v>
      </c>
      <c r="AA36" s="89">
        <v>2659176.86</v>
      </c>
      <c r="AB36" s="89">
        <v>0</v>
      </c>
      <c r="AC36" s="89">
        <v>0</v>
      </c>
      <c r="AD36" s="89">
        <v>0</v>
      </c>
      <c r="AE36" s="89">
        <v>0</v>
      </c>
      <c r="AF36" s="89">
        <f t="shared" si="13"/>
        <v>0</v>
      </c>
      <c r="AG36" s="89">
        <v>1415996.23</v>
      </c>
      <c r="AH36" s="88">
        <v>118612.25</v>
      </c>
      <c r="AI36" s="88">
        <v>270888.89</v>
      </c>
      <c r="AJ36" s="89">
        <v>0</v>
      </c>
      <c r="AK36" s="88">
        <v>165213.94</v>
      </c>
      <c r="AL36" s="88">
        <v>51240.04</v>
      </c>
      <c r="AM36" s="88">
        <v>175804.84</v>
      </c>
      <c r="AN36" s="88">
        <v>11500</v>
      </c>
      <c r="AO36" s="88">
        <v>0</v>
      </c>
      <c r="AP36" s="88">
        <v>0</v>
      </c>
      <c r="AQ36" s="88">
        <v>68891.91</v>
      </c>
      <c r="AR36" s="88">
        <v>21323.69</v>
      </c>
      <c r="AS36" s="88">
        <v>0</v>
      </c>
      <c r="AT36" s="88">
        <v>62837.69</v>
      </c>
      <c r="AU36" s="88">
        <v>9346.02</v>
      </c>
      <c r="AV36" s="88">
        <v>86279.37</v>
      </c>
      <c r="AW36" s="88">
        <v>2457934.87</v>
      </c>
      <c r="AX36" s="88">
        <v>0</v>
      </c>
      <c r="AY36" s="81">
        <f t="shared" si="14"/>
        <v>0</v>
      </c>
      <c r="AZ36" s="89">
        <v>0</v>
      </c>
      <c r="BA36" s="81">
        <v>7.205171587038979E-2</v>
      </c>
      <c r="BB36" s="79">
        <v>2754974.37</v>
      </c>
      <c r="BC36" s="79">
        <v>2270087.31</v>
      </c>
      <c r="BD36" s="80">
        <v>219587.02</v>
      </c>
      <c r="BE36" s="80">
        <v>1.99999999895226E-2</v>
      </c>
      <c r="BF36" s="80">
        <v>497600.79000000202</v>
      </c>
      <c r="BG36" s="80">
        <v>0</v>
      </c>
      <c r="BH36" s="80">
        <v>0</v>
      </c>
      <c r="BI36" s="80">
        <v>0</v>
      </c>
      <c r="BJ36" s="80">
        <f t="shared" si="15"/>
        <v>0</v>
      </c>
      <c r="BK36" s="80">
        <v>0</v>
      </c>
      <c r="BL36" s="80">
        <v>4341</v>
      </c>
      <c r="BM36" s="80">
        <v>2780</v>
      </c>
      <c r="BN36" s="79">
        <v>0</v>
      </c>
      <c r="BO36" s="79">
        <v>-5</v>
      </c>
      <c r="BP36" s="79">
        <v>-153</v>
      </c>
      <c r="BQ36" s="79">
        <v>-141</v>
      </c>
      <c r="BR36" s="79">
        <v>-1190</v>
      </c>
      <c r="BS36" s="79">
        <v>-544</v>
      </c>
      <c r="BT36" s="79">
        <v>0</v>
      </c>
      <c r="BU36" s="79">
        <v>-3</v>
      </c>
      <c r="BV36" s="79">
        <v>0</v>
      </c>
      <c r="BW36" s="79">
        <v>-627</v>
      </c>
      <c r="BX36" s="79">
        <v>-1</v>
      </c>
      <c r="BY36" s="79">
        <v>4457</v>
      </c>
      <c r="BZ36" s="79">
        <v>10</v>
      </c>
      <c r="CA36" s="79">
        <v>233</v>
      </c>
      <c r="CB36" s="79">
        <v>74</v>
      </c>
      <c r="CC36" s="79">
        <v>287</v>
      </c>
      <c r="CD36" s="79">
        <v>5</v>
      </c>
      <c r="CE36" s="79">
        <v>22</v>
      </c>
    </row>
    <row r="37" spans="1:83" ht="15.6" customHeight="1" x14ac:dyDescent="0.25">
      <c r="A37" s="43">
        <v>4</v>
      </c>
      <c r="B37" s="40" t="s">
        <v>179</v>
      </c>
      <c r="C37" s="67" t="s">
        <v>180</v>
      </c>
      <c r="D37" s="40" t="s">
        <v>181</v>
      </c>
      <c r="E37" s="41" t="s">
        <v>86</v>
      </c>
      <c r="F37" s="40" t="s">
        <v>172</v>
      </c>
      <c r="G37" s="88">
        <v>16449273.810000001</v>
      </c>
      <c r="H37" s="88">
        <v>0</v>
      </c>
      <c r="I37" s="88">
        <v>232871.56000000003</v>
      </c>
      <c r="J37" s="88">
        <v>0</v>
      </c>
      <c r="K37" s="89">
        <v>0</v>
      </c>
      <c r="L37" s="89">
        <v>16682145.369999999</v>
      </c>
      <c r="M37" s="89">
        <v>0</v>
      </c>
      <c r="N37" s="88">
        <v>409675.39</v>
      </c>
      <c r="O37" s="88">
        <v>2119123.29</v>
      </c>
      <c r="P37" s="90">
        <v>6305308.5800000001</v>
      </c>
      <c r="Q37" s="88">
        <v>0</v>
      </c>
      <c r="R37" s="88">
        <v>920545.77</v>
      </c>
      <c r="S37" s="88">
        <v>3122559.69</v>
      </c>
      <c r="T37" s="88">
        <v>2060939.96</v>
      </c>
      <c r="U37" s="88">
        <v>0</v>
      </c>
      <c r="V37" s="88">
        <v>299.86</v>
      </c>
      <c r="W37" s="88">
        <v>278672.55</v>
      </c>
      <c r="X37" s="89">
        <v>1346647.71</v>
      </c>
      <c r="Y37" s="89">
        <v>16563772.800000001</v>
      </c>
      <c r="Z37" s="81">
        <v>0.13600858833293381</v>
      </c>
      <c r="AA37" s="89">
        <v>1346359.25</v>
      </c>
      <c r="AB37" s="89">
        <v>0</v>
      </c>
      <c r="AC37" s="89">
        <v>0</v>
      </c>
      <c r="AD37" s="89">
        <v>0</v>
      </c>
      <c r="AE37" s="89">
        <v>232.04</v>
      </c>
      <c r="AF37" s="89">
        <f t="shared" si="13"/>
        <v>232.04</v>
      </c>
      <c r="AG37" s="89">
        <v>615743.47</v>
      </c>
      <c r="AH37" s="88">
        <v>51008.9</v>
      </c>
      <c r="AI37" s="88">
        <v>163060.17000000001</v>
      </c>
      <c r="AJ37" s="89">
        <v>0</v>
      </c>
      <c r="AK37" s="88">
        <v>60228</v>
      </c>
      <c r="AL37" s="88">
        <v>1700.7</v>
      </c>
      <c r="AM37" s="88">
        <v>57823.1</v>
      </c>
      <c r="AN37" s="88">
        <v>7500</v>
      </c>
      <c r="AO37" s="88">
        <v>4412.5</v>
      </c>
      <c r="AP37" s="88">
        <v>0</v>
      </c>
      <c r="AQ37" s="88">
        <v>38953.64</v>
      </c>
      <c r="AR37" s="88">
        <v>12973.42</v>
      </c>
      <c r="AS37" s="88">
        <v>0</v>
      </c>
      <c r="AT37" s="88">
        <v>25870.06</v>
      </c>
      <c r="AU37" s="88">
        <v>20597.36</v>
      </c>
      <c r="AV37" s="88">
        <v>47034.61</v>
      </c>
      <c r="AW37" s="88">
        <v>1106905.93</v>
      </c>
      <c r="AX37" s="88">
        <v>0</v>
      </c>
      <c r="AY37" s="81">
        <f t="shared" si="14"/>
        <v>0</v>
      </c>
      <c r="AZ37" s="89">
        <v>0</v>
      </c>
      <c r="BA37" s="81">
        <v>8.1849160367280668E-2</v>
      </c>
      <c r="BB37" s="79">
        <v>505444.86</v>
      </c>
      <c r="BC37" s="79">
        <v>1731797.65</v>
      </c>
      <c r="BD37" s="80">
        <v>219587</v>
      </c>
      <c r="BE37" s="80">
        <v>0</v>
      </c>
      <c r="BF37" s="80">
        <v>243673.72</v>
      </c>
      <c r="BG37" s="80">
        <v>0</v>
      </c>
      <c r="BH37" s="80">
        <v>0</v>
      </c>
      <c r="BI37" s="80">
        <v>0</v>
      </c>
      <c r="BJ37" s="80">
        <f t="shared" si="15"/>
        <v>0</v>
      </c>
      <c r="BK37" s="80">
        <v>0</v>
      </c>
      <c r="BL37" s="80">
        <v>2200</v>
      </c>
      <c r="BM37" s="80">
        <v>794</v>
      </c>
      <c r="BN37" s="79">
        <v>25</v>
      </c>
      <c r="BO37" s="79">
        <v>0</v>
      </c>
      <c r="BP37" s="79">
        <v>-23</v>
      </c>
      <c r="BQ37" s="79">
        <v>-35</v>
      </c>
      <c r="BR37" s="79">
        <v>-146</v>
      </c>
      <c r="BS37" s="79">
        <v>-339</v>
      </c>
      <c r="BT37" s="79">
        <v>0</v>
      </c>
      <c r="BU37" s="79">
        <v>0</v>
      </c>
      <c r="BV37" s="79">
        <v>55</v>
      </c>
      <c r="BW37" s="79">
        <v>-290</v>
      </c>
      <c r="BX37" s="79">
        <v>-3</v>
      </c>
      <c r="BY37" s="79">
        <v>2238</v>
      </c>
      <c r="BZ37" s="79">
        <v>5</v>
      </c>
      <c r="CA37" s="79">
        <v>84</v>
      </c>
      <c r="CB37" s="79">
        <v>35</v>
      </c>
      <c r="CC37" s="79">
        <v>167</v>
      </c>
      <c r="CD37" s="79">
        <v>1</v>
      </c>
      <c r="CE37" s="79">
        <v>4</v>
      </c>
    </row>
    <row r="38" spans="1:83" ht="15.6" customHeight="1" x14ac:dyDescent="0.25">
      <c r="A38" s="36">
        <v>4</v>
      </c>
      <c r="B38" s="40" t="s">
        <v>182</v>
      </c>
      <c r="C38" s="67" t="s">
        <v>183</v>
      </c>
      <c r="D38" s="40" t="s">
        <v>184</v>
      </c>
      <c r="E38" s="40" t="s">
        <v>116</v>
      </c>
      <c r="F38" s="40" t="s">
        <v>160</v>
      </c>
      <c r="G38" s="88">
        <v>21599256.34</v>
      </c>
      <c r="H38" s="88">
        <v>0</v>
      </c>
      <c r="I38" s="88">
        <v>257085.48</v>
      </c>
      <c r="J38" s="88">
        <v>0</v>
      </c>
      <c r="K38" s="89">
        <v>8702.8799999999992</v>
      </c>
      <c r="L38" s="89">
        <v>21865044.699999999</v>
      </c>
      <c r="M38" s="89">
        <v>0</v>
      </c>
      <c r="N38" s="88">
        <v>4430368.63</v>
      </c>
      <c r="O38" s="88">
        <v>1357482.21</v>
      </c>
      <c r="P38" s="90">
        <v>5654087.9400000004</v>
      </c>
      <c r="Q38" s="88">
        <v>45629.95</v>
      </c>
      <c r="R38" s="88">
        <v>799551</v>
      </c>
      <c r="S38" s="88">
        <v>5389183.0899999999</v>
      </c>
      <c r="T38" s="88">
        <v>2332373.9</v>
      </c>
      <c r="U38" s="88">
        <v>0</v>
      </c>
      <c r="V38" s="88">
        <v>0</v>
      </c>
      <c r="W38" s="88">
        <v>299029.87</v>
      </c>
      <c r="X38" s="89">
        <v>1544439.39</v>
      </c>
      <c r="Y38" s="89">
        <v>21852145.98</v>
      </c>
      <c r="Z38" s="81">
        <v>3.9489729024624415E-2</v>
      </c>
      <c r="AA38" s="89">
        <v>1535736.51</v>
      </c>
      <c r="AB38" s="89">
        <v>0</v>
      </c>
      <c r="AC38" s="89">
        <v>0</v>
      </c>
      <c r="AD38" s="89">
        <v>0</v>
      </c>
      <c r="AE38" s="89">
        <v>0</v>
      </c>
      <c r="AF38" s="89">
        <f t="shared" si="13"/>
        <v>0</v>
      </c>
      <c r="AG38" s="89">
        <v>689219.38</v>
      </c>
      <c r="AH38" s="88">
        <v>53630.01</v>
      </c>
      <c r="AI38" s="88">
        <v>154360.18</v>
      </c>
      <c r="AJ38" s="89">
        <v>4672</v>
      </c>
      <c r="AK38" s="88">
        <v>111625.82</v>
      </c>
      <c r="AL38" s="88">
        <v>2838.86</v>
      </c>
      <c r="AM38" s="88">
        <v>59997.79</v>
      </c>
      <c r="AN38" s="88">
        <v>9100</v>
      </c>
      <c r="AO38" s="88">
        <v>7814.2</v>
      </c>
      <c r="AP38" s="88">
        <v>0</v>
      </c>
      <c r="AQ38" s="88">
        <v>42784.800000000003</v>
      </c>
      <c r="AR38" s="88">
        <v>23409.26</v>
      </c>
      <c r="AS38" s="88">
        <v>0</v>
      </c>
      <c r="AT38" s="88">
        <v>29906.720000000001</v>
      </c>
      <c r="AU38" s="88">
        <v>45274</v>
      </c>
      <c r="AV38" s="88">
        <v>85842.44</v>
      </c>
      <c r="AW38" s="88">
        <v>1320475.46</v>
      </c>
      <c r="AX38" s="88">
        <v>0</v>
      </c>
      <c r="AY38" s="81">
        <f t="shared" si="14"/>
        <v>0</v>
      </c>
      <c r="AZ38" s="89">
        <v>0</v>
      </c>
      <c r="BA38" s="81">
        <v>7.1101360427671095E-2</v>
      </c>
      <c r="BB38" s="79">
        <v>160453.73000000001</v>
      </c>
      <c r="BC38" s="79">
        <v>692495.05</v>
      </c>
      <c r="BD38" s="80">
        <v>219586.92</v>
      </c>
      <c r="BE38" s="80">
        <v>0</v>
      </c>
      <c r="BF38" s="80">
        <v>287023.01</v>
      </c>
      <c r="BG38" s="80">
        <v>0</v>
      </c>
      <c r="BH38" s="80">
        <v>0</v>
      </c>
      <c r="BI38" s="80">
        <v>0</v>
      </c>
      <c r="BJ38" s="80">
        <f t="shared" si="15"/>
        <v>0</v>
      </c>
      <c r="BK38" s="80">
        <v>0</v>
      </c>
      <c r="BL38" s="80">
        <v>2622</v>
      </c>
      <c r="BM38" s="80">
        <v>764</v>
      </c>
      <c r="BN38" s="79">
        <v>8</v>
      </c>
      <c r="BO38" s="79">
        <v>-13</v>
      </c>
      <c r="BP38" s="79">
        <v>-13</v>
      </c>
      <c r="BQ38" s="79">
        <v>-49</v>
      </c>
      <c r="BR38" s="79">
        <v>-95</v>
      </c>
      <c r="BS38" s="79">
        <v>-122</v>
      </c>
      <c r="BT38" s="79">
        <v>0</v>
      </c>
      <c r="BU38" s="79">
        <v>0</v>
      </c>
      <c r="BV38" s="79">
        <v>2</v>
      </c>
      <c r="BW38" s="79">
        <v>-456</v>
      </c>
      <c r="BX38" s="79">
        <v>0</v>
      </c>
      <c r="BY38" s="79">
        <v>2648</v>
      </c>
      <c r="BZ38" s="79">
        <v>3</v>
      </c>
      <c r="CA38" s="79">
        <v>163</v>
      </c>
      <c r="CB38" s="79">
        <v>75</v>
      </c>
      <c r="CC38" s="79">
        <v>205</v>
      </c>
      <c r="CD38" s="79">
        <v>1</v>
      </c>
      <c r="CE38" s="79">
        <v>12</v>
      </c>
    </row>
    <row r="39" spans="1:83" s="58" customFormat="1" ht="15.6" customHeight="1" x14ac:dyDescent="0.25">
      <c r="A39" s="51">
        <v>4</v>
      </c>
      <c r="B39" s="50" t="s">
        <v>185</v>
      </c>
      <c r="C39" s="67" t="s">
        <v>186</v>
      </c>
      <c r="D39" s="50" t="s">
        <v>187</v>
      </c>
      <c r="E39" s="50" t="s">
        <v>188</v>
      </c>
      <c r="F39" s="50" t="s">
        <v>189</v>
      </c>
      <c r="G39" s="88">
        <v>13427353.5</v>
      </c>
      <c r="H39" s="88">
        <v>0</v>
      </c>
      <c r="I39" s="88">
        <v>604701</v>
      </c>
      <c r="J39" s="88">
        <v>0</v>
      </c>
      <c r="K39" s="89">
        <v>0</v>
      </c>
      <c r="L39" s="89">
        <v>14032054.5</v>
      </c>
      <c r="M39" s="89">
        <v>0</v>
      </c>
      <c r="N39" s="88">
        <v>4452605.62</v>
      </c>
      <c r="O39" s="88">
        <v>558942.91</v>
      </c>
      <c r="P39" s="90">
        <v>2663810.02</v>
      </c>
      <c r="Q39" s="88">
        <v>7764.96</v>
      </c>
      <c r="R39" s="88">
        <v>758296.29</v>
      </c>
      <c r="S39" s="88">
        <v>3152677.18</v>
      </c>
      <c r="T39" s="88">
        <v>951975.24</v>
      </c>
      <c r="U39" s="88">
        <v>0</v>
      </c>
      <c r="V39" s="88">
        <v>0</v>
      </c>
      <c r="W39" s="88">
        <v>829363.11</v>
      </c>
      <c r="X39" s="89">
        <v>1121429.3700000001</v>
      </c>
      <c r="Y39" s="89">
        <v>14496864.699999999</v>
      </c>
      <c r="Z39" s="81">
        <v>0.13586284445404748</v>
      </c>
      <c r="AA39" s="89">
        <v>1114664.8700000001</v>
      </c>
      <c r="AB39" s="89">
        <v>15.97</v>
      </c>
      <c r="AC39" s="89">
        <v>15.97</v>
      </c>
      <c r="AD39" s="89">
        <v>0</v>
      </c>
      <c r="AE39" s="89">
        <v>0</v>
      </c>
      <c r="AF39" s="89">
        <f t="shared" si="13"/>
        <v>0</v>
      </c>
      <c r="AG39" s="89">
        <v>411086.46</v>
      </c>
      <c r="AH39" s="88">
        <v>34014.25</v>
      </c>
      <c r="AI39" s="88">
        <v>102782.63</v>
      </c>
      <c r="AJ39" s="89">
        <v>0</v>
      </c>
      <c r="AK39" s="88">
        <v>55266.84</v>
      </c>
      <c r="AL39" s="88">
        <v>19843.96</v>
      </c>
      <c r="AM39" s="88">
        <v>56058.52</v>
      </c>
      <c r="AN39" s="88">
        <v>8000</v>
      </c>
      <c r="AO39" s="88">
        <v>186</v>
      </c>
      <c r="AP39" s="88">
        <v>0</v>
      </c>
      <c r="AQ39" s="88">
        <v>38191.339999999997</v>
      </c>
      <c r="AR39" s="88">
        <v>13317.19</v>
      </c>
      <c r="AS39" s="88">
        <v>0</v>
      </c>
      <c r="AT39" s="88">
        <v>2098</v>
      </c>
      <c r="AU39" s="88">
        <v>20387.580000000002</v>
      </c>
      <c r="AV39" s="88">
        <v>104634.95999999999</v>
      </c>
      <c r="AW39" s="88">
        <v>865867.73</v>
      </c>
      <c r="AX39" s="88">
        <v>0</v>
      </c>
      <c r="AY39" s="81">
        <f t="shared" si="14"/>
        <v>0</v>
      </c>
      <c r="AZ39" s="89">
        <v>0</v>
      </c>
      <c r="BA39" s="81">
        <v>8.3015578180854213E-2</v>
      </c>
      <c r="BB39" s="79">
        <v>717238.06</v>
      </c>
      <c r="BC39" s="79">
        <v>1107040.3799999999</v>
      </c>
      <c r="BD39" s="80">
        <v>219587</v>
      </c>
      <c r="BE39" s="80">
        <v>0</v>
      </c>
      <c r="BF39" s="80">
        <v>126460.21</v>
      </c>
      <c r="BG39" s="80">
        <v>0</v>
      </c>
      <c r="BH39" s="80">
        <v>0</v>
      </c>
      <c r="BI39" s="80">
        <v>0</v>
      </c>
      <c r="BJ39" s="80">
        <f t="shared" si="15"/>
        <v>0</v>
      </c>
      <c r="BK39" s="80">
        <v>0</v>
      </c>
      <c r="BL39" s="80">
        <v>1161</v>
      </c>
      <c r="BM39" s="80">
        <v>403</v>
      </c>
      <c r="BN39" s="79">
        <v>0</v>
      </c>
      <c r="BO39" s="79">
        <v>0</v>
      </c>
      <c r="BP39" s="79">
        <v>-32</v>
      </c>
      <c r="BQ39" s="79">
        <v>-32</v>
      </c>
      <c r="BR39" s="79">
        <v>-87</v>
      </c>
      <c r="BS39" s="79">
        <v>-58</v>
      </c>
      <c r="BT39" s="79">
        <v>0</v>
      </c>
      <c r="BU39" s="79">
        <v>0</v>
      </c>
      <c r="BV39" s="79">
        <v>205</v>
      </c>
      <c r="BW39" s="79">
        <v>-274</v>
      </c>
      <c r="BX39" s="79">
        <v>-5</v>
      </c>
      <c r="BY39" s="79">
        <v>1281</v>
      </c>
      <c r="BZ39" s="79">
        <v>62</v>
      </c>
      <c r="CA39" s="79">
        <v>49</v>
      </c>
      <c r="CB39" s="79">
        <v>26</v>
      </c>
      <c r="CC39" s="79">
        <v>191</v>
      </c>
      <c r="CD39" s="79">
        <v>4</v>
      </c>
      <c r="CE39" s="79">
        <v>4</v>
      </c>
    </row>
    <row r="40" spans="1:83" s="58" customFormat="1" ht="15.6" customHeight="1" x14ac:dyDescent="0.25">
      <c r="A40" s="51">
        <v>4</v>
      </c>
      <c r="B40" s="77" t="s">
        <v>561</v>
      </c>
      <c r="C40" s="68" t="s">
        <v>230</v>
      </c>
      <c r="D40" s="50" t="s">
        <v>171</v>
      </c>
      <c r="E40" s="41" t="s">
        <v>86</v>
      </c>
      <c r="F40" s="50" t="s">
        <v>172</v>
      </c>
      <c r="G40" s="88">
        <v>22573171.190000001</v>
      </c>
      <c r="H40" s="88">
        <v>0</v>
      </c>
      <c r="I40" s="88">
        <v>488311.64</v>
      </c>
      <c r="J40" s="88">
        <v>0</v>
      </c>
      <c r="K40" s="89">
        <v>0</v>
      </c>
      <c r="L40" s="89">
        <v>23061482.829999998</v>
      </c>
      <c r="M40" s="89">
        <v>0</v>
      </c>
      <c r="N40" s="88">
        <v>1844629.62</v>
      </c>
      <c r="O40" s="88">
        <v>1447949.17</v>
      </c>
      <c r="P40" s="90">
        <v>9320480.4299999997</v>
      </c>
      <c r="Q40" s="88">
        <v>0</v>
      </c>
      <c r="R40" s="88">
        <v>1298471</v>
      </c>
      <c r="S40" s="88">
        <v>4497895.99</v>
      </c>
      <c r="T40" s="88">
        <v>2524452.62</v>
      </c>
      <c r="U40" s="88">
        <v>0</v>
      </c>
      <c r="V40" s="88">
        <v>0</v>
      </c>
      <c r="W40" s="88">
        <v>488802.14</v>
      </c>
      <c r="X40" s="89">
        <v>1637633.58</v>
      </c>
      <c r="Y40" s="89">
        <v>23060314.550000001</v>
      </c>
      <c r="Z40" s="81">
        <v>0.12030609023171147</v>
      </c>
      <c r="AA40" s="89">
        <v>1637633.58</v>
      </c>
      <c r="AB40" s="89">
        <v>0</v>
      </c>
      <c r="AC40" s="89">
        <v>0</v>
      </c>
      <c r="AD40" s="89">
        <v>0</v>
      </c>
      <c r="AE40" s="89">
        <v>0</v>
      </c>
      <c r="AF40" s="89">
        <f t="shared" si="13"/>
        <v>0</v>
      </c>
      <c r="AG40" s="89">
        <v>780114.68</v>
      </c>
      <c r="AH40" s="88">
        <v>56517.48</v>
      </c>
      <c r="AI40" s="88">
        <v>163427.75</v>
      </c>
      <c r="AJ40" s="89">
        <v>0</v>
      </c>
      <c r="AK40" s="88">
        <v>120100.1</v>
      </c>
      <c r="AL40" s="88">
        <v>14444.25</v>
      </c>
      <c r="AM40" s="88">
        <v>85575.64</v>
      </c>
      <c r="AN40" s="88">
        <v>9900</v>
      </c>
      <c r="AO40" s="88">
        <v>0</v>
      </c>
      <c r="AP40" s="88">
        <v>0</v>
      </c>
      <c r="AQ40" s="88">
        <v>45642.35</v>
      </c>
      <c r="AR40" s="88">
        <v>19777.560000000001</v>
      </c>
      <c r="AS40" s="88">
        <v>0</v>
      </c>
      <c r="AT40" s="88">
        <v>8469.4699999999993</v>
      </c>
      <c r="AU40" s="88">
        <v>27121.56</v>
      </c>
      <c r="AV40" s="88">
        <v>47779.65</v>
      </c>
      <c r="AW40" s="88">
        <v>1378870.49</v>
      </c>
      <c r="AX40" s="88">
        <v>0</v>
      </c>
      <c r="AY40" s="81">
        <f t="shared" si="14"/>
        <v>0</v>
      </c>
      <c r="AZ40" s="89">
        <v>0</v>
      </c>
      <c r="BA40" s="81">
        <v>7.2547785431471751E-2</v>
      </c>
      <c r="BB40" s="79">
        <v>470195.56</v>
      </c>
      <c r="BC40" s="79">
        <v>2245494.41</v>
      </c>
      <c r="BD40" s="80">
        <v>216828.79</v>
      </c>
      <c r="BE40" s="80">
        <v>0</v>
      </c>
      <c r="BF40" s="80">
        <v>346696.96000000002</v>
      </c>
      <c r="BG40" s="80">
        <v>1979.3375000004901</v>
      </c>
      <c r="BH40" s="80">
        <v>1979.3375000004901</v>
      </c>
      <c r="BI40" s="80">
        <v>0</v>
      </c>
      <c r="BJ40" s="80">
        <f t="shared" si="15"/>
        <v>1979.3375000004901</v>
      </c>
      <c r="BK40" s="80">
        <v>0</v>
      </c>
      <c r="BL40" s="80">
        <v>3544</v>
      </c>
      <c r="BM40" s="80">
        <v>1006</v>
      </c>
      <c r="BN40" s="79">
        <v>0</v>
      </c>
      <c r="BO40" s="79">
        <v>0</v>
      </c>
      <c r="BP40" s="79">
        <v>-18</v>
      </c>
      <c r="BQ40" s="79">
        <v>-65</v>
      </c>
      <c r="BR40" s="79">
        <v>-139</v>
      </c>
      <c r="BS40" s="79">
        <v>-355</v>
      </c>
      <c r="BT40" s="79">
        <v>4</v>
      </c>
      <c r="BU40" s="79">
        <v>0</v>
      </c>
      <c r="BV40" s="79">
        <v>0</v>
      </c>
      <c r="BW40" s="79">
        <v>-627</v>
      </c>
      <c r="BX40" s="79">
        <v>-4</v>
      </c>
      <c r="BY40" s="79">
        <v>3346</v>
      </c>
      <c r="BZ40" s="79">
        <v>4</v>
      </c>
      <c r="CA40" s="79">
        <v>107</v>
      </c>
      <c r="CB40" s="79">
        <v>61</v>
      </c>
      <c r="CC40" s="79">
        <v>455</v>
      </c>
      <c r="CD40" s="79">
        <v>1</v>
      </c>
      <c r="CE40" s="79">
        <v>3</v>
      </c>
    </row>
    <row r="41" spans="1:83" ht="15.6" customHeight="1" x14ac:dyDescent="0.25">
      <c r="A41" s="36">
        <v>4</v>
      </c>
      <c r="B41" s="40" t="s">
        <v>191</v>
      </c>
      <c r="C41" s="69" t="s">
        <v>192</v>
      </c>
      <c r="D41" s="40" t="s">
        <v>542</v>
      </c>
      <c r="E41" s="40" t="s">
        <v>109</v>
      </c>
      <c r="F41" s="40" t="s">
        <v>160</v>
      </c>
      <c r="G41" s="88">
        <v>19784946.050000001</v>
      </c>
      <c r="H41" s="88">
        <v>0</v>
      </c>
      <c r="I41" s="88">
        <v>472381.32</v>
      </c>
      <c r="J41" s="88">
        <v>0</v>
      </c>
      <c r="K41" s="89">
        <v>0</v>
      </c>
      <c r="L41" s="89">
        <v>20257327.370000001</v>
      </c>
      <c r="M41" s="89">
        <v>0</v>
      </c>
      <c r="N41" s="88">
        <v>4505.49</v>
      </c>
      <c r="O41" s="88">
        <v>1642668.64</v>
      </c>
      <c r="P41" s="90">
        <v>6481427.5</v>
      </c>
      <c r="Q41" s="88">
        <v>0</v>
      </c>
      <c r="R41" s="88">
        <v>1192446.6100000001</v>
      </c>
      <c r="S41" s="88">
        <v>5248761.1100000003</v>
      </c>
      <c r="T41" s="88">
        <v>3463605.6</v>
      </c>
      <c r="U41" s="88">
        <v>0</v>
      </c>
      <c r="V41" s="88">
        <v>0</v>
      </c>
      <c r="W41" s="88">
        <v>637737.92000000004</v>
      </c>
      <c r="X41" s="89">
        <v>1686195.0899999999</v>
      </c>
      <c r="Y41" s="89">
        <v>20357347.960000001</v>
      </c>
      <c r="Z41" s="81">
        <v>2.3748427658714388E-2</v>
      </c>
      <c r="AA41" s="89">
        <v>1681705.66</v>
      </c>
      <c r="AB41" s="89">
        <v>0</v>
      </c>
      <c r="AC41" s="89">
        <v>0</v>
      </c>
      <c r="AD41" s="89">
        <v>0</v>
      </c>
      <c r="AE41" s="89">
        <v>0</v>
      </c>
      <c r="AF41" s="89">
        <f t="shared" si="13"/>
        <v>0</v>
      </c>
      <c r="AG41" s="89">
        <v>691016.98</v>
      </c>
      <c r="AH41" s="88">
        <v>51354.76</v>
      </c>
      <c r="AI41" s="88">
        <v>190771.52</v>
      </c>
      <c r="AJ41" s="89">
        <v>0</v>
      </c>
      <c r="AK41" s="88">
        <v>147623.24</v>
      </c>
      <c r="AL41" s="88">
        <v>3583.7</v>
      </c>
      <c r="AM41" s="88">
        <v>87532.2</v>
      </c>
      <c r="AN41" s="88">
        <v>9500</v>
      </c>
      <c r="AO41" s="88">
        <v>78000</v>
      </c>
      <c r="AP41" s="88">
        <v>18467.79</v>
      </c>
      <c r="AQ41" s="88">
        <v>54296.959999999999</v>
      </c>
      <c r="AR41" s="88">
        <v>9670.93</v>
      </c>
      <c r="AS41" s="88">
        <v>0</v>
      </c>
      <c r="AT41" s="88">
        <v>47067.32</v>
      </c>
      <c r="AU41" s="88">
        <v>43845.35</v>
      </c>
      <c r="AV41" s="88">
        <v>70337.31</v>
      </c>
      <c r="AW41" s="88">
        <v>1503068.06</v>
      </c>
      <c r="AX41" s="88">
        <v>0</v>
      </c>
      <c r="AY41" s="81">
        <f t="shared" si="14"/>
        <v>0</v>
      </c>
      <c r="AZ41" s="89">
        <v>0</v>
      </c>
      <c r="BA41" s="81">
        <v>8.4999254268878832E-2</v>
      </c>
      <c r="BB41" s="79">
        <v>215232.22</v>
      </c>
      <c r="BC41" s="79">
        <v>254629.14</v>
      </c>
      <c r="BD41" s="80">
        <v>219587</v>
      </c>
      <c r="BE41" s="80">
        <v>0</v>
      </c>
      <c r="BF41" s="80">
        <v>265205.83</v>
      </c>
      <c r="BG41" s="80">
        <v>0</v>
      </c>
      <c r="BH41" s="80">
        <v>0</v>
      </c>
      <c r="BI41" s="80">
        <v>0</v>
      </c>
      <c r="BJ41" s="80">
        <f t="shared" si="15"/>
        <v>0</v>
      </c>
      <c r="BK41" s="80">
        <v>0</v>
      </c>
      <c r="BL41" s="80">
        <v>3225</v>
      </c>
      <c r="BM41" s="80">
        <v>1228</v>
      </c>
      <c r="BN41" s="79">
        <v>27</v>
      </c>
      <c r="BO41" s="79">
        <v>-32</v>
      </c>
      <c r="BP41" s="79">
        <v>-26</v>
      </c>
      <c r="BQ41" s="79">
        <v>-136</v>
      </c>
      <c r="BR41" s="79">
        <v>-259</v>
      </c>
      <c r="BS41" s="79">
        <v>-426</v>
      </c>
      <c r="BT41" s="79">
        <v>1</v>
      </c>
      <c r="BU41" s="79">
        <v>-10</v>
      </c>
      <c r="BV41" s="79">
        <v>6</v>
      </c>
      <c r="BW41" s="79">
        <v>-460</v>
      </c>
      <c r="BX41" s="79">
        <v>-5</v>
      </c>
      <c r="BY41" s="79">
        <v>3133</v>
      </c>
      <c r="BZ41" s="79">
        <v>9</v>
      </c>
      <c r="CA41" s="79">
        <v>147</v>
      </c>
      <c r="CB41" s="79">
        <v>64</v>
      </c>
      <c r="CC41" s="79">
        <v>268</v>
      </c>
      <c r="CD41" s="79">
        <v>3</v>
      </c>
      <c r="CE41" s="79">
        <v>5</v>
      </c>
    </row>
    <row r="42" spans="1:83" ht="15.6" customHeight="1" x14ac:dyDescent="0.25">
      <c r="A42" s="36">
        <v>4</v>
      </c>
      <c r="B42" s="40" t="s">
        <v>193</v>
      </c>
      <c r="C42" s="67" t="s">
        <v>148</v>
      </c>
      <c r="D42" s="40" t="s">
        <v>171</v>
      </c>
      <c r="E42" s="41" t="s">
        <v>86</v>
      </c>
      <c r="F42" s="40" t="s">
        <v>172</v>
      </c>
      <c r="G42" s="88">
        <v>23997655.059999999</v>
      </c>
      <c r="H42" s="88">
        <v>0</v>
      </c>
      <c r="I42" s="88">
        <v>654178.80999999994</v>
      </c>
      <c r="J42" s="88">
        <v>0</v>
      </c>
      <c r="K42" s="89">
        <v>0</v>
      </c>
      <c r="L42" s="89">
        <v>24651833.870000001</v>
      </c>
      <c r="M42" s="89">
        <v>0</v>
      </c>
      <c r="N42" s="88">
        <v>1621913.36</v>
      </c>
      <c r="O42" s="88">
        <v>1809400.81</v>
      </c>
      <c r="P42" s="90">
        <v>9559363.6999999993</v>
      </c>
      <c r="Q42" s="88">
        <v>0</v>
      </c>
      <c r="R42" s="88">
        <v>1708235.21</v>
      </c>
      <c r="S42" s="88">
        <v>4275564.3600000003</v>
      </c>
      <c r="T42" s="88">
        <v>2917569.95</v>
      </c>
      <c r="U42" s="88">
        <v>0</v>
      </c>
      <c r="V42" s="88">
        <v>0</v>
      </c>
      <c r="W42" s="88">
        <v>654078.81000000006</v>
      </c>
      <c r="X42" s="89">
        <v>1919834.15</v>
      </c>
      <c r="Y42" s="89">
        <v>24465960.350000001</v>
      </c>
      <c r="Z42" s="81">
        <v>0.12017095682014525</v>
      </c>
      <c r="AA42" s="89">
        <v>1919834.15</v>
      </c>
      <c r="AB42" s="89">
        <v>0</v>
      </c>
      <c r="AC42" s="89">
        <v>0</v>
      </c>
      <c r="AD42" s="89">
        <v>0</v>
      </c>
      <c r="AE42" s="89">
        <v>0</v>
      </c>
      <c r="AF42" s="89">
        <f t="shared" si="13"/>
        <v>0</v>
      </c>
      <c r="AG42" s="89">
        <v>1003739.1</v>
      </c>
      <c r="AH42" s="88">
        <v>74008.39</v>
      </c>
      <c r="AI42" s="88">
        <v>234319.81</v>
      </c>
      <c r="AJ42" s="89">
        <v>0</v>
      </c>
      <c r="AK42" s="88">
        <v>110777.36</v>
      </c>
      <c r="AL42" s="88">
        <v>0</v>
      </c>
      <c r="AM42" s="88">
        <v>66893.42</v>
      </c>
      <c r="AN42" s="88">
        <v>9900</v>
      </c>
      <c r="AO42" s="88">
        <v>1000</v>
      </c>
      <c r="AP42" s="88">
        <v>0</v>
      </c>
      <c r="AQ42" s="88">
        <v>49392.800000000003</v>
      </c>
      <c r="AR42" s="88">
        <v>18492.939999999999</v>
      </c>
      <c r="AS42" s="88">
        <v>0</v>
      </c>
      <c r="AT42" s="88">
        <v>24701.74</v>
      </c>
      <c r="AU42" s="88">
        <v>54000</v>
      </c>
      <c r="AV42" s="88">
        <v>48195.91</v>
      </c>
      <c r="AW42" s="88">
        <v>1695421.47</v>
      </c>
      <c r="AX42" s="88">
        <v>0</v>
      </c>
      <c r="AY42" s="81">
        <f t="shared" si="14"/>
        <v>0</v>
      </c>
      <c r="AZ42" s="89">
        <v>0</v>
      </c>
      <c r="BA42" s="81">
        <v>8.0000906138535027E-2</v>
      </c>
      <c r="BB42" s="79">
        <v>511520.99</v>
      </c>
      <c r="BC42" s="79">
        <v>2372300.1800000002</v>
      </c>
      <c r="BD42" s="80">
        <v>219587</v>
      </c>
      <c r="BE42" s="80">
        <v>0</v>
      </c>
      <c r="BF42" s="80">
        <v>237185.81</v>
      </c>
      <c r="BG42" s="80">
        <v>0</v>
      </c>
      <c r="BH42" s="80">
        <v>0</v>
      </c>
      <c r="BI42" s="80">
        <v>0</v>
      </c>
      <c r="BJ42" s="80">
        <f t="shared" si="15"/>
        <v>0</v>
      </c>
      <c r="BK42" s="80">
        <v>0</v>
      </c>
      <c r="BL42" s="80">
        <v>3745</v>
      </c>
      <c r="BM42" s="80">
        <v>999</v>
      </c>
      <c r="BN42" s="79">
        <v>0</v>
      </c>
      <c r="BO42" s="79">
        <v>0</v>
      </c>
      <c r="BP42" s="79">
        <v>-17</v>
      </c>
      <c r="BQ42" s="79">
        <v>-68</v>
      </c>
      <c r="BR42" s="79">
        <v>-111</v>
      </c>
      <c r="BS42" s="79">
        <v>-364</v>
      </c>
      <c r="BT42" s="79">
        <v>0</v>
      </c>
      <c r="BU42" s="79">
        <v>0</v>
      </c>
      <c r="BV42" s="79">
        <v>6</v>
      </c>
      <c r="BW42" s="79">
        <v>-703</v>
      </c>
      <c r="BX42" s="79">
        <v>-4</v>
      </c>
      <c r="BY42" s="79">
        <v>3483</v>
      </c>
      <c r="BZ42" s="79">
        <v>11</v>
      </c>
      <c r="CA42" s="79">
        <v>137</v>
      </c>
      <c r="CB42" s="79">
        <v>72</v>
      </c>
      <c r="CC42" s="79">
        <v>487</v>
      </c>
      <c r="CD42" s="79">
        <v>0</v>
      </c>
      <c r="CE42" s="79">
        <v>7</v>
      </c>
    </row>
    <row r="43" spans="1:83" ht="15.6" customHeight="1" x14ac:dyDescent="0.25">
      <c r="A43" s="51">
        <v>4</v>
      </c>
      <c r="B43" s="50" t="s">
        <v>174</v>
      </c>
      <c r="C43" s="77" t="s">
        <v>241</v>
      </c>
      <c r="D43" s="50" t="s">
        <v>168</v>
      </c>
      <c r="E43" s="41" t="s">
        <v>86</v>
      </c>
      <c r="F43" s="50" t="s">
        <v>167</v>
      </c>
      <c r="G43" s="88">
        <v>21276334.829999998</v>
      </c>
      <c r="H43" s="88">
        <v>0</v>
      </c>
      <c r="I43" s="88">
        <v>678379.46</v>
      </c>
      <c r="J43" s="88">
        <v>0</v>
      </c>
      <c r="K43" s="89">
        <v>0</v>
      </c>
      <c r="L43" s="89">
        <v>21954714.289999999</v>
      </c>
      <c r="M43" s="89">
        <v>0</v>
      </c>
      <c r="N43" s="88">
        <v>0</v>
      </c>
      <c r="O43" s="88">
        <v>5941214.2199999997</v>
      </c>
      <c r="P43" s="90">
        <v>1122445.67</v>
      </c>
      <c r="Q43" s="88">
        <v>0</v>
      </c>
      <c r="R43" s="88">
        <v>2168386.9300000002</v>
      </c>
      <c r="S43" s="88">
        <v>6219247.3499999996</v>
      </c>
      <c r="T43" s="88">
        <v>2791522.48</v>
      </c>
      <c r="U43" s="88">
        <v>0</v>
      </c>
      <c r="V43" s="88">
        <v>0</v>
      </c>
      <c r="W43" s="88">
        <v>1142851.42</v>
      </c>
      <c r="X43" s="89">
        <v>1750351.1800000002</v>
      </c>
      <c r="Y43" s="89">
        <v>21136019.25</v>
      </c>
      <c r="Z43" s="81">
        <v>9.7691108295084123E-2</v>
      </c>
      <c r="AA43" s="89">
        <v>1671897.83</v>
      </c>
      <c r="AB43" s="89">
        <v>0</v>
      </c>
      <c r="AC43" s="89">
        <v>0</v>
      </c>
      <c r="AD43" s="89">
        <v>0</v>
      </c>
      <c r="AE43" s="89">
        <v>0</v>
      </c>
      <c r="AF43" s="89">
        <f t="shared" si="13"/>
        <v>0</v>
      </c>
      <c r="AG43" s="89">
        <v>781471.89</v>
      </c>
      <c r="AH43" s="88">
        <v>63585.51</v>
      </c>
      <c r="AI43" s="88">
        <v>142947.78</v>
      </c>
      <c r="AJ43" s="89">
        <v>0</v>
      </c>
      <c r="AK43" s="88">
        <v>168117.48</v>
      </c>
      <c r="AL43" s="88">
        <v>53611.360000000001</v>
      </c>
      <c r="AM43" s="88">
        <v>59631.67</v>
      </c>
      <c r="AN43" s="88">
        <v>9100</v>
      </c>
      <c r="AO43" s="88">
        <v>6067.97</v>
      </c>
      <c r="AP43" s="88">
        <v>0</v>
      </c>
      <c r="AQ43" s="88">
        <v>46754.97</v>
      </c>
      <c r="AR43" s="88">
        <v>15012.11</v>
      </c>
      <c r="AS43" s="88">
        <v>0</v>
      </c>
      <c r="AT43" s="88">
        <v>10853.32</v>
      </c>
      <c r="AU43" s="88">
        <v>20470.419999999998</v>
      </c>
      <c r="AV43" s="88">
        <v>40227.229999999996</v>
      </c>
      <c r="AW43" s="88">
        <v>1417851.71</v>
      </c>
      <c r="AX43" s="88">
        <v>0</v>
      </c>
      <c r="AY43" s="81">
        <f t="shared" si="14"/>
        <v>0</v>
      </c>
      <c r="AZ43" s="89">
        <v>0</v>
      </c>
      <c r="BA43" s="81">
        <v>7.8580161637736373E-2</v>
      </c>
      <c r="BB43" s="79">
        <v>1539855.18</v>
      </c>
      <c r="BC43" s="79">
        <v>538653.55000000005</v>
      </c>
      <c r="BD43" s="80">
        <v>216829</v>
      </c>
      <c r="BE43" s="80">
        <v>5.8207660913467401E-11</v>
      </c>
      <c r="BF43" s="80">
        <v>316934.3</v>
      </c>
      <c r="BG43" s="80">
        <v>0</v>
      </c>
      <c r="BH43" s="80">
        <v>0</v>
      </c>
      <c r="BI43" s="80">
        <v>0</v>
      </c>
      <c r="BJ43" s="80">
        <f t="shared" si="15"/>
        <v>0</v>
      </c>
      <c r="BK43" s="80">
        <v>0</v>
      </c>
      <c r="BL43" s="80">
        <v>3195</v>
      </c>
      <c r="BM43" s="80">
        <v>1701</v>
      </c>
      <c r="BN43" s="79">
        <v>0</v>
      </c>
      <c r="BO43" s="79">
        <v>0</v>
      </c>
      <c r="BP43" s="79">
        <v>-66</v>
      </c>
      <c r="BQ43" s="79">
        <v>-77</v>
      </c>
      <c r="BR43" s="79">
        <v>-584</v>
      </c>
      <c r="BS43" s="79">
        <v>-336</v>
      </c>
      <c r="BT43" s="79">
        <v>0</v>
      </c>
      <c r="BU43" s="79">
        <v>0</v>
      </c>
      <c r="BV43" s="79">
        <v>0</v>
      </c>
      <c r="BW43" s="79">
        <v>-515</v>
      </c>
      <c r="BX43" s="79">
        <v>-1</v>
      </c>
      <c r="BY43" s="79">
        <v>3317</v>
      </c>
      <c r="BZ43" s="79">
        <v>10</v>
      </c>
      <c r="CA43" s="79">
        <v>236</v>
      </c>
      <c r="CB43" s="79">
        <v>69</v>
      </c>
      <c r="CC43" s="79">
        <v>181</v>
      </c>
      <c r="CD43" s="79">
        <v>2</v>
      </c>
      <c r="CE43" s="79">
        <v>27</v>
      </c>
    </row>
    <row r="44" spans="1:83" s="58" customFormat="1" ht="15.6" customHeight="1" x14ac:dyDescent="0.25">
      <c r="A44" s="51">
        <v>4</v>
      </c>
      <c r="B44" s="50" t="s">
        <v>543</v>
      </c>
      <c r="C44" s="67" t="s">
        <v>554</v>
      </c>
      <c r="D44" s="50" t="s">
        <v>159</v>
      </c>
      <c r="E44" s="50" t="s">
        <v>109</v>
      </c>
      <c r="F44" s="50" t="s">
        <v>160</v>
      </c>
      <c r="G44" s="88">
        <v>30338478.550000001</v>
      </c>
      <c r="H44" s="88">
        <v>0</v>
      </c>
      <c r="I44" s="88">
        <v>318497.8</v>
      </c>
      <c r="J44" s="88">
        <v>0</v>
      </c>
      <c r="K44" s="89">
        <v>0</v>
      </c>
      <c r="L44" s="89">
        <v>30656976.350000001</v>
      </c>
      <c r="M44" s="89">
        <v>0</v>
      </c>
      <c r="N44" s="88">
        <v>134540.34</v>
      </c>
      <c r="O44" s="88">
        <v>2409828.2000000002</v>
      </c>
      <c r="P44" s="90">
        <v>8957672.3200000003</v>
      </c>
      <c r="Q44" s="88">
        <v>148894.71</v>
      </c>
      <c r="R44" s="88">
        <v>2289922.85</v>
      </c>
      <c r="S44" s="88">
        <v>7843173.0999999996</v>
      </c>
      <c r="T44" s="88">
        <v>6306626.1500000004</v>
      </c>
      <c r="U44" s="88">
        <v>0</v>
      </c>
      <c r="V44" s="88">
        <v>0</v>
      </c>
      <c r="W44" s="88">
        <v>651466.64</v>
      </c>
      <c r="X44" s="89">
        <v>1983960.28</v>
      </c>
      <c r="Y44" s="89">
        <v>30726084.59</v>
      </c>
      <c r="Z44" s="81">
        <v>4.2675811770396109E-2</v>
      </c>
      <c r="AA44" s="89">
        <v>1972092.49</v>
      </c>
      <c r="AB44" s="89">
        <v>0</v>
      </c>
      <c r="AC44" s="89">
        <v>0</v>
      </c>
      <c r="AD44" s="89">
        <v>0</v>
      </c>
      <c r="AE44" s="89">
        <v>183.22</v>
      </c>
      <c r="AF44" s="89">
        <f t="shared" si="13"/>
        <v>183.22</v>
      </c>
      <c r="AG44" s="89">
        <v>892818.01</v>
      </c>
      <c r="AH44" s="88">
        <v>67540.08</v>
      </c>
      <c r="AI44" s="88">
        <v>247499.09</v>
      </c>
      <c r="AJ44" s="89">
        <v>0</v>
      </c>
      <c r="AK44" s="88">
        <v>142389.85</v>
      </c>
      <c r="AL44" s="88">
        <v>30511.8</v>
      </c>
      <c r="AM44" s="88">
        <v>109214.42</v>
      </c>
      <c r="AN44" s="88">
        <v>12200</v>
      </c>
      <c r="AO44" s="88">
        <v>10698</v>
      </c>
      <c r="AP44" s="88">
        <v>0</v>
      </c>
      <c r="AQ44" s="88">
        <v>56901.43</v>
      </c>
      <c r="AR44" s="88">
        <v>24731.11</v>
      </c>
      <c r="AS44" s="88">
        <v>0</v>
      </c>
      <c r="AT44" s="88">
        <v>2134.87</v>
      </c>
      <c r="AU44" s="88">
        <v>65751.14</v>
      </c>
      <c r="AV44" s="88">
        <v>63480.28</v>
      </c>
      <c r="AW44" s="88">
        <v>1725870.0800000001</v>
      </c>
      <c r="AX44" s="88">
        <v>0</v>
      </c>
      <c r="AY44" s="81">
        <f t="shared" si="14"/>
        <v>0</v>
      </c>
      <c r="AZ44" s="89">
        <v>0</v>
      </c>
      <c r="BA44" s="81">
        <v>6.5003012156652787E-2</v>
      </c>
      <c r="BB44" s="79">
        <v>356884.88</v>
      </c>
      <c r="BC44" s="79">
        <v>937834.32</v>
      </c>
      <c r="BD44" s="80">
        <v>216828.96</v>
      </c>
      <c r="BE44" s="80">
        <v>0</v>
      </c>
      <c r="BF44" s="80">
        <v>223351.83</v>
      </c>
      <c r="BG44" s="80">
        <v>0</v>
      </c>
      <c r="BH44" s="80">
        <v>0</v>
      </c>
      <c r="BI44" s="80">
        <v>0</v>
      </c>
      <c r="BJ44" s="80">
        <f t="shared" si="15"/>
        <v>0</v>
      </c>
      <c r="BK44" s="80">
        <v>0</v>
      </c>
      <c r="BL44" s="80">
        <v>5309</v>
      </c>
      <c r="BM44" s="80">
        <v>1718</v>
      </c>
      <c r="BN44" s="79">
        <v>0</v>
      </c>
      <c r="BO44" s="79">
        <v>0</v>
      </c>
      <c r="BP44" s="79">
        <v>-11</v>
      </c>
      <c r="BQ44" s="79">
        <v>-147</v>
      </c>
      <c r="BR44" s="79">
        <v>-227</v>
      </c>
      <c r="BS44" s="79">
        <v>-539</v>
      </c>
      <c r="BT44" s="79">
        <v>3</v>
      </c>
      <c r="BU44" s="79">
        <v>0</v>
      </c>
      <c r="BV44" s="79">
        <v>68</v>
      </c>
      <c r="BW44" s="79">
        <v>-961</v>
      </c>
      <c r="BX44" s="79">
        <v>-2</v>
      </c>
      <c r="BY44" s="79">
        <v>5211</v>
      </c>
      <c r="BZ44" s="79">
        <v>32</v>
      </c>
      <c r="CA44" s="79">
        <v>221</v>
      </c>
      <c r="CB44" s="79">
        <v>88</v>
      </c>
      <c r="CC44" s="79">
        <v>609</v>
      </c>
      <c r="CD44" s="79">
        <v>1</v>
      </c>
      <c r="CE44" s="79">
        <v>15</v>
      </c>
    </row>
    <row r="45" spans="1:83" ht="15.6" customHeight="1" x14ac:dyDescent="0.25">
      <c r="A45" s="36">
        <v>4</v>
      </c>
      <c r="B45" s="40" t="s">
        <v>194</v>
      </c>
      <c r="C45" s="67" t="s">
        <v>195</v>
      </c>
      <c r="D45" s="40" t="s">
        <v>196</v>
      </c>
      <c r="E45" s="41" t="s">
        <v>86</v>
      </c>
      <c r="F45" s="40" t="s">
        <v>172</v>
      </c>
      <c r="G45" s="88">
        <v>24557323.559999999</v>
      </c>
      <c r="H45" s="88">
        <v>0</v>
      </c>
      <c r="I45" s="88">
        <v>496491.5</v>
      </c>
      <c r="J45" s="88">
        <v>0</v>
      </c>
      <c r="K45" s="89">
        <v>0</v>
      </c>
      <c r="L45" s="89">
        <v>25053815.059999999</v>
      </c>
      <c r="M45" s="89">
        <v>0</v>
      </c>
      <c r="N45" s="88">
        <v>2076782.48</v>
      </c>
      <c r="O45" s="88">
        <v>2527884.2599999998</v>
      </c>
      <c r="P45" s="90">
        <v>9789473.5700000003</v>
      </c>
      <c r="Q45" s="88">
        <v>0</v>
      </c>
      <c r="R45" s="88">
        <v>1445085.79</v>
      </c>
      <c r="S45" s="88">
        <v>4304177.7300000004</v>
      </c>
      <c r="T45" s="88">
        <v>2642802.4</v>
      </c>
      <c r="U45" s="88">
        <v>0</v>
      </c>
      <c r="V45" s="88">
        <v>0</v>
      </c>
      <c r="W45" s="88">
        <v>451601.4</v>
      </c>
      <c r="X45" s="89">
        <v>1847254.14</v>
      </c>
      <c r="Y45" s="89">
        <v>25085061.77</v>
      </c>
      <c r="Z45" s="81">
        <v>0.10587201221858275</v>
      </c>
      <c r="AA45" s="89">
        <v>1798991.73</v>
      </c>
      <c r="AB45" s="89">
        <v>0</v>
      </c>
      <c r="AC45" s="89">
        <v>0</v>
      </c>
      <c r="AD45" s="89">
        <v>0</v>
      </c>
      <c r="AE45" s="89">
        <v>281.11</v>
      </c>
      <c r="AF45" s="89">
        <f t="shared" si="13"/>
        <v>281.11</v>
      </c>
      <c r="AG45" s="89">
        <v>749577.2</v>
      </c>
      <c r="AH45" s="88">
        <v>55280.81</v>
      </c>
      <c r="AI45" s="88">
        <v>232084.97</v>
      </c>
      <c r="AJ45" s="89">
        <v>0</v>
      </c>
      <c r="AK45" s="88">
        <v>179116.88</v>
      </c>
      <c r="AL45" s="88">
        <v>8433.1200000000008</v>
      </c>
      <c r="AM45" s="88">
        <v>71960.55</v>
      </c>
      <c r="AN45" s="88">
        <v>9100</v>
      </c>
      <c r="AO45" s="88">
        <v>0</v>
      </c>
      <c r="AP45" s="88">
        <v>0</v>
      </c>
      <c r="AQ45" s="88">
        <v>38788.81</v>
      </c>
      <c r="AR45" s="88">
        <v>14720.59</v>
      </c>
      <c r="AS45" s="88">
        <v>0</v>
      </c>
      <c r="AT45" s="88">
        <v>32175.57</v>
      </c>
      <c r="AU45" s="88">
        <v>39523.08</v>
      </c>
      <c r="AV45" s="88">
        <v>90583.83</v>
      </c>
      <c r="AW45" s="88">
        <v>1521345.41</v>
      </c>
      <c r="AX45" s="88">
        <v>0</v>
      </c>
      <c r="AY45" s="81">
        <f t="shared" si="14"/>
        <v>0</v>
      </c>
      <c r="AZ45" s="89">
        <v>0</v>
      </c>
      <c r="BA45" s="81">
        <v>7.3256832146410017E-2</v>
      </c>
      <c r="BB45" s="79">
        <v>442847.38</v>
      </c>
      <c r="BC45" s="79">
        <v>2157085.88</v>
      </c>
      <c r="BD45" s="80">
        <v>219587</v>
      </c>
      <c r="BE45" s="80">
        <v>2.91038304567337E-11</v>
      </c>
      <c r="BF45" s="80">
        <v>311150.95</v>
      </c>
      <c r="BG45" s="80">
        <v>0</v>
      </c>
      <c r="BH45" s="80">
        <v>0</v>
      </c>
      <c r="BI45" s="80">
        <v>0</v>
      </c>
      <c r="BJ45" s="80">
        <f t="shared" si="15"/>
        <v>0</v>
      </c>
      <c r="BK45" s="80">
        <v>0</v>
      </c>
      <c r="BL45" s="80">
        <v>3025</v>
      </c>
      <c r="BM45" s="80">
        <v>1138</v>
      </c>
      <c r="BN45" s="79">
        <v>0</v>
      </c>
      <c r="BO45" s="79">
        <v>0</v>
      </c>
      <c r="BP45" s="79">
        <v>-7</v>
      </c>
      <c r="BQ45" s="79">
        <v>-34</v>
      </c>
      <c r="BR45" s="79">
        <v>-224</v>
      </c>
      <c r="BS45" s="79">
        <v>-356</v>
      </c>
      <c r="BT45" s="79">
        <v>0</v>
      </c>
      <c r="BU45" s="79">
        <v>0</v>
      </c>
      <c r="BV45" s="79">
        <v>9</v>
      </c>
      <c r="BW45" s="79">
        <v>-476</v>
      </c>
      <c r="BX45" s="79">
        <v>-4</v>
      </c>
      <c r="BY45" s="79">
        <v>3071</v>
      </c>
      <c r="BZ45" s="79">
        <v>0</v>
      </c>
      <c r="CA45" s="79">
        <v>92</v>
      </c>
      <c r="CB45" s="79">
        <v>63</v>
      </c>
      <c r="CC45" s="79">
        <v>316</v>
      </c>
      <c r="CD45" s="79">
        <v>0</v>
      </c>
      <c r="CE45" s="79">
        <v>4</v>
      </c>
    </row>
    <row r="46" spans="1:83" s="58" customFormat="1" ht="15.6" customHeight="1" x14ac:dyDescent="0.25">
      <c r="A46" s="51">
        <v>5</v>
      </c>
      <c r="B46" s="52" t="s">
        <v>197</v>
      </c>
      <c r="C46" s="77" t="s">
        <v>198</v>
      </c>
      <c r="D46" s="50" t="s">
        <v>199</v>
      </c>
      <c r="E46" s="50" t="s">
        <v>104</v>
      </c>
      <c r="F46" s="50" t="s">
        <v>200</v>
      </c>
      <c r="G46" s="89">
        <v>37651692.969999999</v>
      </c>
      <c r="H46" s="89">
        <v>160580.87</v>
      </c>
      <c r="I46" s="89">
        <v>915606.6</v>
      </c>
      <c r="J46" s="89">
        <v>0</v>
      </c>
      <c r="K46" s="89">
        <v>0</v>
      </c>
      <c r="L46" s="89">
        <v>38727880.439999998</v>
      </c>
      <c r="M46" s="89">
        <v>0</v>
      </c>
      <c r="N46" s="89">
        <v>11847400.300000001</v>
      </c>
      <c r="O46" s="89">
        <v>2175575.59</v>
      </c>
      <c r="P46" s="89">
        <v>13380005.98</v>
      </c>
      <c r="Q46" s="89">
        <v>158350.49</v>
      </c>
      <c r="R46" s="89">
        <v>1348750.8</v>
      </c>
      <c r="S46" s="89">
        <v>2878085.14</v>
      </c>
      <c r="T46" s="89">
        <v>2957402.02</v>
      </c>
      <c r="U46" s="89">
        <v>0</v>
      </c>
      <c r="V46" s="89">
        <v>0</v>
      </c>
      <c r="W46" s="89">
        <v>1379797.76</v>
      </c>
      <c r="X46" s="89">
        <v>2260854.2799999998</v>
      </c>
      <c r="Y46" s="89">
        <v>38386222.359999999</v>
      </c>
      <c r="Z46" s="81">
        <v>4.4998074889642768E-2</v>
      </c>
      <c r="AA46" s="89">
        <v>2259089.2799999998</v>
      </c>
      <c r="AB46" s="89">
        <v>0</v>
      </c>
      <c r="AC46" s="89">
        <v>0</v>
      </c>
      <c r="AD46" s="89">
        <v>0</v>
      </c>
      <c r="AE46" s="89">
        <v>0</v>
      </c>
      <c r="AF46" s="89">
        <f t="shared" si="13"/>
        <v>0</v>
      </c>
      <c r="AG46" s="89">
        <v>1094271.27</v>
      </c>
      <c r="AH46" s="89">
        <v>83268.929999999993</v>
      </c>
      <c r="AI46" s="89">
        <v>246465.7</v>
      </c>
      <c r="AJ46" s="89">
        <v>0</v>
      </c>
      <c r="AK46" s="89">
        <v>147933.96</v>
      </c>
      <c r="AL46" s="89">
        <v>31320.28</v>
      </c>
      <c r="AM46" s="89">
        <v>111548.93</v>
      </c>
      <c r="AN46" s="89">
        <v>11400</v>
      </c>
      <c r="AO46" s="89">
        <v>7034.5</v>
      </c>
      <c r="AP46" s="89">
        <v>62461.279999999999</v>
      </c>
      <c r="AQ46" s="89">
        <v>39870.69</v>
      </c>
      <c r="AR46" s="89">
        <v>17373</v>
      </c>
      <c r="AS46" s="89">
        <v>0</v>
      </c>
      <c r="AT46" s="89">
        <v>2801</v>
      </c>
      <c r="AU46" s="89">
        <v>72903.710000000006</v>
      </c>
      <c r="AV46" s="89">
        <v>73039</v>
      </c>
      <c r="AW46" s="89">
        <v>2001691.5</v>
      </c>
      <c r="AX46" s="89">
        <v>0</v>
      </c>
      <c r="AY46" s="81">
        <f t="shared" si="14"/>
        <v>0</v>
      </c>
      <c r="AZ46" s="89">
        <v>0</v>
      </c>
      <c r="BA46" s="81">
        <v>5.9999673369268945E-2</v>
      </c>
      <c r="BB46" s="80">
        <v>817199.66</v>
      </c>
      <c r="BC46" s="80">
        <v>884279.87</v>
      </c>
      <c r="BD46" s="80">
        <v>219587</v>
      </c>
      <c r="BE46" s="80">
        <v>0</v>
      </c>
      <c r="BF46" s="80">
        <v>468817.75</v>
      </c>
      <c r="BG46" s="80">
        <v>0</v>
      </c>
      <c r="BH46" s="80">
        <v>0</v>
      </c>
      <c r="BI46" s="80">
        <v>0</v>
      </c>
      <c r="BJ46" s="80">
        <f t="shared" si="15"/>
        <v>0</v>
      </c>
      <c r="BK46" s="80">
        <v>0</v>
      </c>
      <c r="BL46" s="80">
        <v>4754</v>
      </c>
      <c r="BM46" s="80">
        <v>1514</v>
      </c>
      <c r="BN46" s="80">
        <v>62</v>
      </c>
      <c r="BO46" s="80">
        <v>0</v>
      </c>
      <c r="BP46" s="80">
        <v>-21</v>
      </c>
      <c r="BQ46" s="80">
        <v>-55</v>
      </c>
      <c r="BR46" s="80">
        <v>-257</v>
      </c>
      <c r="BS46" s="80">
        <v>-500</v>
      </c>
      <c r="BT46" s="80">
        <v>0</v>
      </c>
      <c r="BU46" s="80">
        <v>0</v>
      </c>
      <c r="BV46" s="80">
        <v>-30</v>
      </c>
      <c r="BW46" s="80">
        <v>-806</v>
      </c>
      <c r="BX46" s="80">
        <v>0</v>
      </c>
      <c r="BY46" s="80">
        <v>4661</v>
      </c>
      <c r="BZ46" s="80">
        <v>3</v>
      </c>
      <c r="CA46" s="80">
        <v>125</v>
      </c>
      <c r="CB46" s="80">
        <v>36</v>
      </c>
      <c r="CC46" s="80">
        <v>156</v>
      </c>
      <c r="CD46" s="80">
        <v>473</v>
      </c>
      <c r="CE46" s="80">
        <v>16</v>
      </c>
    </row>
    <row r="47" spans="1:83" ht="15.6" customHeight="1" x14ac:dyDescent="0.25">
      <c r="A47" s="38">
        <v>5</v>
      </c>
      <c r="B47" s="39" t="s">
        <v>201</v>
      </c>
      <c r="C47" s="70" t="s">
        <v>202</v>
      </c>
      <c r="D47" s="40" t="s">
        <v>199</v>
      </c>
      <c r="E47" s="40" t="s">
        <v>122</v>
      </c>
      <c r="F47" s="40" t="s">
        <v>200</v>
      </c>
      <c r="G47" s="88">
        <v>22136812.699999999</v>
      </c>
      <c r="H47" s="88">
        <v>0</v>
      </c>
      <c r="I47" s="88">
        <v>3185027.57</v>
      </c>
      <c r="J47" s="88">
        <v>0</v>
      </c>
      <c r="K47" s="89">
        <v>5808.12</v>
      </c>
      <c r="L47" s="89">
        <v>25327648.390000001</v>
      </c>
      <c r="M47" s="89">
        <v>0</v>
      </c>
      <c r="N47" s="88">
        <v>6906091.46</v>
      </c>
      <c r="O47" s="88">
        <v>1231453.4099999999</v>
      </c>
      <c r="P47" s="90">
        <v>8137513.7000000002</v>
      </c>
      <c r="Q47" s="88">
        <v>25462.66</v>
      </c>
      <c r="R47" s="88">
        <v>873746.08</v>
      </c>
      <c r="S47" s="88">
        <v>2708312.02</v>
      </c>
      <c r="T47" s="88">
        <v>2222286.87</v>
      </c>
      <c r="U47" s="88">
        <v>0</v>
      </c>
      <c r="V47" s="88">
        <v>681.16</v>
      </c>
      <c r="W47" s="88">
        <v>1059391.26</v>
      </c>
      <c r="X47" s="89">
        <v>1923254.9600000002</v>
      </c>
      <c r="Y47" s="89">
        <v>25088193.579999998</v>
      </c>
      <c r="Z47" s="81">
        <v>9.6780120473260359E-2</v>
      </c>
      <c r="AA47" s="89">
        <v>1917420.36</v>
      </c>
      <c r="AB47" s="89">
        <v>0</v>
      </c>
      <c r="AC47" s="89">
        <v>0</v>
      </c>
      <c r="AD47" s="89">
        <v>5834.6</v>
      </c>
      <c r="AE47" s="89">
        <v>0</v>
      </c>
      <c r="AF47" s="89">
        <f t="shared" si="13"/>
        <v>5834.6</v>
      </c>
      <c r="AG47" s="89">
        <v>982071.18</v>
      </c>
      <c r="AH47" s="88">
        <v>72525.539999999994</v>
      </c>
      <c r="AI47" s="88">
        <v>220718.16</v>
      </c>
      <c r="AJ47" s="89">
        <v>11609.44</v>
      </c>
      <c r="AK47" s="88">
        <v>39240.89</v>
      </c>
      <c r="AL47" s="88">
        <v>48956.82</v>
      </c>
      <c r="AM47" s="88">
        <v>64685.56</v>
      </c>
      <c r="AN47" s="88">
        <v>11000</v>
      </c>
      <c r="AO47" s="88">
        <v>4200</v>
      </c>
      <c r="AP47" s="88">
        <v>29112.68</v>
      </c>
      <c r="AQ47" s="88">
        <v>53396.53</v>
      </c>
      <c r="AR47" s="88">
        <v>12228.58</v>
      </c>
      <c r="AS47" s="88">
        <v>0</v>
      </c>
      <c r="AT47" s="88">
        <v>7884.22</v>
      </c>
      <c r="AU47" s="88">
        <v>36000</v>
      </c>
      <c r="AV47" s="88">
        <v>90240.12</v>
      </c>
      <c r="AW47" s="88">
        <v>1683869.72</v>
      </c>
      <c r="AX47" s="88">
        <v>0</v>
      </c>
      <c r="AY47" s="81">
        <f t="shared" si="14"/>
        <v>0</v>
      </c>
      <c r="AZ47" s="89">
        <v>0</v>
      </c>
      <c r="BA47" s="81">
        <v>8.6616821761336948E-2</v>
      </c>
      <c r="BB47" s="79">
        <v>455418.12</v>
      </c>
      <c r="BC47" s="79">
        <v>1686985.28</v>
      </c>
      <c r="BD47" s="80">
        <v>219579</v>
      </c>
      <c r="BE47" s="80">
        <v>0</v>
      </c>
      <c r="BF47" s="80">
        <v>380714.140000001</v>
      </c>
      <c r="BG47" s="80">
        <v>0</v>
      </c>
      <c r="BH47" s="80">
        <v>0</v>
      </c>
      <c r="BI47" s="80">
        <v>0</v>
      </c>
      <c r="BJ47" s="80">
        <f t="shared" si="15"/>
        <v>0</v>
      </c>
      <c r="BK47" s="80">
        <v>0</v>
      </c>
      <c r="BL47" s="80">
        <v>2407</v>
      </c>
      <c r="BM47" s="80">
        <v>1093</v>
      </c>
      <c r="BN47" s="79">
        <v>63</v>
      </c>
      <c r="BO47" s="79">
        <v>0</v>
      </c>
      <c r="BP47" s="79">
        <v>-12</v>
      </c>
      <c r="BQ47" s="79">
        <v>-34</v>
      </c>
      <c r="BR47" s="79">
        <v>-157</v>
      </c>
      <c r="BS47" s="79">
        <v>-417</v>
      </c>
      <c r="BT47" s="79">
        <v>0</v>
      </c>
      <c r="BU47" s="79">
        <v>0</v>
      </c>
      <c r="BV47" s="79">
        <v>0</v>
      </c>
      <c r="BW47" s="79">
        <v>-311</v>
      </c>
      <c r="BX47" s="79">
        <v>0</v>
      </c>
      <c r="BY47" s="79">
        <v>2632</v>
      </c>
      <c r="BZ47" s="79">
        <v>1</v>
      </c>
      <c r="CA47" s="79">
        <v>168</v>
      </c>
      <c r="CB47" s="79">
        <v>29</v>
      </c>
      <c r="CC47" s="79">
        <v>75</v>
      </c>
      <c r="CD47" s="79">
        <v>36</v>
      </c>
      <c r="CE47" s="79">
        <v>3</v>
      </c>
    </row>
    <row r="48" spans="1:83" ht="15.6" customHeight="1" x14ac:dyDescent="0.25">
      <c r="A48" s="36">
        <v>5</v>
      </c>
      <c r="B48" s="37" t="s">
        <v>203</v>
      </c>
      <c r="C48" s="70" t="s">
        <v>204</v>
      </c>
      <c r="D48" s="40" t="s">
        <v>205</v>
      </c>
      <c r="E48" s="40" t="s">
        <v>109</v>
      </c>
      <c r="F48" s="40" t="s">
        <v>206</v>
      </c>
      <c r="G48" s="88">
        <v>30823650.710000001</v>
      </c>
      <c r="H48" s="88">
        <v>0</v>
      </c>
      <c r="I48" s="88">
        <v>1833829.79</v>
      </c>
      <c r="J48" s="88">
        <v>0</v>
      </c>
      <c r="K48" s="89">
        <v>0</v>
      </c>
      <c r="L48" s="89">
        <v>32657480.5</v>
      </c>
      <c r="M48" s="89">
        <v>0</v>
      </c>
      <c r="N48" s="88">
        <v>0</v>
      </c>
      <c r="O48" s="88">
        <v>5069156.8</v>
      </c>
      <c r="P48" s="90">
        <v>9782875.75</v>
      </c>
      <c r="Q48" s="88">
        <v>57440.480000000003</v>
      </c>
      <c r="R48" s="88">
        <v>2055140.88</v>
      </c>
      <c r="S48" s="88">
        <v>7073699.6299999999</v>
      </c>
      <c r="T48" s="88">
        <v>4429132.3099999996</v>
      </c>
      <c r="U48" s="88">
        <v>0</v>
      </c>
      <c r="V48" s="88">
        <v>0</v>
      </c>
      <c r="W48" s="88">
        <v>1835747.29</v>
      </c>
      <c r="X48" s="89">
        <v>2166523.92</v>
      </c>
      <c r="Y48" s="89">
        <v>32469717.059999999</v>
      </c>
      <c r="Z48" s="81">
        <v>0.18333639072047478</v>
      </c>
      <c r="AA48" s="89">
        <v>2166523.92</v>
      </c>
      <c r="AB48" s="89">
        <v>0</v>
      </c>
      <c r="AC48" s="89">
        <v>0</v>
      </c>
      <c r="AD48" s="89">
        <v>0</v>
      </c>
      <c r="AE48" s="89">
        <v>99.01</v>
      </c>
      <c r="AF48" s="89">
        <f t="shared" si="13"/>
        <v>99.01</v>
      </c>
      <c r="AG48" s="89">
        <v>1123891.8500000001</v>
      </c>
      <c r="AH48" s="88">
        <v>98453.6</v>
      </c>
      <c r="AI48" s="88">
        <v>233744.16</v>
      </c>
      <c r="AJ48" s="89">
        <v>0</v>
      </c>
      <c r="AK48" s="88">
        <v>127434.31</v>
      </c>
      <c r="AL48" s="88">
        <v>36180.81</v>
      </c>
      <c r="AM48" s="88">
        <v>83919.87</v>
      </c>
      <c r="AN48" s="88">
        <v>11400</v>
      </c>
      <c r="AO48" s="88">
        <v>4400</v>
      </c>
      <c r="AP48" s="88">
        <v>57072.26</v>
      </c>
      <c r="AQ48" s="88">
        <v>69092.399999999994</v>
      </c>
      <c r="AR48" s="88">
        <v>19306.32</v>
      </c>
      <c r="AS48" s="88">
        <v>0</v>
      </c>
      <c r="AT48" s="88">
        <v>20645.900000000001</v>
      </c>
      <c r="AU48" s="88">
        <v>46992.639999999999</v>
      </c>
      <c r="AV48" s="88">
        <v>51447.37</v>
      </c>
      <c r="AW48" s="88">
        <v>1983981.49</v>
      </c>
      <c r="AX48" s="88">
        <v>0</v>
      </c>
      <c r="AY48" s="81">
        <f t="shared" si="14"/>
        <v>0</v>
      </c>
      <c r="AZ48" s="89">
        <v>0</v>
      </c>
      <c r="BA48" s="81">
        <v>7.028771317140324E-2</v>
      </c>
      <c r="BB48" s="79">
        <v>350343.14</v>
      </c>
      <c r="BC48" s="79">
        <v>5300753.7300000004</v>
      </c>
      <c r="BD48" s="80">
        <v>219583.68</v>
      </c>
      <c r="BE48" s="80">
        <v>0</v>
      </c>
      <c r="BF48" s="80">
        <v>416426.299999999</v>
      </c>
      <c r="BG48" s="80">
        <v>0</v>
      </c>
      <c r="BH48" s="80">
        <v>0</v>
      </c>
      <c r="BI48" s="80">
        <v>0</v>
      </c>
      <c r="BJ48" s="80">
        <f t="shared" si="15"/>
        <v>0</v>
      </c>
      <c r="BK48" s="80">
        <v>0</v>
      </c>
      <c r="BL48" s="80">
        <v>5189</v>
      </c>
      <c r="BM48" s="80">
        <v>1918</v>
      </c>
      <c r="BN48" s="79">
        <v>0</v>
      </c>
      <c r="BO48" s="79">
        <v>0</v>
      </c>
      <c r="BP48" s="79">
        <v>-14</v>
      </c>
      <c r="BQ48" s="79">
        <v>-63</v>
      </c>
      <c r="BR48" s="79">
        <v>-295</v>
      </c>
      <c r="BS48" s="79">
        <v>-600</v>
      </c>
      <c r="BT48" s="79">
        <v>0</v>
      </c>
      <c r="BU48" s="79">
        <v>-3</v>
      </c>
      <c r="BV48" s="79">
        <v>0</v>
      </c>
      <c r="BW48" s="79">
        <v>-839</v>
      </c>
      <c r="BX48" s="79">
        <v>0</v>
      </c>
      <c r="BY48" s="79">
        <v>5293</v>
      </c>
      <c r="BZ48" s="79">
        <v>41</v>
      </c>
      <c r="CA48" s="79">
        <v>269</v>
      </c>
      <c r="CB48" s="79">
        <v>84</v>
      </c>
      <c r="CC48" s="79">
        <v>421</v>
      </c>
      <c r="CD48" s="79">
        <v>50</v>
      </c>
      <c r="CE48" s="79">
        <v>32</v>
      </c>
    </row>
    <row r="49" spans="1:83" ht="15.6" customHeight="1" x14ac:dyDescent="0.25">
      <c r="A49" s="36">
        <v>5</v>
      </c>
      <c r="B49" s="37" t="s">
        <v>207</v>
      </c>
      <c r="C49" s="70" t="s">
        <v>208</v>
      </c>
      <c r="D49" s="40" t="s">
        <v>209</v>
      </c>
      <c r="E49" s="40" t="s">
        <v>122</v>
      </c>
      <c r="F49" s="40" t="s">
        <v>200</v>
      </c>
      <c r="G49" s="88">
        <v>23389347.539999999</v>
      </c>
      <c r="H49" s="88">
        <v>0</v>
      </c>
      <c r="I49" s="88">
        <v>555440.32999999996</v>
      </c>
      <c r="J49" s="88">
        <v>0</v>
      </c>
      <c r="K49" s="89">
        <v>3657.5</v>
      </c>
      <c r="L49" s="89">
        <v>23948445.370000001</v>
      </c>
      <c r="M49" s="89">
        <v>0</v>
      </c>
      <c r="N49" s="88">
        <v>5940363.2300000004</v>
      </c>
      <c r="O49" s="88">
        <v>788524.18</v>
      </c>
      <c r="P49" s="90">
        <v>9718983.1199999992</v>
      </c>
      <c r="Q49" s="88">
        <v>54424.639999999999</v>
      </c>
      <c r="R49" s="88">
        <v>1010436.58</v>
      </c>
      <c r="S49" s="88">
        <v>2664566.75</v>
      </c>
      <c r="T49" s="88">
        <v>2084103.42</v>
      </c>
      <c r="U49" s="88">
        <v>0</v>
      </c>
      <c r="V49" s="88">
        <v>0</v>
      </c>
      <c r="W49" s="88">
        <v>555367.25</v>
      </c>
      <c r="X49" s="89">
        <v>1113321.76</v>
      </c>
      <c r="Y49" s="89">
        <v>23930090.93</v>
      </c>
      <c r="Z49" s="81">
        <v>8.0076453470835043E-2</v>
      </c>
      <c r="AA49" s="89">
        <v>1109652.69</v>
      </c>
      <c r="AB49" s="89">
        <v>0</v>
      </c>
      <c r="AC49" s="89">
        <v>0</v>
      </c>
      <c r="AD49" s="89">
        <v>3360.99</v>
      </c>
      <c r="AE49" s="89">
        <v>505.36</v>
      </c>
      <c r="AF49" s="89">
        <f t="shared" si="13"/>
        <v>3866.35</v>
      </c>
      <c r="AG49" s="89">
        <v>488438.89</v>
      </c>
      <c r="AH49" s="88">
        <v>38235.550000000003</v>
      </c>
      <c r="AI49" s="88">
        <v>112673.27</v>
      </c>
      <c r="AJ49" s="89">
        <v>2200</v>
      </c>
      <c r="AK49" s="88">
        <v>37428</v>
      </c>
      <c r="AL49" s="88">
        <v>5400</v>
      </c>
      <c r="AM49" s="88">
        <v>48929.39</v>
      </c>
      <c r="AN49" s="88">
        <v>10600</v>
      </c>
      <c r="AO49" s="88">
        <v>4200</v>
      </c>
      <c r="AP49" s="88">
        <v>0</v>
      </c>
      <c r="AQ49" s="88">
        <v>39924.340000000004</v>
      </c>
      <c r="AR49" s="88">
        <v>19022.16</v>
      </c>
      <c r="AS49" s="88">
        <v>0</v>
      </c>
      <c r="AT49" s="88">
        <v>2020.31</v>
      </c>
      <c r="AU49" s="88">
        <v>0</v>
      </c>
      <c r="AV49" s="88">
        <v>57901.9</v>
      </c>
      <c r="AW49" s="88">
        <v>866973.81</v>
      </c>
      <c r="AX49" s="88">
        <v>0</v>
      </c>
      <c r="AY49" s="81">
        <f t="shared" si="14"/>
        <v>0</v>
      </c>
      <c r="AZ49" s="89">
        <v>0</v>
      </c>
      <c r="BA49" s="81">
        <v>4.7442652605092721E-2</v>
      </c>
      <c r="BB49" s="79">
        <v>537104.84</v>
      </c>
      <c r="BC49" s="79">
        <v>1335831.1599999999</v>
      </c>
      <c r="BD49" s="80">
        <v>219587</v>
      </c>
      <c r="BE49" s="80">
        <v>0</v>
      </c>
      <c r="BF49" s="80">
        <v>187684.42</v>
      </c>
      <c r="BG49" s="80">
        <v>0</v>
      </c>
      <c r="BH49" s="80">
        <v>0</v>
      </c>
      <c r="BI49" s="80">
        <v>0</v>
      </c>
      <c r="BJ49" s="80">
        <f t="shared" si="15"/>
        <v>0</v>
      </c>
      <c r="BK49" s="80">
        <v>0</v>
      </c>
      <c r="BL49" s="80">
        <v>2930</v>
      </c>
      <c r="BM49" s="80">
        <v>1046</v>
      </c>
      <c r="BN49" s="79">
        <v>0</v>
      </c>
      <c r="BO49" s="79">
        <v>-1</v>
      </c>
      <c r="BP49" s="79">
        <v>-5</v>
      </c>
      <c r="BQ49" s="79">
        <v>-29</v>
      </c>
      <c r="BR49" s="79">
        <v>-87</v>
      </c>
      <c r="BS49" s="79">
        <v>-361</v>
      </c>
      <c r="BT49" s="79">
        <v>0</v>
      </c>
      <c r="BU49" s="79">
        <v>-2</v>
      </c>
      <c r="BV49" s="79">
        <v>-26</v>
      </c>
      <c r="BW49" s="79">
        <v>-310</v>
      </c>
      <c r="BX49" s="79">
        <v>-4</v>
      </c>
      <c r="BY49" s="79">
        <v>3151</v>
      </c>
      <c r="BZ49" s="79">
        <v>6</v>
      </c>
      <c r="CA49" s="79">
        <v>71</v>
      </c>
      <c r="CB49" s="79">
        <v>29</v>
      </c>
      <c r="CC49" s="79">
        <v>198</v>
      </c>
      <c r="CD49" s="79">
        <v>12</v>
      </c>
      <c r="CE49" s="79">
        <v>6</v>
      </c>
    </row>
    <row r="50" spans="1:83" ht="15.6" customHeight="1" x14ac:dyDescent="0.25">
      <c r="A50" s="36">
        <v>5</v>
      </c>
      <c r="B50" s="37" t="s">
        <v>210</v>
      </c>
      <c r="C50" s="70" t="s">
        <v>211</v>
      </c>
      <c r="D50" s="40" t="s">
        <v>212</v>
      </c>
      <c r="E50" s="40" t="s">
        <v>139</v>
      </c>
      <c r="F50" s="40" t="s">
        <v>206</v>
      </c>
      <c r="G50" s="88">
        <v>14568735.970000001</v>
      </c>
      <c r="H50" s="88">
        <v>0</v>
      </c>
      <c r="I50" s="88">
        <v>619433.38</v>
      </c>
      <c r="J50" s="88">
        <v>0</v>
      </c>
      <c r="K50" s="89">
        <v>0</v>
      </c>
      <c r="L50" s="89">
        <v>15188169.35</v>
      </c>
      <c r="M50" s="89">
        <v>0</v>
      </c>
      <c r="N50" s="88">
        <v>211725.88</v>
      </c>
      <c r="O50" s="88">
        <v>1639062.26</v>
      </c>
      <c r="P50" s="90">
        <v>4449635.67</v>
      </c>
      <c r="Q50" s="88">
        <v>2171.35</v>
      </c>
      <c r="R50" s="88">
        <v>978377.88</v>
      </c>
      <c r="S50" s="88">
        <v>4688569.8099999996</v>
      </c>
      <c r="T50" s="88">
        <v>1255580.77</v>
      </c>
      <c r="U50" s="88">
        <v>0</v>
      </c>
      <c r="V50" s="88">
        <v>0</v>
      </c>
      <c r="W50" s="88">
        <v>919168.96</v>
      </c>
      <c r="X50" s="89">
        <v>1368589.19</v>
      </c>
      <c r="Y50" s="89">
        <v>15512881.77</v>
      </c>
      <c r="Z50" s="81">
        <v>3.4377214401531846E-2</v>
      </c>
      <c r="AA50" s="89">
        <v>1357693.75</v>
      </c>
      <c r="AB50" s="89">
        <v>0</v>
      </c>
      <c r="AC50" s="89">
        <v>0</v>
      </c>
      <c r="AD50" s="89">
        <v>0</v>
      </c>
      <c r="AE50" s="89">
        <v>0</v>
      </c>
      <c r="AF50" s="89">
        <f t="shared" si="13"/>
        <v>0</v>
      </c>
      <c r="AG50" s="89">
        <v>667119.14</v>
      </c>
      <c r="AH50" s="88">
        <v>52085.65</v>
      </c>
      <c r="AI50" s="88">
        <v>129420.62</v>
      </c>
      <c r="AJ50" s="89">
        <v>0</v>
      </c>
      <c r="AK50" s="88">
        <v>64932.78</v>
      </c>
      <c r="AL50" s="88">
        <v>22504.37</v>
      </c>
      <c r="AM50" s="88">
        <v>51964.800000000003</v>
      </c>
      <c r="AN50" s="88">
        <v>11400</v>
      </c>
      <c r="AO50" s="88">
        <v>13135</v>
      </c>
      <c r="AP50" s="88">
        <v>3579.51</v>
      </c>
      <c r="AQ50" s="88">
        <v>49928.79</v>
      </c>
      <c r="AR50" s="88">
        <v>7671.68</v>
      </c>
      <c r="AS50" s="88">
        <v>0</v>
      </c>
      <c r="AT50" s="88">
        <v>6067.84</v>
      </c>
      <c r="AU50" s="88">
        <v>37793.26</v>
      </c>
      <c r="AV50" s="88">
        <v>86173.04</v>
      </c>
      <c r="AW50" s="88">
        <v>1203776.48</v>
      </c>
      <c r="AX50" s="88">
        <v>0</v>
      </c>
      <c r="AY50" s="81">
        <f t="shared" si="14"/>
        <v>0</v>
      </c>
      <c r="AZ50" s="89">
        <v>0</v>
      </c>
      <c r="BA50" s="81">
        <v>9.3192281938238739E-2</v>
      </c>
      <c r="BB50" s="79">
        <v>221785.85</v>
      </c>
      <c r="BC50" s="79">
        <v>279046.71000000002</v>
      </c>
      <c r="BD50" s="80">
        <v>219587</v>
      </c>
      <c r="BE50" s="80">
        <v>0</v>
      </c>
      <c r="BF50" s="80">
        <v>212426.58</v>
      </c>
      <c r="BG50" s="80">
        <v>0</v>
      </c>
      <c r="BH50" s="80">
        <v>0</v>
      </c>
      <c r="BI50" s="80">
        <v>0</v>
      </c>
      <c r="BJ50" s="80">
        <f t="shared" si="15"/>
        <v>0</v>
      </c>
      <c r="BK50" s="80">
        <v>0</v>
      </c>
      <c r="BL50" s="80">
        <v>1651</v>
      </c>
      <c r="BM50" s="80">
        <v>670</v>
      </c>
      <c r="BN50" s="79">
        <v>0</v>
      </c>
      <c r="BO50" s="79">
        <v>0</v>
      </c>
      <c r="BP50" s="79">
        <v>-32</v>
      </c>
      <c r="BQ50" s="79">
        <v>-76</v>
      </c>
      <c r="BR50" s="79">
        <v>-259</v>
      </c>
      <c r="BS50" s="79">
        <v>-176</v>
      </c>
      <c r="BT50" s="79">
        <v>1</v>
      </c>
      <c r="BU50" s="79">
        <v>0</v>
      </c>
      <c r="BV50" s="79">
        <v>4</v>
      </c>
      <c r="BW50" s="79">
        <v>-240</v>
      </c>
      <c r="BX50" s="79">
        <v>-1</v>
      </c>
      <c r="BY50" s="79">
        <v>1542</v>
      </c>
      <c r="BZ50" s="79">
        <v>0</v>
      </c>
      <c r="CA50" s="79">
        <v>140</v>
      </c>
      <c r="CB50" s="79">
        <v>20</v>
      </c>
      <c r="CC50" s="79">
        <v>52</v>
      </c>
      <c r="CD50" s="79">
        <v>16</v>
      </c>
      <c r="CE50" s="79">
        <v>12</v>
      </c>
    </row>
    <row r="51" spans="1:83" ht="15.6" customHeight="1" x14ac:dyDescent="0.25">
      <c r="A51" s="36">
        <v>5</v>
      </c>
      <c r="B51" s="37" t="s">
        <v>213</v>
      </c>
      <c r="C51" s="70" t="s">
        <v>214</v>
      </c>
      <c r="D51" s="40" t="s">
        <v>215</v>
      </c>
      <c r="E51" s="40" t="s">
        <v>122</v>
      </c>
      <c r="F51" s="40" t="s">
        <v>200</v>
      </c>
      <c r="G51" s="88">
        <v>12076074.34</v>
      </c>
      <c r="H51" s="88">
        <v>274705.99</v>
      </c>
      <c r="I51" s="88">
        <v>0</v>
      </c>
      <c r="J51" s="88">
        <v>0</v>
      </c>
      <c r="K51" s="89">
        <v>2151.44</v>
      </c>
      <c r="L51" s="89">
        <v>12352931.77</v>
      </c>
      <c r="M51" s="89">
        <v>0</v>
      </c>
      <c r="N51" s="88">
        <v>3710147.29</v>
      </c>
      <c r="O51" s="88">
        <v>635554.06999999995</v>
      </c>
      <c r="P51" s="90">
        <v>3657290.01</v>
      </c>
      <c r="Q51" s="88">
        <v>0</v>
      </c>
      <c r="R51" s="88">
        <v>633937.21</v>
      </c>
      <c r="S51" s="88">
        <v>1989964.67</v>
      </c>
      <c r="T51" s="88">
        <v>754999.23</v>
      </c>
      <c r="U51" s="88">
        <v>0</v>
      </c>
      <c r="V51" s="88">
        <v>0</v>
      </c>
      <c r="W51" s="88">
        <v>374563.18</v>
      </c>
      <c r="X51" s="89">
        <v>776289.19</v>
      </c>
      <c r="Y51" s="89">
        <v>12532744.85</v>
      </c>
      <c r="Z51" s="81">
        <v>1.9648706682163054E-2</v>
      </c>
      <c r="AA51" s="89">
        <v>774137.75</v>
      </c>
      <c r="AB51" s="89">
        <v>0</v>
      </c>
      <c r="AC51" s="89">
        <v>0</v>
      </c>
      <c r="AD51" s="89">
        <v>2151.44</v>
      </c>
      <c r="AE51" s="89">
        <v>383.06</v>
      </c>
      <c r="AF51" s="89">
        <f t="shared" si="13"/>
        <v>2534.5</v>
      </c>
      <c r="AG51" s="89">
        <v>281981.7</v>
      </c>
      <c r="AH51" s="88">
        <v>23880.59</v>
      </c>
      <c r="AI51" s="88">
        <v>42080.66</v>
      </c>
      <c r="AJ51" s="89">
        <v>0</v>
      </c>
      <c r="AK51" s="88">
        <v>43309.52</v>
      </c>
      <c r="AL51" s="88">
        <v>13510</v>
      </c>
      <c r="AM51" s="88">
        <v>70028</v>
      </c>
      <c r="AN51" s="88">
        <v>10300</v>
      </c>
      <c r="AO51" s="88">
        <v>0</v>
      </c>
      <c r="AP51" s="88">
        <v>7417.48</v>
      </c>
      <c r="AQ51" s="88">
        <v>13446.21</v>
      </c>
      <c r="AR51" s="88">
        <v>4513.6899999999996</v>
      </c>
      <c r="AS51" s="88">
        <v>0</v>
      </c>
      <c r="AT51" s="88">
        <v>1127.4100000000001</v>
      </c>
      <c r="AU51" s="88">
        <v>0</v>
      </c>
      <c r="AV51" s="88">
        <v>42075.63</v>
      </c>
      <c r="AW51" s="88">
        <v>553670.89</v>
      </c>
      <c r="AX51" s="88">
        <v>0</v>
      </c>
      <c r="AY51" s="81">
        <f t="shared" si="14"/>
        <v>0</v>
      </c>
      <c r="AZ51" s="89">
        <v>0</v>
      </c>
      <c r="BA51" s="81">
        <v>6.4105083175564487E-2</v>
      </c>
      <c r="BB51" s="79">
        <v>106348.23</v>
      </c>
      <c r="BC51" s="79">
        <v>136328.63</v>
      </c>
      <c r="BD51" s="80">
        <v>219587</v>
      </c>
      <c r="BE51" s="80">
        <v>0</v>
      </c>
      <c r="BF51" s="80">
        <v>122560.2</v>
      </c>
      <c r="BG51" s="80">
        <v>0</v>
      </c>
      <c r="BH51" s="80">
        <v>0</v>
      </c>
      <c r="BI51" s="80">
        <v>0</v>
      </c>
      <c r="BJ51" s="80">
        <f t="shared" si="15"/>
        <v>0</v>
      </c>
      <c r="BK51" s="80">
        <v>0</v>
      </c>
      <c r="BL51" s="80">
        <v>1028</v>
      </c>
      <c r="BM51" s="80">
        <v>485</v>
      </c>
      <c r="BN51" s="79">
        <v>0</v>
      </c>
      <c r="BO51" s="79">
        <v>0</v>
      </c>
      <c r="BP51" s="79">
        <v>-3</v>
      </c>
      <c r="BQ51" s="79">
        <v>-26</v>
      </c>
      <c r="BR51" s="79">
        <v>-72</v>
      </c>
      <c r="BS51" s="79">
        <v>-133</v>
      </c>
      <c r="BT51" s="79">
        <v>0</v>
      </c>
      <c r="BU51" s="79">
        <v>0</v>
      </c>
      <c r="BV51" s="79">
        <v>0</v>
      </c>
      <c r="BW51" s="79">
        <v>-133</v>
      </c>
      <c r="BX51" s="79">
        <v>-1</v>
      </c>
      <c r="BY51" s="79">
        <v>1145</v>
      </c>
      <c r="BZ51" s="79">
        <v>0</v>
      </c>
      <c r="CA51" s="79">
        <v>52</v>
      </c>
      <c r="CB51" s="79">
        <v>9</v>
      </c>
      <c r="CC51" s="79">
        <v>60</v>
      </c>
      <c r="CD51" s="79">
        <v>10</v>
      </c>
      <c r="CE51" s="79">
        <v>2</v>
      </c>
    </row>
    <row r="52" spans="1:83" ht="15.6" customHeight="1" x14ac:dyDescent="0.25">
      <c r="A52" s="36">
        <v>5</v>
      </c>
      <c r="B52" s="37" t="s">
        <v>216</v>
      </c>
      <c r="C52" s="70" t="s">
        <v>217</v>
      </c>
      <c r="D52" s="40" t="s">
        <v>218</v>
      </c>
      <c r="E52" s="40" t="s">
        <v>116</v>
      </c>
      <c r="F52" s="40" t="s">
        <v>206</v>
      </c>
      <c r="G52" s="88">
        <v>32433694.57</v>
      </c>
      <c r="H52" s="88">
        <v>0</v>
      </c>
      <c r="I52" s="88">
        <v>525042.82999999996</v>
      </c>
      <c r="J52" s="88">
        <v>0</v>
      </c>
      <c r="K52" s="89">
        <v>0</v>
      </c>
      <c r="L52" s="89">
        <v>32958737.399999999</v>
      </c>
      <c r="M52" s="89">
        <v>0</v>
      </c>
      <c r="N52" s="88">
        <v>5563945.6699999999</v>
      </c>
      <c r="O52" s="88">
        <v>907519.68</v>
      </c>
      <c r="P52" s="90">
        <v>14368780.15</v>
      </c>
      <c r="Q52" s="88">
        <v>85551.19</v>
      </c>
      <c r="R52" s="88">
        <v>866171.83</v>
      </c>
      <c r="S52" s="88">
        <v>3401505.5</v>
      </c>
      <c r="T52" s="88">
        <v>4604323.43</v>
      </c>
      <c r="U52" s="88">
        <v>0</v>
      </c>
      <c r="V52" s="88">
        <v>0</v>
      </c>
      <c r="W52" s="88">
        <v>603617.11</v>
      </c>
      <c r="X52" s="89">
        <v>2221243</v>
      </c>
      <c r="Y52" s="89">
        <v>32622657.559999999</v>
      </c>
      <c r="Z52" s="81">
        <v>0.11444925375333243</v>
      </c>
      <c r="AA52" s="89">
        <v>2220538</v>
      </c>
      <c r="AB52" s="89">
        <v>0</v>
      </c>
      <c r="AC52" s="89">
        <v>0</v>
      </c>
      <c r="AD52" s="89">
        <v>0</v>
      </c>
      <c r="AE52" s="89">
        <v>0</v>
      </c>
      <c r="AF52" s="89">
        <f t="shared" si="13"/>
        <v>0</v>
      </c>
      <c r="AG52" s="89">
        <v>1208355.74</v>
      </c>
      <c r="AH52" s="88">
        <v>93285.24</v>
      </c>
      <c r="AI52" s="88">
        <v>298408.27</v>
      </c>
      <c r="AJ52" s="89">
        <v>0</v>
      </c>
      <c r="AK52" s="88">
        <v>123405.28</v>
      </c>
      <c r="AL52" s="88">
        <v>31800</v>
      </c>
      <c r="AM52" s="88">
        <v>61206.55</v>
      </c>
      <c r="AN52" s="88">
        <v>12200</v>
      </c>
      <c r="AO52" s="88">
        <v>4900</v>
      </c>
      <c r="AP52" s="88">
        <v>0</v>
      </c>
      <c r="AQ52" s="88">
        <v>97184.599999999991</v>
      </c>
      <c r="AR52" s="88">
        <v>21164.47</v>
      </c>
      <c r="AS52" s="88">
        <v>0</v>
      </c>
      <c r="AT52" s="88">
        <v>11248.59</v>
      </c>
      <c r="AU52" s="88">
        <v>70701.240000000005</v>
      </c>
      <c r="AV52" s="88">
        <v>103174.71</v>
      </c>
      <c r="AW52" s="88">
        <v>2137034.69</v>
      </c>
      <c r="AX52" s="88">
        <v>0</v>
      </c>
      <c r="AY52" s="81">
        <f t="shared" si="14"/>
        <v>0</v>
      </c>
      <c r="AZ52" s="89">
        <v>0</v>
      </c>
      <c r="BA52" s="81">
        <v>6.8463923997542905E-2</v>
      </c>
      <c r="BB52" s="79">
        <v>352387.81</v>
      </c>
      <c r="BC52" s="79">
        <v>3359624.33</v>
      </c>
      <c r="BD52" s="80">
        <v>219587</v>
      </c>
      <c r="BE52" s="80">
        <v>0</v>
      </c>
      <c r="BF52" s="80">
        <v>404259.06999999902</v>
      </c>
      <c r="BG52" s="80">
        <v>0</v>
      </c>
      <c r="BH52" s="80">
        <v>0</v>
      </c>
      <c r="BI52" s="80">
        <v>0</v>
      </c>
      <c r="BJ52" s="80">
        <f t="shared" si="15"/>
        <v>0</v>
      </c>
      <c r="BK52" s="80">
        <v>0</v>
      </c>
      <c r="BL52" s="80">
        <v>4944</v>
      </c>
      <c r="BM52" s="80">
        <v>1839</v>
      </c>
      <c r="BN52" s="79">
        <v>303</v>
      </c>
      <c r="BO52" s="79">
        <v>0</v>
      </c>
      <c r="BP52" s="79">
        <v>-9</v>
      </c>
      <c r="BQ52" s="79">
        <v>-73</v>
      </c>
      <c r="BR52" s="79">
        <v>-283</v>
      </c>
      <c r="BS52" s="79">
        <v>-985</v>
      </c>
      <c r="BT52" s="79">
        <v>9</v>
      </c>
      <c r="BU52" s="79">
        <v>-1</v>
      </c>
      <c r="BV52" s="79">
        <v>0</v>
      </c>
      <c r="BW52" s="79">
        <v>-862</v>
      </c>
      <c r="BX52" s="79">
        <v>-2</v>
      </c>
      <c r="BY52" s="79">
        <v>4880</v>
      </c>
      <c r="BZ52" s="79">
        <v>22</v>
      </c>
      <c r="CA52" s="79">
        <v>157</v>
      </c>
      <c r="CB52" s="79">
        <v>108</v>
      </c>
      <c r="CC52" s="79">
        <v>589</v>
      </c>
      <c r="CD52" s="79">
        <v>0</v>
      </c>
      <c r="CE52" s="79">
        <v>7</v>
      </c>
    </row>
    <row r="53" spans="1:83" s="58" customFormat="1" ht="15.6" customHeight="1" x14ac:dyDescent="0.25">
      <c r="A53" s="51">
        <v>5</v>
      </c>
      <c r="B53" s="52" t="s">
        <v>219</v>
      </c>
      <c r="C53" s="77" t="s">
        <v>195</v>
      </c>
      <c r="D53" s="50" t="s">
        <v>199</v>
      </c>
      <c r="E53" s="50" t="s">
        <v>122</v>
      </c>
      <c r="F53" s="50" t="s">
        <v>200</v>
      </c>
      <c r="G53" s="89">
        <v>23491122.82</v>
      </c>
      <c r="H53" s="89">
        <v>1980</v>
      </c>
      <c r="I53" s="89">
        <v>985007.09</v>
      </c>
      <c r="J53" s="89">
        <v>0</v>
      </c>
      <c r="K53" s="89">
        <v>0</v>
      </c>
      <c r="L53" s="89">
        <v>24478109.91</v>
      </c>
      <c r="M53" s="89">
        <v>0</v>
      </c>
      <c r="N53" s="89">
        <v>7785019.9500000002</v>
      </c>
      <c r="O53" s="89">
        <v>1366571.52</v>
      </c>
      <c r="P53" s="89">
        <v>7925759.1399999997</v>
      </c>
      <c r="Q53" s="89">
        <v>56262.58</v>
      </c>
      <c r="R53" s="89">
        <v>822871.03</v>
      </c>
      <c r="S53" s="89">
        <v>2086526.23</v>
      </c>
      <c r="T53" s="89">
        <v>1847450.14</v>
      </c>
      <c r="U53" s="89">
        <v>0</v>
      </c>
      <c r="V53" s="89">
        <v>0</v>
      </c>
      <c r="W53" s="89">
        <v>732642.26</v>
      </c>
      <c r="X53" s="89">
        <v>1833365.81</v>
      </c>
      <c r="Y53" s="89">
        <v>24456468.66</v>
      </c>
      <c r="Z53" s="81">
        <v>5.7746382859443848E-2</v>
      </c>
      <c r="AA53" s="89">
        <v>1683527.99</v>
      </c>
      <c r="AB53" s="89">
        <v>0</v>
      </c>
      <c r="AC53" s="89">
        <v>0</v>
      </c>
      <c r="AD53" s="89">
        <v>0</v>
      </c>
      <c r="AE53" s="89">
        <v>0</v>
      </c>
      <c r="AF53" s="89">
        <f t="shared" si="13"/>
        <v>0</v>
      </c>
      <c r="AG53" s="89">
        <v>653653.19999999995</v>
      </c>
      <c r="AH53" s="89">
        <v>58883.27</v>
      </c>
      <c r="AI53" s="89">
        <v>131384</v>
      </c>
      <c r="AJ53" s="89">
        <v>13812.24</v>
      </c>
      <c r="AK53" s="89">
        <v>74705.240000000005</v>
      </c>
      <c r="AL53" s="89">
        <v>29100.75</v>
      </c>
      <c r="AM53" s="89">
        <v>136446.48000000001</v>
      </c>
      <c r="AN53" s="89">
        <v>11400</v>
      </c>
      <c r="AO53" s="89">
        <v>58863.5</v>
      </c>
      <c r="AP53" s="89">
        <v>27745.29</v>
      </c>
      <c r="AQ53" s="89">
        <v>69833.84</v>
      </c>
      <c r="AR53" s="89">
        <v>23107.37</v>
      </c>
      <c r="AS53" s="89">
        <v>0</v>
      </c>
      <c r="AT53" s="89">
        <v>9185.69</v>
      </c>
      <c r="AU53" s="89">
        <v>35312.65</v>
      </c>
      <c r="AV53" s="89">
        <v>51119.200000000004</v>
      </c>
      <c r="AW53" s="89">
        <v>1384552</v>
      </c>
      <c r="AX53" s="89">
        <v>0</v>
      </c>
      <c r="AY53" s="81">
        <f t="shared" si="14"/>
        <v>0</v>
      </c>
      <c r="AZ53" s="89">
        <v>0</v>
      </c>
      <c r="BA53" s="81">
        <v>7.1666561147373881E-2</v>
      </c>
      <c r="BB53" s="80">
        <v>333522.78999999998</v>
      </c>
      <c r="BC53" s="80">
        <v>1023118.92</v>
      </c>
      <c r="BD53" s="80">
        <v>219584.06</v>
      </c>
      <c r="BE53" s="80">
        <v>0</v>
      </c>
      <c r="BF53" s="80">
        <v>332887</v>
      </c>
      <c r="BG53" s="80">
        <v>0</v>
      </c>
      <c r="BH53" s="80">
        <v>0</v>
      </c>
      <c r="BI53" s="80">
        <v>0</v>
      </c>
      <c r="BJ53" s="80">
        <f t="shared" si="15"/>
        <v>0</v>
      </c>
      <c r="BK53" s="80">
        <v>0</v>
      </c>
      <c r="BL53" s="80">
        <v>2501</v>
      </c>
      <c r="BM53" s="80">
        <v>1089</v>
      </c>
      <c r="BN53" s="80">
        <v>58</v>
      </c>
      <c r="BO53" s="80">
        <v>0</v>
      </c>
      <c r="BP53" s="80">
        <v>-13</v>
      </c>
      <c r="BQ53" s="80">
        <v>-31</v>
      </c>
      <c r="BR53" s="80">
        <v>-134</v>
      </c>
      <c r="BS53" s="80">
        <v>-436</v>
      </c>
      <c r="BT53" s="80">
        <v>0</v>
      </c>
      <c r="BU53" s="80">
        <v>0</v>
      </c>
      <c r="BV53" s="80">
        <v>6</v>
      </c>
      <c r="BW53" s="80">
        <v>-320</v>
      </c>
      <c r="BX53" s="80">
        <v>0</v>
      </c>
      <c r="BY53" s="80">
        <v>2720</v>
      </c>
      <c r="BZ53" s="80">
        <v>4</v>
      </c>
      <c r="CA53" s="80">
        <v>80</v>
      </c>
      <c r="CB53" s="80">
        <v>25</v>
      </c>
      <c r="CC53" s="80">
        <v>88</v>
      </c>
      <c r="CD53" s="80">
        <v>119</v>
      </c>
      <c r="CE53" s="80">
        <v>8</v>
      </c>
    </row>
    <row r="54" spans="1:83" s="58" customFormat="1" ht="15.6" customHeight="1" x14ac:dyDescent="0.25">
      <c r="A54" s="51">
        <v>5</v>
      </c>
      <c r="B54" s="52" t="s">
        <v>562</v>
      </c>
      <c r="C54" s="78" t="s">
        <v>564</v>
      </c>
      <c r="D54" s="42" t="s">
        <v>223</v>
      </c>
      <c r="E54" s="50" t="s">
        <v>116</v>
      </c>
      <c r="F54" s="50" t="s">
        <v>206</v>
      </c>
      <c r="G54" s="88">
        <v>45629167.109999999</v>
      </c>
      <c r="H54" s="88">
        <v>0</v>
      </c>
      <c r="I54" s="88">
        <v>3295236.89</v>
      </c>
      <c r="J54" s="88">
        <v>0</v>
      </c>
      <c r="K54" s="89">
        <v>2375.25</v>
      </c>
      <c r="L54" s="89">
        <v>48926779.25</v>
      </c>
      <c r="M54" s="89">
        <v>0</v>
      </c>
      <c r="N54" s="88">
        <v>10292726.35</v>
      </c>
      <c r="O54" s="88">
        <v>1345859.88</v>
      </c>
      <c r="P54" s="90">
        <v>19778156.52</v>
      </c>
      <c r="Q54" s="88">
        <v>40090.379999999997</v>
      </c>
      <c r="R54" s="88">
        <v>1677005.34</v>
      </c>
      <c r="S54" s="88">
        <v>6240254.7699999996</v>
      </c>
      <c r="T54" s="88">
        <v>3860040.81</v>
      </c>
      <c r="U54" s="88">
        <v>0</v>
      </c>
      <c r="V54" s="88">
        <v>0</v>
      </c>
      <c r="W54" s="88">
        <v>2617592.5699999998</v>
      </c>
      <c r="X54" s="89">
        <v>2849189.77</v>
      </c>
      <c r="Y54" s="89">
        <v>48700916.390000001</v>
      </c>
      <c r="Z54" s="81">
        <v>0.13779626011674509</v>
      </c>
      <c r="AA54" s="89">
        <v>2835913.99</v>
      </c>
      <c r="AB54" s="89">
        <v>0</v>
      </c>
      <c r="AC54" s="89">
        <v>0</v>
      </c>
      <c r="AD54" s="89">
        <v>0</v>
      </c>
      <c r="AE54" s="89">
        <v>0</v>
      </c>
      <c r="AF54" s="89">
        <f t="shared" si="13"/>
        <v>0</v>
      </c>
      <c r="AG54" s="89">
        <v>1367937.49</v>
      </c>
      <c r="AH54" s="88">
        <v>109994.46</v>
      </c>
      <c r="AI54" s="88">
        <v>323164.73</v>
      </c>
      <c r="AJ54" s="89">
        <v>55144.02</v>
      </c>
      <c r="AK54" s="88">
        <v>155511.26999999999</v>
      </c>
      <c r="AL54" s="88">
        <v>42673.2</v>
      </c>
      <c r="AM54" s="88">
        <v>63788.480000000003</v>
      </c>
      <c r="AN54" s="88">
        <v>12500</v>
      </c>
      <c r="AO54" s="88">
        <v>7478.29</v>
      </c>
      <c r="AP54" s="88">
        <v>59190.45</v>
      </c>
      <c r="AQ54" s="88">
        <v>90665.57</v>
      </c>
      <c r="AR54" s="88">
        <v>37217.03</v>
      </c>
      <c r="AS54" s="88">
        <v>33450.199999999997</v>
      </c>
      <c r="AT54" s="88">
        <v>22018.84</v>
      </c>
      <c r="AU54" s="88">
        <v>71368.86</v>
      </c>
      <c r="AV54" s="88">
        <v>146734.92000000001</v>
      </c>
      <c r="AW54" s="88">
        <v>2598837.81</v>
      </c>
      <c r="AX54" s="88">
        <v>0</v>
      </c>
      <c r="AY54" s="81">
        <f t="shared" si="14"/>
        <v>0</v>
      </c>
      <c r="AZ54" s="89">
        <v>1143.95</v>
      </c>
      <c r="BA54" s="81">
        <v>6.2151342433302642E-2</v>
      </c>
      <c r="BB54" s="79">
        <v>867127.12</v>
      </c>
      <c r="BC54" s="79">
        <v>5420401.46</v>
      </c>
      <c r="BD54" s="80">
        <v>216829</v>
      </c>
      <c r="BE54" s="80">
        <v>5.8207660913467401E-11</v>
      </c>
      <c r="BF54" s="80">
        <v>565510.64999999898</v>
      </c>
      <c r="BG54" s="80">
        <v>0</v>
      </c>
      <c r="BH54" s="80">
        <v>0</v>
      </c>
      <c r="BI54" s="80">
        <v>0</v>
      </c>
      <c r="BJ54" s="80">
        <f t="shared" si="15"/>
        <v>0</v>
      </c>
      <c r="BK54" s="80">
        <v>0</v>
      </c>
      <c r="BL54" s="80">
        <v>5611</v>
      </c>
      <c r="BM54" s="80">
        <v>1736</v>
      </c>
      <c r="BN54" s="79">
        <v>85</v>
      </c>
      <c r="BO54" s="79">
        <v>0</v>
      </c>
      <c r="BP54" s="79">
        <v>-12</v>
      </c>
      <c r="BQ54" s="79">
        <v>-111</v>
      </c>
      <c r="BR54" s="79">
        <v>-356</v>
      </c>
      <c r="BS54" s="79">
        <v>-711</v>
      </c>
      <c r="BT54" s="79">
        <v>3</v>
      </c>
      <c r="BU54" s="79">
        <v>0</v>
      </c>
      <c r="BV54" s="79">
        <v>1</v>
      </c>
      <c r="BW54" s="79">
        <v>-1195</v>
      </c>
      <c r="BX54" s="79">
        <v>0</v>
      </c>
      <c r="BY54" s="79">
        <v>5051</v>
      </c>
      <c r="BZ54" s="79">
        <v>17</v>
      </c>
      <c r="CA54" s="79">
        <v>319</v>
      </c>
      <c r="CB54" s="79">
        <v>100</v>
      </c>
      <c r="CC54" s="79">
        <v>587</v>
      </c>
      <c r="CD54" s="79">
        <v>124</v>
      </c>
      <c r="CE54" s="79">
        <v>5</v>
      </c>
    </row>
    <row r="55" spans="1:83" ht="15.6" customHeight="1" x14ac:dyDescent="0.25">
      <c r="A55" s="36">
        <v>5</v>
      </c>
      <c r="B55" s="37" t="s">
        <v>220</v>
      </c>
      <c r="C55" s="70" t="s">
        <v>221</v>
      </c>
      <c r="D55" s="40" t="s">
        <v>222</v>
      </c>
      <c r="E55" s="40" t="s">
        <v>116</v>
      </c>
      <c r="F55" s="40" t="s">
        <v>206</v>
      </c>
      <c r="G55" s="88">
        <v>38055645.149999999</v>
      </c>
      <c r="H55" s="88">
        <v>0</v>
      </c>
      <c r="I55" s="88">
        <v>1006024.51</v>
      </c>
      <c r="J55" s="88">
        <v>0</v>
      </c>
      <c r="K55" s="89">
        <v>0</v>
      </c>
      <c r="L55" s="89">
        <v>39061669.659999996</v>
      </c>
      <c r="M55" s="89">
        <v>0</v>
      </c>
      <c r="N55" s="88">
        <v>7669342.5300000003</v>
      </c>
      <c r="O55" s="88">
        <v>1973502.5</v>
      </c>
      <c r="P55" s="90">
        <v>13483141.439999999</v>
      </c>
      <c r="Q55" s="88">
        <v>0</v>
      </c>
      <c r="R55" s="88">
        <v>1203656.82</v>
      </c>
      <c r="S55" s="88">
        <v>5830056.79</v>
      </c>
      <c r="T55" s="88">
        <v>4747017.58</v>
      </c>
      <c r="U55" s="88">
        <v>0</v>
      </c>
      <c r="V55" s="88">
        <v>0</v>
      </c>
      <c r="W55" s="88">
        <v>1579098</v>
      </c>
      <c r="X55" s="89">
        <v>2605397.06</v>
      </c>
      <c r="Y55" s="89">
        <v>39091212.719999999</v>
      </c>
      <c r="Z55" s="81">
        <v>0.13437038630785111</v>
      </c>
      <c r="AA55" s="89">
        <v>2605397.06</v>
      </c>
      <c r="AB55" s="89">
        <v>0</v>
      </c>
      <c r="AC55" s="89">
        <v>0</v>
      </c>
      <c r="AD55" s="89">
        <v>0</v>
      </c>
      <c r="AE55" s="89">
        <v>0</v>
      </c>
      <c r="AF55" s="89">
        <f t="shared" si="13"/>
        <v>0</v>
      </c>
      <c r="AG55" s="89">
        <v>1216318.46</v>
      </c>
      <c r="AH55" s="88">
        <v>95662.65</v>
      </c>
      <c r="AI55" s="88">
        <v>283638.40000000002</v>
      </c>
      <c r="AJ55" s="89">
        <v>0</v>
      </c>
      <c r="AK55" s="88">
        <v>119700.51</v>
      </c>
      <c r="AL55" s="88">
        <v>38145.019999999997</v>
      </c>
      <c r="AM55" s="88">
        <v>77346.98</v>
      </c>
      <c r="AN55" s="88">
        <v>11700</v>
      </c>
      <c r="AO55" s="88">
        <v>10775.54</v>
      </c>
      <c r="AP55" s="88">
        <v>0</v>
      </c>
      <c r="AQ55" s="88">
        <v>84312.59</v>
      </c>
      <c r="AR55" s="88">
        <v>32383.67</v>
      </c>
      <c r="AS55" s="88">
        <v>25207.19</v>
      </c>
      <c r="AT55" s="88">
        <v>34741.919999999998</v>
      </c>
      <c r="AU55" s="88">
        <v>69305.570000000007</v>
      </c>
      <c r="AV55" s="88">
        <v>132726.39999999999</v>
      </c>
      <c r="AW55" s="88">
        <v>2231964.9</v>
      </c>
      <c r="AX55" s="88">
        <v>0</v>
      </c>
      <c r="AY55" s="81">
        <f t="shared" si="14"/>
        <v>0</v>
      </c>
      <c r="AZ55" s="89">
        <v>0</v>
      </c>
      <c r="BA55" s="81">
        <v>6.8462827255472244E-2</v>
      </c>
      <c r="BB55" s="79">
        <v>1704010.55</v>
      </c>
      <c r="BC55" s="79">
        <v>3409541.19</v>
      </c>
      <c r="BD55" s="80">
        <v>219587</v>
      </c>
      <c r="BE55" s="80">
        <v>0</v>
      </c>
      <c r="BF55" s="80">
        <v>565200.12000000104</v>
      </c>
      <c r="BG55" s="80">
        <v>7208.8950000007198</v>
      </c>
      <c r="BH55" s="80">
        <v>7208.8950000007198</v>
      </c>
      <c r="BI55" s="80">
        <v>0</v>
      </c>
      <c r="BJ55" s="80">
        <f t="shared" si="15"/>
        <v>7208.8950000007198</v>
      </c>
      <c r="BK55" s="80">
        <v>0</v>
      </c>
      <c r="BL55" s="80">
        <v>5075</v>
      </c>
      <c r="BM55" s="80">
        <v>1889</v>
      </c>
      <c r="BN55" s="79">
        <v>6</v>
      </c>
      <c r="BO55" s="79">
        <v>0</v>
      </c>
      <c r="BP55" s="79">
        <v>-29</v>
      </c>
      <c r="BQ55" s="79">
        <v>-145</v>
      </c>
      <c r="BR55" s="79">
        <v>-480</v>
      </c>
      <c r="BS55" s="79">
        <v>-690</v>
      </c>
      <c r="BT55" s="79">
        <v>0</v>
      </c>
      <c r="BU55" s="79">
        <v>-1</v>
      </c>
      <c r="BV55" s="79">
        <v>0</v>
      </c>
      <c r="BW55" s="79">
        <v>-552</v>
      </c>
      <c r="BX55" s="79">
        <v>-1</v>
      </c>
      <c r="BY55" s="79">
        <v>5072</v>
      </c>
      <c r="BZ55" s="79">
        <v>9</v>
      </c>
      <c r="CA55" s="79">
        <v>173</v>
      </c>
      <c r="CB55" s="79">
        <v>77</v>
      </c>
      <c r="CC55" s="79">
        <v>244</v>
      </c>
      <c r="CD55" s="79">
        <v>0</v>
      </c>
      <c r="CE55" s="79">
        <v>7</v>
      </c>
    </row>
    <row r="56" spans="1:83" ht="15.6" customHeight="1" x14ac:dyDescent="0.25">
      <c r="A56" s="36">
        <v>5</v>
      </c>
      <c r="B56" s="37" t="s">
        <v>224</v>
      </c>
      <c r="C56" s="72" t="s">
        <v>225</v>
      </c>
      <c r="D56" s="40" t="s">
        <v>175</v>
      </c>
      <c r="E56" s="40" t="s">
        <v>116</v>
      </c>
      <c r="F56" s="40" t="s">
        <v>206</v>
      </c>
      <c r="G56" s="88">
        <v>22163610.219999999</v>
      </c>
      <c r="H56" s="88">
        <v>0</v>
      </c>
      <c r="I56" s="88">
        <v>574513.76</v>
      </c>
      <c r="J56" s="88">
        <v>0</v>
      </c>
      <c r="K56" s="89">
        <v>1703.08</v>
      </c>
      <c r="L56" s="89">
        <v>22739827.059999999</v>
      </c>
      <c r="M56" s="89">
        <v>0</v>
      </c>
      <c r="N56" s="88">
        <v>1614701.88</v>
      </c>
      <c r="O56" s="88">
        <v>1192155.3500000001</v>
      </c>
      <c r="P56" s="90">
        <v>10806041</v>
      </c>
      <c r="Q56" s="88">
        <v>41400.720000000001</v>
      </c>
      <c r="R56" s="88">
        <v>772231.87</v>
      </c>
      <c r="S56" s="88">
        <v>2567322.52</v>
      </c>
      <c r="T56" s="88">
        <v>3316454.7</v>
      </c>
      <c r="U56" s="88">
        <v>0</v>
      </c>
      <c r="V56" s="88">
        <v>0</v>
      </c>
      <c r="W56" s="88">
        <v>574470.80000000005</v>
      </c>
      <c r="X56" s="89">
        <v>1638229.74</v>
      </c>
      <c r="Y56" s="89">
        <v>22523008.579999998</v>
      </c>
      <c r="Z56" s="81">
        <v>0.1232793553432199</v>
      </c>
      <c r="AA56" s="89">
        <v>1636423.66</v>
      </c>
      <c r="AB56" s="89">
        <v>0</v>
      </c>
      <c r="AC56" s="89">
        <v>0</v>
      </c>
      <c r="AD56" s="89">
        <v>0</v>
      </c>
      <c r="AE56" s="89">
        <v>0</v>
      </c>
      <c r="AF56" s="89">
        <f t="shared" si="13"/>
        <v>0</v>
      </c>
      <c r="AG56" s="89">
        <v>697552.9</v>
      </c>
      <c r="AH56" s="88">
        <v>55934.3</v>
      </c>
      <c r="AI56" s="88">
        <v>186582.33</v>
      </c>
      <c r="AJ56" s="89">
        <v>0</v>
      </c>
      <c r="AK56" s="88">
        <v>133620</v>
      </c>
      <c r="AL56" s="88">
        <v>35153.550000000003</v>
      </c>
      <c r="AM56" s="88">
        <v>63727.89</v>
      </c>
      <c r="AN56" s="88">
        <v>11700</v>
      </c>
      <c r="AO56" s="88">
        <v>11879.38</v>
      </c>
      <c r="AP56" s="88">
        <v>8488.5300000000007</v>
      </c>
      <c r="AQ56" s="88">
        <v>68721.69</v>
      </c>
      <c r="AR56" s="88">
        <v>23365.01</v>
      </c>
      <c r="AS56" s="88">
        <v>15882.5</v>
      </c>
      <c r="AT56" s="88">
        <v>3555.55</v>
      </c>
      <c r="AU56" s="88">
        <v>51690.83</v>
      </c>
      <c r="AV56" s="88">
        <v>45282.655999999995</v>
      </c>
      <c r="AW56" s="88">
        <v>1413137.1159999999</v>
      </c>
      <c r="AX56" s="88">
        <v>0</v>
      </c>
      <c r="AY56" s="81">
        <f t="shared" si="14"/>
        <v>0</v>
      </c>
      <c r="AZ56" s="89">
        <v>0</v>
      </c>
      <c r="BA56" s="81">
        <v>7.3833804319628576E-2</v>
      </c>
      <c r="BB56" s="79">
        <v>538628</v>
      </c>
      <c r="BC56" s="79">
        <v>2193687.58</v>
      </c>
      <c r="BD56" s="80">
        <v>219604.06</v>
      </c>
      <c r="BE56" s="80">
        <v>17.0599999999977</v>
      </c>
      <c r="BF56" s="80">
        <v>322882.973999999</v>
      </c>
      <c r="BG56" s="80">
        <v>0</v>
      </c>
      <c r="BH56" s="80">
        <v>0</v>
      </c>
      <c r="BI56" s="80">
        <v>0</v>
      </c>
      <c r="BJ56" s="80">
        <f t="shared" si="15"/>
        <v>0</v>
      </c>
      <c r="BK56" s="80">
        <v>0</v>
      </c>
      <c r="BL56" s="80">
        <v>3886</v>
      </c>
      <c r="BM56" s="80">
        <v>1048</v>
      </c>
      <c r="BN56" s="79">
        <v>16</v>
      </c>
      <c r="BO56" s="79">
        <v>-15</v>
      </c>
      <c r="BP56" s="79">
        <v>-7</v>
      </c>
      <c r="BQ56" s="79">
        <v>-62</v>
      </c>
      <c r="BR56" s="79">
        <v>-108</v>
      </c>
      <c r="BS56" s="79">
        <v>-471</v>
      </c>
      <c r="BT56" s="79">
        <v>2</v>
      </c>
      <c r="BU56" s="79">
        <v>-1</v>
      </c>
      <c r="BV56" s="79">
        <v>6</v>
      </c>
      <c r="BW56" s="79">
        <v>-624</v>
      </c>
      <c r="BX56" s="79">
        <v>-3</v>
      </c>
      <c r="BY56" s="79">
        <v>3667</v>
      </c>
      <c r="BZ56" s="79">
        <v>0</v>
      </c>
      <c r="CA56" s="79">
        <v>105</v>
      </c>
      <c r="CB56" s="79">
        <v>59</v>
      </c>
      <c r="CC56" s="79">
        <v>460</v>
      </c>
      <c r="CD56" s="79">
        <v>4</v>
      </c>
      <c r="CE56" s="79">
        <v>5</v>
      </c>
    </row>
    <row r="57" spans="1:83" ht="15.6" customHeight="1" x14ac:dyDescent="0.25">
      <c r="A57" s="36">
        <v>5</v>
      </c>
      <c r="B57" s="37" t="s">
        <v>226</v>
      </c>
      <c r="C57" s="71" t="s">
        <v>227</v>
      </c>
      <c r="D57" s="40" t="s">
        <v>228</v>
      </c>
      <c r="E57" s="40" t="s">
        <v>104</v>
      </c>
      <c r="F57" s="40" t="s">
        <v>200</v>
      </c>
      <c r="G57" s="88">
        <v>25043970.43</v>
      </c>
      <c r="H57" s="88">
        <v>72012.240000000005</v>
      </c>
      <c r="I57" s="88">
        <v>1528420.58</v>
      </c>
      <c r="J57" s="88">
        <v>0</v>
      </c>
      <c r="K57" s="89">
        <v>0</v>
      </c>
      <c r="L57" s="89">
        <v>26644403.25</v>
      </c>
      <c r="M57" s="89">
        <v>0</v>
      </c>
      <c r="N57" s="88">
        <v>3703424.42</v>
      </c>
      <c r="O57" s="88">
        <v>1190032.6000000001</v>
      </c>
      <c r="P57" s="90">
        <v>12832255</v>
      </c>
      <c r="Q57" s="88">
        <v>72512.240000000005</v>
      </c>
      <c r="R57" s="88">
        <v>865078.03</v>
      </c>
      <c r="S57" s="88">
        <v>1590063.41</v>
      </c>
      <c r="T57" s="88">
        <v>3375461.23</v>
      </c>
      <c r="U57" s="88">
        <v>0</v>
      </c>
      <c r="V57" s="88">
        <v>0</v>
      </c>
      <c r="W57" s="88">
        <v>1067553.1100000001</v>
      </c>
      <c r="X57" s="89">
        <v>2154766.5499999998</v>
      </c>
      <c r="Y57" s="89">
        <v>26851146.59</v>
      </c>
      <c r="Z57" s="81">
        <v>9.4401495699073121E-2</v>
      </c>
      <c r="AA57" s="89">
        <v>1810682.48</v>
      </c>
      <c r="AB57" s="89">
        <v>0</v>
      </c>
      <c r="AC57" s="89">
        <v>0</v>
      </c>
      <c r="AD57" s="89">
        <v>0</v>
      </c>
      <c r="AE57" s="89">
        <v>0</v>
      </c>
      <c r="AF57" s="89">
        <f t="shared" si="13"/>
        <v>0</v>
      </c>
      <c r="AG57" s="89">
        <v>877503.04</v>
      </c>
      <c r="AH57" s="88">
        <v>66949.08</v>
      </c>
      <c r="AI57" s="88">
        <v>172912.51</v>
      </c>
      <c r="AJ57" s="89">
        <v>3306.3</v>
      </c>
      <c r="AK57" s="88">
        <v>56719.89</v>
      </c>
      <c r="AL57" s="88">
        <v>0</v>
      </c>
      <c r="AM57" s="88">
        <v>94062.73</v>
      </c>
      <c r="AN57" s="88">
        <v>11400</v>
      </c>
      <c r="AO57" s="88">
        <v>4200</v>
      </c>
      <c r="AP57" s="88">
        <v>157009.70000000001</v>
      </c>
      <c r="AQ57" s="88">
        <v>42262.369999999995</v>
      </c>
      <c r="AR57" s="88">
        <v>3965.68</v>
      </c>
      <c r="AS57" s="88">
        <v>0</v>
      </c>
      <c r="AT57" s="88">
        <v>0</v>
      </c>
      <c r="AU57" s="88">
        <v>81765.7</v>
      </c>
      <c r="AV57" s="88">
        <v>52313.840000000004</v>
      </c>
      <c r="AW57" s="88">
        <v>1624370.84</v>
      </c>
      <c r="AX57" s="88">
        <v>0</v>
      </c>
      <c r="AY57" s="81">
        <f t="shared" si="14"/>
        <v>0</v>
      </c>
      <c r="AZ57" s="89">
        <v>0</v>
      </c>
      <c r="BA57" s="81">
        <v>7.230013647640296E-2</v>
      </c>
      <c r="BB57" s="79">
        <v>198577.26</v>
      </c>
      <c r="BC57" s="79">
        <v>2172409.0699999998</v>
      </c>
      <c r="BD57" s="80">
        <v>219587</v>
      </c>
      <c r="BE57" s="80">
        <v>2.91038304567337E-11</v>
      </c>
      <c r="BF57" s="80">
        <v>357204.35000000102</v>
      </c>
      <c r="BG57" s="80">
        <v>0</v>
      </c>
      <c r="BH57" s="80">
        <v>0</v>
      </c>
      <c r="BI57" s="80">
        <v>0</v>
      </c>
      <c r="BJ57" s="80">
        <f t="shared" si="15"/>
        <v>0</v>
      </c>
      <c r="BK57" s="80">
        <v>0</v>
      </c>
      <c r="BL57" s="80">
        <v>4437</v>
      </c>
      <c r="BM57" s="80">
        <v>1471</v>
      </c>
      <c r="BN57" s="79">
        <v>35</v>
      </c>
      <c r="BO57" s="79">
        <v>-8</v>
      </c>
      <c r="BP57" s="79">
        <v>-17</v>
      </c>
      <c r="BQ57" s="79">
        <v>-32</v>
      </c>
      <c r="BR57" s="79">
        <v>-93</v>
      </c>
      <c r="BS57" s="79">
        <v>-543</v>
      </c>
      <c r="BT57" s="79">
        <v>0</v>
      </c>
      <c r="BU57" s="79">
        <v>0</v>
      </c>
      <c r="BV57" s="79">
        <v>0</v>
      </c>
      <c r="BW57" s="79">
        <v>-809</v>
      </c>
      <c r="BX57" s="79">
        <v>-4</v>
      </c>
      <c r="BY57" s="79">
        <v>4437</v>
      </c>
      <c r="BZ57" s="79">
        <v>2</v>
      </c>
      <c r="CA57" s="79">
        <v>144</v>
      </c>
      <c r="CB57" s="79">
        <v>73</v>
      </c>
      <c r="CC57" s="79">
        <v>126</v>
      </c>
      <c r="CD57" s="79">
        <v>457</v>
      </c>
      <c r="CE57" s="79">
        <v>9</v>
      </c>
    </row>
    <row r="58" spans="1:83" s="58" customFormat="1" ht="15.6" customHeight="1" x14ac:dyDescent="0.25">
      <c r="A58" s="43">
        <v>6</v>
      </c>
      <c r="B58" s="59" t="s">
        <v>229</v>
      </c>
      <c r="C58" s="78" t="s">
        <v>230</v>
      </c>
      <c r="D58" s="50" t="s">
        <v>231</v>
      </c>
      <c r="E58" s="50" t="s">
        <v>104</v>
      </c>
      <c r="F58" s="50" t="s">
        <v>232</v>
      </c>
      <c r="G58" s="89">
        <v>34137783.950000003</v>
      </c>
      <c r="H58" s="89">
        <v>81436.460000000006</v>
      </c>
      <c r="I58" s="89">
        <v>1100673.56</v>
      </c>
      <c r="J58" s="89">
        <v>0</v>
      </c>
      <c r="K58" s="89">
        <v>0</v>
      </c>
      <c r="L58" s="89">
        <v>35319893.969999999</v>
      </c>
      <c r="M58" s="89">
        <v>0</v>
      </c>
      <c r="N58" s="89">
        <v>9477856.9399999995</v>
      </c>
      <c r="O58" s="89">
        <v>4522888.08</v>
      </c>
      <c r="P58" s="89">
        <v>7930733</v>
      </c>
      <c r="Q58" s="89">
        <v>72647.27</v>
      </c>
      <c r="R58" s="89">
        <v>1983970.76</v>
      </c>
      <c r="S58" s="89">
        <v>4879350.79</v>
      </c>
      <c r="T58" s="89">
        <v>2944070.61</v>
      </c>
      <c r="U58" s="89">
        <v>0</v>
      </c>
      <c r="V58" s="89">
        <v>81416.14</v>
      </c>
      <c r="W58" s="89">
        <v>1214194.74</v>
      </c>
      <c r="X58" s="89">
        <v>2638329.2599999998</v>
      </c>
      <c r="Y58" s="89">
        <v>35745457.590000004</v>
      </c>
      <c r="Z58" s="81">
        <v>5.8794601861007441E-2</v>
      </c>
      <c r="AA58" s="89">
        <v>2638329.2599999998</v>
      </c>
      <c r="AB58" s="89">
        <v>0</v>
      </c>
      <c r="AC58" s="89">
        <v>0</v>
      </c>
      <c r="AD58" s="89">
        <v>0</v>
      </c>
      <c r="AE58" s="89">
        <v>0</v>
      </c>
      <c r="AF58" s="89">
        <f t="shared" si="13"/>
        <v>0</v>
      </c>
      <c r="AG58" s="89">
        <v>1239229.6200000001</v>
      </c>
      <c r="AH58" s="89">
        <v>92333.04</v>
      </c>
      <c r="AI58" s="89">
        <v>296494.21999999997</v>
      </c>
      <c r="AJ58" s="89">
        <v>0</v>
      </c>
      <c r="AK58" s="89">
        <v>234660</v>
      </c>
      <c r="AL58" s="89">
        <v>18879.57</v>
      </c>
      <c r="AM58" s="89">
        <v>183782.99</v>
      </c>
      <c r="AN58" s="89">
        <v>12100</v>
      </c>
      <c r="AO58" s="89">
        <v>6432.5</v>
      </c>
      <c r="AP58" s="89">
        <v>46669.34</v>
      </c>
      <c r="AQ58" s="89">
        <v>60987.57</v>
      </c>
      <c r="AR58" s="89">
        <v>26238.25</v>
      </c>
      <c r="AS58" s="89">
        <v>23023.34</v>
      </c>
      <c r="AT58" s="89">
        <v>72751.22</v>
      </c>
      <c r="AU58" s="89">
        <v>47157.06</v>
      </c>
      <c r="AV58" s="89">
        <v>128514.31</v>
      </c>
      <c r="AW58" s="89">
        <v>2489253.0299999998</v>
      </c>
      <c r="AX58" s="89">
        <v>0</v>
      </c>
      <c r="AY58" s="81">
        <f t="shared" si="14"/>
        <v>0</v>
      </c>
      <c r="AZ58" s="89">
        <v>0</v>
      </c>
      <c r="BA58" s="81">
        <v>7.7284725448618335E-2</v>
      </c>
      <c r="BB58" s="80">
        <v>244701.84</v>
      </c>
      <c r="BC58" s="80">
        <v>1767203.6</v>
      </c>
      <c r="BD58" s="80">
        <v>216829</v>
      </c>
      <c r="BE58" s="80">
        <v>5.8207660913467401E-11</v>
      </c>
      <c r="BF58" s="80">
        <v>571511.87999999896</v>
      </c>
      <c r="BG58" s="80">
        <v>0</v>
      </c>
      <c r="BH58" s="80">
        <v>0</v>
      </c>
      <c r="BI58" s="80">
        <v>0</v>
      </c>
      <c r="BJ58" s="80">
        <f t="shared" si="15"/>
        <v>0</v>
      </c>
      <c r="BK58" s="80">
        <v>0</v>
      </c>
      <c r="BL58" s="80">
        <v>3668</v>
      </c>
      <c r="BM58" s="80">
        <v>1358</v>
      </c>
      <c r="BN58" s="80">
        <v>10</v>
      </c>
      <c r="BO58" s="80">
        <v>0</v>
      </c>
      <c r="BP58" s="80">
        <v>-39</v>
      </c>
      <c r="BQ58" s="80">
        <v>-73</v>
      </c>
      <c r="BR58" s="80">
        <v>-571</v>
      </c>
      <c r="BS58" s="80">
        <v>-518</v>
      </c>
      <c r="BT58" s="80">
        <v>0</v>
      </c>
      <c r="BU58" s="80">
        <v>0</v>
      </c>
      <c r="BV58" s="80">
        <v>115</v>
      </c>
      <c r="BW58" s="80">
        <v>-713</v>
      </c>
      <c r="BX58" s="80">
        <v>0</v>
      </c>
      <c r="BY58" s="80">
        <v>3237</v>
      </c>
      <c r="BZ58" s="80">
        <v>2</v>
      </c>
      <c r="CA58" s="80">
        <v>140</v>
      </c>
      <c r="CB58" s="80">
        <v>50</v>
      </c>
      <c r="CC58" s="80">
        <v>369</v>
      </c>
      <c r="CD58" s="80">
        <v>140</v>
      </c>
      <c r="CE58" s="80">
        <v>8</v>
      </c>
    </row>
    <row r="59" spans="1:83" s="58" customFormat="1" ht="15.6" customHeight="1" x14ac:dyDescent="0.25">
      <c r="A59" s="51">
        <v>6</v>
      </c>
      <c r="B59" s="55" t="s">
        <v>565</v>
      </c>
      <c r="C59" s="77" t="s">
        <v>555</v>
      </c>
      <c r="D59" s="50" t="s">
        <v>537</v>
      </c>
      <c r="E59" s="50" t="s">
        <v>109</v>
      </c>
      <c r="F59" s="50" t="s">
        <v>232</v>
      </c>
      <c r="G59" s="89">
        <v>23587939.5</v>
      </c>
      <c r="H59" s="89">
        <v>0</v>
      </c>
      <c r="I59" s="89">
        <v>688733.24</v>
      </c>
      <c r="J59" s="89">
        <v>6770.27</v>
      </c>
      <c r="K59" s="89">
        <v>1185.9100000000001</v>
      </c>
      <c r="L59" s="89">
        <v>24284628.920000002</v>
      </c>
      <c r="M59" s="89">
        <v>67880.600000000006</v>
      </c>
      <c r="N59" s="89">
        <v>147812.09</v>
      </c>
      <c r="O59" s="89">
        <v>3267974.28</v>
      </c>
      <c r="P59" s="89">
        <v>6520119.46</v>
      </c>
      <c r="Q59" s="89">
        <v>0</v>
      </c>
      <c r="R59" s="89">
        <v>1840345.35</v>
      </c>
      <c r="S59" s="89">
        <v>5690898.3200000003</v>
      </c>
      <c r="T59" s="89">
        <v>3375321.41</v>
      </c>
      <c r="U59" s="89">
        <v>0</v>
      </c>
      <c r="V59" s="89">
        <v>0</v>
      </c>
      <c r="W59" s="89">
        <v>962293.16</v>
      </c>
      <c r="X59" s="89">
        <v>2253276.4200000004</v>
      </c>
      <c r="Y59" s="89">
        <v>24058040.489999998</v>
      </c>
      <c r="Z59" s="81">
        <v>0.11929584438691647</v>
      </c>
      <c r="AA59" s="89">
        <v>2252090.5099999998</v>
      </c>
      <c r="AB59" s="89">
        <v>0</v>
      </c>
      <c r="AC59" s="89">
        <v>0</v>
      </c>
      <c r="AD59" s="89">
        <v>1185.9100000000001</v>
      </c>
      <c r="AE59" s="89">
        <v>1.26</v>
      </c>
      <c r="AF59" s="89">
        <f t="shared" si="13"/>
        <v>1187.17</v>
      </c>
      <c r="AG59" s="89">
        <v>1021479.39</v>
      </c>
      <c r="AH59" s="89">
        <v>79464.39</v>
      </c>
      <c r="AI59" s="89">
        <v>286073.96999999997</v>
      </c>
      <c r="AJ59" s="89">
        <v>4737.3500000000004</v>
      </c>
      <c r="AK59" s="89">
        <v>207309.21</v>
      </c>
      <c r="AL59" s="89">
        <v>45551.45</v>
      </c>
      <c r="AM59" s="89">
        <v>58745.35</v>
      </c>
      <c r="AN59" s="89">
        <v>9000</v>
      </c>
      <c r="AO59" s="89">
        <v>20150</v>
      </c>
      <c r="AP59" s="89">
        <v>121104.26</v>
      </c>
      <c r="AQ59" s="89">
        <v>64317.310000000005</v>
      </c>
      <c r="AR59" s="89">
        <v>12623.29</v>
      </c>
      <c r="AS59" s="89">
        <v>0</v>
      </c>
      <c r="AT59" s="89">
        <v>11461.59</v>
      </c>
      <c r="AU59" s="89">
        <v>14257.74</v>
      </c>
      <c r="AV59" s="89">
        <v>99000.93</v>
      </c>
      <c r="AW59" s="89">
        <v>2055276.23</v>
      </c>
      <c r="AX59" s="89">
        <v>0</v>
      </c>
      <c r="AY59" s="81">
        <f t="shared" si="14"/>
        <v>0</v>
      </c>
      <c r="AZ59" s="89">
        <v>0</v>
      </c>
      <c r="BA59" s="81">
        <v>9.520238573339504E-2</v>
      </c>
      <c r="BB59" s="80">
        <v>816626</v>
      </c>
      <c r="BC59" s="80">
        <v>1997317</v>
      </c>
      <c r="BD59" s="80">
        <v>216829</v>
      </c>
      <c r="BE59" s="80">
        <v>0</v>
      </c>
      <c r="BF59" s="80">
        <v>452345.29</v>
      </c>
      <c r="BG59" s="80">
        <v>0</v>
      </c>
      <c r="BH59" s="80">
        <v>0</v>
      </c>
      <c r="BI59" s="80">
        <v>0</v>
      </c>
      <c r="BJ59" s="80">
        <f t="shared" si="15"/>
        <v>0</v>
      </c>
      <c r="BK59" s="80">
        <v>0</v>
      </c>
      <c r="BL59" s="80">
        <v>3616</v>
      </c>
      <c r="BM59" s="80">
        <v>1599</v>
      </c>
      <c r="BN59" s="80">
        <v>34</v>
      </c>
      <c r="BO59" s="80">
        <v>-23</v>
      </c>
      <c r="BP59" s="80">
        <v>-80</v>
      </c>
      <c r="BQ59" s="80">
        <v>-123</v>
      </c>
      <c r="BR59" s="80">
        <v>-468</v>
      </c>
      <c r="BS59" s="80">
        <v>-364</v>
      </c>
      <c r="BT59" s="80">
        <v>4</v>
      </c>
      <c r="BU59" s="80">
        <v>-1</v>
      </c>
      <c r="BV59" s="80">
        <v>9</v>
      </c>
      <c r="BW59" s="80">
        <v>-540</v>
      </c>
      <c r="BX59" s="80">
        <v>-1</v>
      </c>
      <c r="BY59" s="80">
        <v>3662</v>
      </c>
      <c r="BZ59" s="80">
        <v>24</v>
      </c>
      <c r="CA59" s="80">
        <v>161</v>
      </c>
      <c r="CB59" s="80">
        <v>55</v>
      </c>
      <c r="CC59" s="80">
        <v>315</v>
      </c>
      <c r="CD59" s="80">
        <v>2</v>
      </c>
      <c r="CE59" s="80">
        <v>7</v>
      </c>
    </row>
    <row r="60" spans="1:83" s="58" customFormat="1" ht="15.6" customHeight="1" x14ac:dyDescent="0.25">
      <c r="A60" s="43">
        <v>6</v>
      </c>
      <c r="B60" s="59" t="s">
        <v>233</v>
      </c>
      <c r="C60" s="77" t="s">
        <v>174</v>
      </c>
      <c r="D60" s="50" t="s">
        <v>234</v>
      </c>
      <c r="E60" s="50" t="s">
        <v>104</v>
      </c>
      <c r="F60" s="50" t="s">
        <v>232</v>
      </c>
      <c r="G60" s="89">
        <v>53781190.43</v>
      </c>
      <c r="H60" s="89">
        <v>0</v>
      </c>
      <c r="I60" s="89">
        <v>1580910.75</v>
      </c>
      <c r="J60" s="89">
        <v>0</v>
      </c>
      <c r="K60" s="89">
        <v>0</v>
      </c>
      <c r="L60" s="89">
        <v>55362101.18</v>
      </c>
      <c r="M60" s="89">
        <v>0</v>
      </c>
      <c r="N60" s="89">
        <v>14606538.300000001</v>
      </c>
      <c r="O60" s="89">
        <v>8734615.4299999997</v>
      </c>
      <c r="P60" s="89">
        <v>11536618.75</v>
      </c>
      <c r="Q60" s="89">
        <v>0</v>
      </c>
      <c r="R60" s="89">
        <v>2353457.943</v>
      </c>
      <c r="S60" s="89">
        <v>7424709.4000000004</v>
      </c>
      <c r="T60" s="89">
        <v>4905602.25</v>
      </c>
      <c r="U60" s="89">
        <v>0</v>
      </c>
      <c r="V60" s="89">
        <v>0</v>
      </c>
      <c r="W60" s="89">
        <v>2055695.76</v>
      </c>
      <c r="X60" s="89">
        <v>4492862.2300000004</v>
      </c>
      <c r="Y60" s="89">
        <v>56110100.063000001</v>
      </c>
      <c r="Z60" s="81">
        <v>2.4580834236472851E-2</v>
      </c>
      <c r="AA60" s="89">
        <v>4492862.2300000004</v>
      </c>
      <c r="AB60" s="89">
        <v>0</v>
      </c>
      <c r="AC60" s="89">
        <v>0</v>
      </c>
      <c r="AD60" s="89">
        <v>0</v>
      </c>
      <c r="AE60" s="89">
        <v>60.83</v>
      </c>
      <c r="AF60" s="89">
        <f t="shared" si="13"/>
        <v>60.83</v>
      </c>
      <c r="AG60" s="89">
        <v>2032720.65</v>
      </c>
      <c r="AH60" s="89">
        <v>163293.88</v>
      </c>
      <c r="AI60" s="89">
        <v>498097.05</v>
      </c>
      <c r="AJ60" s="89">
        <v>0</v>
      </c>
      <c r="AK60" s="89">
        <v>463749.38</v>
      </c>
      <c r="AL60" s="89">
        <v>54014.37</v>
      </c>
      <c r="AM60" s="89">
        <v>183997.07</v>
      </c>
      <c r="AN60" s="89">
        <v>15400</v>
      </c>
      <c r="AO60" s="89">
        <v>16693.34</v>
      </c>
      <c r="AP60" s="89">
        <v>84139.87</v>
      </c>
      <c r="AQ60" s="89">
        <v>116565.32</v>
      </c>
      <c r="AR60" s="89">
        <v>34437.11</v>
      </c>
      <c r="AS60" s="89">
        <v>25771.16</v>
      </c>
      <c r="AT60" s="89">
        <v>214283.25</v>
      </c>
      <c r="AU60" s="89">
        <v>81406.38</v>
      </c>
      <c r="AV60" s="89">
        <v>275229.03000000003</v>
      </c>
      <c r="AW60" s="89">
        <v>4259797.8600000003</v>
      </c>
      <c r="AX60" s="89">
        <v>0</v>
      </c>
      <c r="AY60" s="81">
        <f t="shared" si="14"/>
        <v>0</v>
      </c>
      <c r="AZ60" s="89">
        <v>106.36</v>
      </c>
      <c r="BA60" s="81">
        <v>8.3539657528551303E-2</v>
      </c>
      <c r="BB60" s="80">
        <v>231170.04</v>
      </c>
      <c r="BC60" s="80">
        <v>1090816.49</v>
      </c>
      <c r="BD60" s="80">
        <v>219587</v>
      </c>
      <c r="BE60" s="80">
        <v>0</v>
      </c>
      <c r="BF60" s="80">
        <v>987165.11000000197</v>
      </c>
      <c r="BG60" s="80">
        <v>0</v>
      </c>
      <c r="BH60" s="80">
        <v>0</v>
      </c>
      <c r="BI60" s="80">
        <v>0</v>
      </c>
      <c r="BJ60" s="80">
        <f t="shared" si="15"/>
        <v>0</v>
      </c>
      <c r="BK60" s="80">
        <v>0</v>
      </c>
      <c r="BL60" s="80">
        <v>5862</v>
      </c>
      <c r="BM60" s="80">
        <v>2219</v>
      </c>
      <c r="BN60" s="80">
        <v>14</v>
      </c>
      <c r="BO60" s="80">
        <v>-25</v>
      </c>
      <c r="BP60" s="80">
        <v>-131</v>
      </c>
      <c r="BQ60" s="80">
        <v>-204</v>
      </c>
      <c r="BR60" s="80">
        <v>-1026</v>
      </c>
      <c r="BS60" s="80">
        <v>-921</v>
      </c>
      <c r="BT60" s="80">
        <v>8</v>
      </c>
      <c r="BU60" s="80">
        <v>0</v>
      </c>
      <c r="BV60" s="80">
        <v>12</v>
      </c>
      <c r="BW60" s="80">
        <v>-1000</v>
      </c>
      <c r="BX60" s="80">
        <v>0</v>
      </c>
      <c r="BY60" s="80">
        <v>4808</v>
      </c>
      <c r="BZ60" s="80">
        <v>4</v>
      </c>
      <c r="CA60" s="80">
        <v>240</v>
      </c>
      <c r="CB60" s="80">
        <v>91</v>
      </c>
      <c r="CC60" s="80">
        <v>647</v>
      </c>
      <c r="CD60" s="80">
        <v>6</v>
      </c>
      <c r="CE60" s="80">
        <v>14</v>
      </c>
    </row>
    <row r="61" spans="1:83" s="58" customFormat="1" ht="15.6" customHeight="1" x14ac:dyDescent="0.25">
      <c r="A61" s="51">
        <v>6</v>
      </c>
      <c r="B61" s="52" t="s">
        <v>235</v>
      </c>
      <c r="C61" s="78" t="s">
        <v>89</v>
      </c>
      <c r="D61" s="50" t="s">
        <v>236</v>
      </c>
      <c r="E61" s="50" t="s">
        <v>109</v>
      </c>
      <c r="F61" s="50" t="s">
        <v>232</v>
      </c>
      <c r="G61" s="80">
        <v>23126207.010000002</v>
      </c>
      <c r="H61" s="80">
        <v>0</v>
      </c>
      <c r="I61" s="80">
        <v>371512.16</v>
      </c>
      <c r="J61" s="80">
        <v>0</v>
      </c>
      <c r="K61" s="80">
        <v>1970.9399999999998</v>
      </c>
      <c r="L61" s="80">
        <v>23499690.109999999</v>
      </c>
      <c r="M61" s="80">
        <v>0</v>
      </c>
      <c r="N61" s="80">
        <v>0</v>
      </c>
      <c r="O61" s="80">
        <v>1880466.62</v>
      </c>
      <c r="P61" s="80">
        <v>11816236</v>
      </c>
      <c r="Q61" s="80">
        <v>78795.87</v>
      </c>
      <c r="R61" s="80">
        <v>1238247.24</v>
      </c>
      <c r="S61" s="80">
        <v>3431800.51</v>
      </c>
      <c r="T61" s="80">
        <v>3110110.97</v>
      </c>
      <c r="U61" s="80">
        <v>0</v>
      </c>
      <c r="V61" s="80">
        <v>0</v>
      </c>
      <c r="W61" s="80">
        <v>475690.89</v>
      </c>
      <c r="X61" s="80">
        <v>1927034.47</v>
      </c>
      <c r="Y61" s="80">
        <v>23958382.57</v>
      </c>
      <c r="Z61" s="81">
        <v>5.6660412986591177E-2</v>
      </c>
      <c r="AA61" s="80">
        <v>1925140.07</v>
      </c>
      <c r="AB61" s="80">
        <v>0</v>
      </c>
      <c r="AC61" s="80">
        <v>0</v>
      </c>
      <c r="AD61" s="80">
        <v>1894.4</v>
      </c>
      <c r="AE61" s="80">
        <v>1518.31</v>
      </c>
      <c r="AF61" s="80">
        <f t="shared" ref="AF61:AF92" si="16">SUM(AD61:AE61)</f>
        <v>3412.71</v>
      </c>
      <c r="AG61" s="80">
        <v>779545.89</v>
      </c>
      <c r="AH61" s="80">
        <v>66927.320000000007</v>
      </c>
      <c r="AI61" s="80">
        <v>203198.22</v>
      </c>
      <c r="AJ61" s="80">
        <v>0</v>
      </c>
      <c r="AK61" s="80">
        <v>194058.08</v>
      </c>
      <c r="AL61" s="80">
        <v>16338.35</v>
      </c>
      <c r="AM61" s="80">
        <v>92812.29</v>
      </c>
      <c r="AN61" s="80">
        <v>9000</v>
      </c>
      <c r="AO61" s="80">
        <v>0</v>
      </c>
      <c r="AP61" s="80">
        <v>70469.210000000006</v>
      </c>
      <c r="AQ61" s="80">
        <v>66256.7</v>
      </c>
      <c r="AR61" s="80">
        <v>22960.2</v>
      </c>
      <c r="AS61" s="80">
        <v>3305</v>
      </c>
      <c r="AT61" s="80">
        <v>10266.86</v>
      </c>
      <c r="AU61" s="80">
        <v>17729.75</v>
      </c>
      <c r="AV61" s="80">
        <v>151602.6</v>
      </c>
      <c r="AW61" s="80">
        <v>1704470.47</v>
      </c>
      <c r="AX61" s="80">
        <v>0</v>
      </c>
      <c r="AY61" s="81">
        <f t="shared" ref="AY61:AY92" si="17">AX61/AW61</f>
        <v>0</v>
      </c>
      <c r="AZ61" s="80">
        <v>0</v>
      </c>
      <c r="BA61" s="81">
        <v>8.3244955351629873E-2</v>
      </c>
      <c r="BB61" s="80">
        <v>204771.21</v>
      </c>
      <c r="BC61" s="80">
        <v>1105569.23</v>
      </c>
      <c r="BD61" s="80">
        <v>219587</v>
      </c>
      <c r="BE61" s="80">
        <v>0</v>
      </c>
      <c r="BF61" s="80">
        <v>386897.89999999898</v>
      </c>
      <c r="BG61" s="80">
        <v>0</v>
      </c>
      <c r="BH61" s="80">
        <v>0</v>
      </c>
      <c r="BI61" s="80">
        <v>0</v>
      </c>
      <c r="BJ61" s="80">
        <f t="shared" ref="BJ61:BJ92" si="18">SUM(BH61:BI61)</f>
        <v>0</v>
      </c>
      <c r="BK61" s="80">
        <v>0</v>
      </c>
      <c r="BL61" s="80">
        <v>1710</v>
      </c>
      <c r="BM61" s="80">
        <v>716</v>
      </c>
      <c r="BN61" s="80">
        <v>5</v>
      </c>
      <c r="BO61" s="80">
        <v>0</v>
      </c>
      <c r="BP61" s="80">
        <v>-13</v>
      </c>
      <c r="BQ61" s="80">
        <v>-33</v>
      </c>
      <c r="BR61" s="80">
        <v>-132</v>
      </c>
      <c r="BS61" s="80">
        <v>-159</v>
      </c>
      <c r="BT61" s="80">
        <v>8</v>
      </c>
      <c r="BU61" s="80">
        <v>0</v>
      </c>
      <c r="BV61" s="80">
        <v>0</v>
      </c>
      <c r="BW61" s="80">
        <v>-340</v>
      </c>
      <c r="BX61" s="80">
        <v>0</v>
      </c>
      <c r="BY61" s="80">
        <v>1762</v>
      </c>
      <c r="BZ61" s="80">
        <v>4</v>
      </c>
      <c r="CA61" s="80">
        <v>161</v>
      </c>
      <c r="CB61" s="80">
        <v>23</v>
      </c>
      <c r="CC61" s="80">
        <v>113</v>
      </c>
      <c r="CD61" s="80">
        <v>34</v>
      </c>
      <c r="CE61" s="80">
        <v>7</v>
      </c>
    </row>
    <row r="62" spans="1:83" s="83" customFormat="1" ht="15.6" customHeight="1" x14ac:dyDescent="0.25">
      <c r="A62" s="32">
        <v>6</v>
      </c>
      <c r="B62" s="33" t="s">
        <v>237</v>
      </c>
      <c r="C62" s="72" t="s">
        <v>238</v>
      </c>
      <c r="D62" s="34" t="s">
        <v>239</v>
      </c>
      <c r="E62" s="34" t="s">
        <v>104</v>
      </c>
      <c r="F62" s="34" t="s">
        <v>232</v>
      </c>
      <c r="G62" s="90">
        <v>34287190.850000001</v>
      </c>
      <c r="H62" s="90">
        <v>77578.399999999994</v>
      </c>
      <c r="I62" s="90">
        <v>552552.68000000005</v>
      </c>
      <c r="J62" s="90">
        <v>0</v>
      </c>
      <c r="K62" s="90">
        <v>8622.27</v>
      </c>
      <c r="L62" s="90">
        <v>34925944.200000003</v>
      </c>
      <c r="M62" s="90">
        <v>0</v>
      </c>
      <c r="N62" s="90">
        <v>9417071.5800000001</v>
      </c>
      <c r="O62" s="90">
        <v>4610844.62</v>
      </c>
      <c r="P62" s="90">
        <v>7485111.3799999999</v>
      </c>
      <c r="Q62" s="90">
        <v>0</v>
      </c>
      <c r="R62" s="90">
        <v>2318260.44</v>
      </c>
      <c r="S62" s="90">
        <v>4618062.4000000004</v>
      </c>
      <c r="T62" s="90">
        <v>3225522.98</v>
      </c>
      <c r="U62" s="90">
        <v>0</v>
      </c>
      <c r="V62" s="90">
        <v>77178.399999999994</v>
      </c>
      <c r="W62" s="90">
        <v>664287.04</v>
      </c>
      <c r="X62" s="90">
        <v>2838304.8499999996</v>
      </c>
      <c r="Y62" s="90">
        <v>35254643.689999998</v>
      </c>
      <c r="Z62" s="93">
        <v>1.5336573517077146E-2</v>
      </c>
      <c r="AA62" s="90">
        <v>2827843.53</v>
      </c>
      <c r="AB62" s="90">
        <v>0</v>
      </c>
      <c r="AC62" s="90">
        <v>0</v>
      </c>
      <c r="AD62" s="90">
        <v>10061.32</v>
      </c>
      <c r="AE62" s="90">
        <v>965.56</v>
      </c>
      <c r="AF62" s="90">
        <f t="shared" si="16"/>
        <v>11026.88</v>
      </c>
      <c r="AG62" s="90">
        <v>1347525.04</v>
      </c>
      <c r="AH62" s="90">
        <v>102007.06</v>
      </c>
      <c r="AI62" s="90">
        <v>327307.15999999997</v>
      </c>
      <c r="AJ62" s="90">
        <v>0</v>
      </c>
      <c r="AK62" s="90">
        <v>224574.16</v>
      </c>
      <c r="AL62" s="90">
        <v>20380.2</v>
      </c>
      <c r="AM62" s="90">
        <v>118862.54</v>
      </c>
      <c r="AN62" s="90">
        <v>12100</v>
      </c>
      <c r="AO62" s="90">
        <v>5000</v>
      </c>
      <c r="AP62" s="90">
        <v>64844.160000000003</v>
      </c>
      <c r="AQ62" s="90">
        <v>61114.060000000005</v>
      </c>
      <c r="AR62" s="90">
        <v>29152.44</v>
      </c>
      <c r="AS62" s="90">
        <v>28416.52</v>
      </c>
      <c r="AT62" s="90">
        <v>14954.91</v>
      </c>
      <c r="AU62" s="90">
        <v>70844.210000000006</v>
      </c>
      <c r="AV62" s="90">
        <v>126544.16</v>
      </c>
      <c r="AW62" s="90">
        <v>2553626.62</v>
      </c>
      <c r="AX62" s="90">
        <v>8155.74</v>
      </c>
      <c r="AY62" s="93">
        <f t="shared" si="17"/>
        <v>3.1937871950911915E-3</v>
      </c>
      <c r="AZ62" s="90">
        <v>0</v>
      </c>
      <c r="BA62" s="93">
        <v>8.247521770947297E-2</v>
      </c>
      <c r="BB62" s="91">
        <v>153752.01</v>
      </c>
      <c r="BC62" s="91">
        <v>373285.8</v>
      </c>
      <c r="BD62" s="91">
        <v>219587</v>
      </c>
      <c r="BE62" s="91">
        <v>2.91038304567337E-11</v>
      </c>
      <c r="BF62" s="91">
        <v>622262.31700000004</v>
      </c>
      <c r="BG62" s="91">
        <v>0</v>
      </c>
      <c r="BH62" s="91">
        <v>0</v>
      </c>
      <c r="BI62" s="91">
        <v>0</v>
      </c>
      <c r="BJ62" s="91">
        <f t="shared" si="18"/>
        <v>0</v>
      </c>
      <c r="BK62" s="91">
        <v>0</v>
      </c>
      <c r="BL62" s="91">
        <v>3572</v>
      </c>
      <c r="BM62" s="91">
        <v>1393</v>
      </c>
      <c r="BN62" s="91">
        <v>1</v>
      </c>
      <c r="BO62" s="91">
        <v>0</v>
      </c>
      <c r="BP62" s="91">
        <v>-46</v>
      </c>
      <c r="BQ62" s="91">
        <v>-75</v>
      </c>
      <c r="BR62" s="91">
        <v>-504</v>
      </c>
      <c r="BS62" s="91">
        <v>-508</v>
      </c>
      <c r="BT62" s="91">
        <v>0</v>
      </c>
      <c r="BU62" s="91">
        <v>-3</v>
      </c>
      <c r="BV62" s="91">
        <v>8</v>
      </c>
      <c r="BW62" s="91">
        <v>-592</v>
      </c>
      <c r="BX62" s="91">
        <v>-2</v>
      </c>
      <c r="BY62" s="91">
        <v>3244</v>
      </c>
      <c r="BZ62" s="91">
        <v>0</v>
      </c>
      <c r="CA62" s="91">
        <v>126</v>
      </c>
      <c r="CB62" s="91">
        <v>60</v>
      </c>
      <c r="CC62" s="91">
        <v>381</v>
      </c>
      <c r="CD62" s="91">
        <v>17</v>
      </c>
      <c r="CE62" s="91">
        <v>10</v>
      </c>
    </row>
    <row r="63" spans="1:83" s="83" customFormat="1" ht="15.6" customHeight="1" x14ac:dyDescent="0.25">
      <c r="A63" s="32">
        <v>6</v>
      </c>
      <c r="B63" s="33" t="s">
        <v>240</v>
      </c>
      <c r="C63" s="75" t="s">
        <v>241</v>
      </c>
      <c r="D63" s="34" t="s">
        <v>242</v>
      </c>
      <c r="E63" s="34" t="s">
        <v>104</v>
      </c>
      <c r="F63" s="34" t="s">
        <v>232</v>
      </c>
      <c r="G63" s="90">
        <v>21880527.359999999</v>
      </c>
      <c r="H63" s="90">
        <v>0</v>
      </c>
      <c r="I63" s="90">
        <v>579040.25</v>
      </c>
      <c r="J63" s="90">
        <v>0</v>
      </c>
      <c r="K63" s="90">
        <v>101876.25</v>
      </c>
      <c r="L63" s="90">
        <v>22561443.859999999</v>
      </c>
      <c r="M63" s="90">
        <v>0</v>
      </c>
      <c r="N63" s="90">
        <v>4290583.2699999996</v>
      </c>
      <c r="O63" s="90">
        <v>1320663.08</v>
      </c>
      <c r="P63" s="90">
        <v>7104731.4500000002</v>
      </c>
      <c r="Q63" s="90">
        <v>0</v>
      </c>
      <c r="R63" s="90">
        <v>1413326.35</v>
      </c>
      <c r="S63" s="90">
        <v>3865136.71</v>
      </c>
      <c r="T63" s="90">
        <v>1881800.15</v>
      </c>
      <c r="U63" s="90">
        <v>0</v>
      </c>
      <c r="V63" s="90">
        <v>90936.82</v>
      </c>
      <c r="W63" s="90">
        <v>579040.25</v>
      </c>
      <c r="X63" s="90">
        <v>2154452.69</v>
      </c>
      <c r="Y63" s="90">
        <v>22700670.77</v>
      </c>
      <c r="Z63" s="93">
        <v>2.0935044775813302E-2</v>
      </c>
      <c r="AA63" s="90">
        <v>2144289.06</v>
      </c>
      <c r="AB63" s="90">
        <v>0</v>
      </c>
      <c r="AC63" s="90">
        <v>0</v>
      </c>
      <c r="AD63" s="90">
        <v>10163.629999999999</v>
      </c>
      <c r="AE63" s="90">
        <v>269.11</v>
      </c>
      <c r="AF63" s="90">
        <f t="shared" si="16"/>
        <v>10432.74</v>
      </c>
      <c r="AG63" s="90">
        <v>955683.75</v>
      </c>
      <c r="AH63" s="90">
        <v>71998.12</v>
      </c>
      <c r="AI63" s="90">
        <v>176197.52</v>
      </c>
      <c r="AJ63" s="90">
        <v>0</v>
      </c>
      <c r="AK63" s="90">
        <v>146409.97</v>
      </c>
      <c r="AL63" s="90">
        <v>33500</v>
      </c>
      <c r="AM63" s="90">
        <v>107691.39</v>
      </c>
      <c r="AN63" s="90">
        <v>9000</v>
      </c>
      <c r="AO63" s="90">
        <v>0</v>
      </c>
      <c r="AP63" s="90">
        <v>67732.17</v>
      </c>
      <c r="AQ63" s="90">
        <v>82884.58</v>
      </c>
      <c r="AR63" s="90">
        <v>10652.32</v>
      </c>
      <c r="AS63" s="90">
        <v>1480</v>
      </c>
      <c r="AT63" s="90">
        <v>14758.01</v>
      </c>
      <c r="AU63" s="90">
        <v>40017.35</v>
      </c>
      <c r="AV63" s="90">
        <v>122474.39</v>
      </c>
      <c r="AW63" s="90">
        <v>1840479.57</v>
      </c>
      <c r="AX63" s="90">
        <v>0</v>
      </c>
      <c r="AY63" s="93">
        <f t="shared" si="17"/>
        <v>0</v>
      </c>
      <c r="AZ63" s="90">
        <v>0</v>
      </c>
      <c r="BA63" s="93">
        <v>9.7999880200328043E-2</v>
      </c>
      <c r="BB63" s="91">
        <v>0</v>
      </c>
      <c r="BC63" s="91">
        <v>458069.82</v>
      </c>
      <c r="BD63" s="91">
        <v>219587</v>
      </c>
      <c r="BE63" s="91">
        <v>2.91038304567337E-11</v>
      </c>
      <c r="BF63" s="91">
        <v>407623.03</v>
      </c>
      <c r="BG63" s="91">
        <v>0</v>
      </c>
      <c r="BH63" s="91">
        <v>0</v>
      </c>
      <c r="BI63" s="91">
        <v>0</v>
      </c>
      <c r="BJ63" s="91">
        <f t="shared" si="18"/>
        <v>0</v>
      </c>
      <c r="BK63" s="91">
        <v>0</v>
      </c>
      <c r="BL63" s="91">
        <v>2403</v>
      </c>
      <c r="BM63" s="91">
        <v>749</v>
      </c>
      <c r="BN63" s="91">
        <v>32</v>
      </c>
      <c r="BO63" s="91">
        <v>0</v>
      </c>
      <c r="BP63" s="91">
        <v>-16</v>
      </c>
      <c r="BQ63" s="91">
        <v>-26</v>
      </c>
      <c r="BR63" s="91">
        <v>-160</v>
      </c>
      <c r="BS63" s="91">
        <v>-262</v>
      </c>
      <c r="BT63" s="91">
        <v>0</v>
      </c>
      <c r="BU63" s="91">
        <v>-1</v>
      </c>
      <c r="BV63" s="91">
        <v>-1</v>
      </c>
      <c r="BW63" s="91">
        <v>-453</v>
      </c>
      <c r="BX63" s="91">
        <v>-4</v>
      </c>
      <c r="BY63" s="91">
        <v>2261</v>
      </c>
      <c r="BZ63" s="91">
        <v>0</v>
      </c>
      <c r="CA63" s="91">
        <v>122</v>
      </c>
      <c r="CB63" s="91">
        <v>51</v>
      </c>
      <c r="CC63" s="91">
        <v>268</v>
      </c>
      <c r="CD63" s="91">
        <v>16</v>
      </c>
      <c r="CE63" s="91">
        <v>0</v>
      </c>
    </row>
    <row r="64" spans="1:83" s="58" customFormat="1" ht="15.6" customHeight="1" x14ac:dyDescent="0.25">
      <c r="A64" s="50">
        <v>7</v>
      </c>
      <c r="B64" s="50" t="s">
        <v>243</v>
      </c>
      <c r="C64" s="77" t="s">
        <v>244</v>
      </c>
      <c r="D64" s="50" t="s">
        <v>245</v>
      </c>
      <c r="E64" s="50" t="s">
        <v>122</v>
      </c>
      <c r="F64" s="50" t="s">
        <v>232</v>
      </c>
      <c r="G64" s="88">
        <v>32199341.899999999</v>
      </c>
      <c r="H64" s="88">
        <v>153055.76</v>
      </c>
      <c r="I64" s="88">
        <v>790313.52999999991</v>
      </c>
      <c r="J64" s="88">
        <v>0</v>
      </c>
      <c r="K64" s="89">
        <v>0</v>
      </c>
      <c r="L64" s="89">
        <v>33142711.190000001</v>
      </c>
      <c r="M64" s="89">
        <v>0</v>
      </c>
      <c r="N64" s="88">
        <v>12279110.4</v>
      </c>
      <c r="O64" s="88">
        <v>2213844.9</v>
      </c>
      <c r="P64" s="90">
        <v>8238773.6500000004</v>
      </c>
      <c r="Q64" s="88">
        <v>0</v>
      </c>
      <c r="R64" s="88">
        <v>862471.04</v>
      </c>
      <c r="S64" s="88">
        <v>3795704.23</v>
      </c>
      <c r="T64" s="88">
        <v>2566566.91</v>
      </c>
      <c r="U64" s="88">
        <v>0</v>
      </c>
      <c r="V64" s="88">
        <v>0</v>
      </c>
      <c r="W64" s="88">
        <v>943332.59</v>
      </c>
      <c r="X64" s="89">
        <v>2330570.9300000002</v>
      </c>
      <c r="Y64" s="89">
        <v>33230374.649999999</v>
      </c>
      <c r="Z64" s="81">
        <v>8.0634477154234829E-2</v>
      </c>
      <c r="AA64" s="89">
        <v>2330559.23</v>
      </c>
      <c r="AB64" s="89">
        <v>0</v>
      </c>
      <c r="AC64" s="89">
        <v>0</v>
      </c>
      <c r="AD64" s="89">
        <v>0</v>
      </c>
      <c r="AE64" s="89">
        <v>0</v>
      </c>
      <c r="AF64" s="89">
        <f t="shared" si="16"/>
        <v>0</v>
      </c>
      <c r="AG64" s="89">
        <v>1206735.25</v>
      </c>
      <c r="AH64" s="88">
        <v>91761.99</v>
      </c>
      <c r="AI64" s="88">
        <v>316000.84000000003</v>
      </c>
      <c r="AJ64" s="89">
        <v>33430.6</v>
      </c>
      <c r="AK64" s="88">
        <v>151149.79999999999</v>
      </c>
      <c r="AL64" s="88">
        <v>0</v>
      </c>
      <c r="AM64" s="88">
        <v>110300.74</v>
      </c>
      <c r="AN64" s="88">
        <v>11000</v>
      </c>
      <c r="AO64" s="88">
        <v>23563.89</v>
      </c>
      <c r="AP64" s="88">
        <v>26400</v>
      </c>
      <c r="AQ64" s="88">
        <v>76848.23</v>
      </c>
      <c r="AR64" s="88">
        <v>23253.78</v>
      </c>
      <c r="AS64" s="88">
        <v>0</v>
      </c>
      <c r="AT64" s="88">
        <v>51082.61</v>
      </c>
      <c r="AU64" s="88">
        <v>22800</v>
      </c>
      <c r="AV64" s="88">
        <v>110754.24000000001</v>
      </c>
      <c r="AW64" s="88">
        <v>2255081.9700000002</v>
      </c>
      <c r="AX64" s="88">
        <v>99109.5</v>
      </c>
      <c r="AY64" s="81">
        <f t="shared" si="17"/>
        <v>4.3949400207390243E-2</v>
      </c>
      <c r="AZ64" s="89">
        <v>0</v>
      </c>
      <c r="BA64" s="81">
        <v>7.237909511436319E-2</v>
      </c>
      <c r="BB64" s="79">
        <v>337861.73</v>
      </c>
      <c r="BC64" s="79">
        <v>2270856.94</v>
      </c>
      <c r="BD64" s="80">
        <v>219587</v>
      </c>
      <c r="BE64" s="80">
        <v>0</v>
      </c>
      <c r="BF64" s="80">
        <v>435048.4</v>
      </c>
      <c r="BG64" s="80">
        <v>0</v>
      </c>
      <c r="BH64" s="80">
        <v>0</v>
      </c>
      <c r="BI64" s="80">
        <v>0</v>
      </c>
      <c r="BJ64" s="80">
        <f t="shared" si="18"/>
        <v>0</v>
      </c>
      <c r="BK64" s="80">
        <v>0</v>
      </c>
      <c r="BL64" s="80">
        <v>2915</v>
      </c>
      <c r="BM64" s="80">
        <v>841</v>
      </c>
      <c r="BN64" s="79">
        <v>25</v>
      </c>
      <c r="BO64" s="79">
        <v>-27</v>
      </c>
      <c r="BP64" s="79">
        <v>-18</v>
      </c>
      <c r="BQ64" s="79">
        <v>-19</v>
      </c>
      <c r="BR64" s="79">
        <v>-176</v>
      </c>
      <c r="BS64" s="79">
        <v>-274</v>
      </c>
      <c r="BT64" s="79">
        <v>3</v>
      </c>
      <c r="BU64" s="79">
        <v>-1</v>
      </c>
      <c r="BV64" s="79">
        <v>-15</v>
      </c>
      <c r="BW64" s="79">
        <v>-529</v>
      </c>
      <c r="BX64" s="79">
        <v>-5</v>
      </c>
      <c r="BY64" s="79">
        <v>2720</v>
      </c>
      <c r="BZ64" s="79">
        <v>30</v>
      </c>
      <c r="CA64" s="79">
        <v>173</v>
      </c>
      <c r="CB64" s="79">
        <v>76</v>
      </c>
      <c r="CC64" s="79">
        <v>274</v>
      </c>
      <c r="CD64" s="79">
        <v>0</v>
      </c>
      <c r="CE64" s="79">
        <v>6</v>
      </c>
    </row>
    <row r="65" spans="1:83" s="58" customFormat="1" ht="15.6" customHeight="1" x14ac:dyDescent="0.25">
      <c r="A65" s="50">
        <v>7</v>
      </c>
      <c r="B65" s="50" t="s">
        <v>246</v>
      </c>
      <c r="C65" s="74" t="s">
        <v>247</v>
      </c>
      <c r="D65" s="50" t="s">
        <v>248</v>
      </c>
      <c r="E65" s="50" t="s">
        <v>116</v>
      </c>
      <c r="F65" s="50" t="s">
        <v>232</v>
      </c>
      <c r="G65" s="88">
        <v>30019463.16</v>
      </c>
      <c r="H65" s="88">
        <v>864274.73</v>
      </c>
      <c r="I65" s="88">
        <v>0</v>
      </c>
      <c r="J65" s="88">
        <v>0</v>
      </c>
      <c r="K65" s="89">
        <v>0</v>
      </c>
      <c r="L65" s="89">
        <v>30883737.890000001</v>
      </c>
      <c r="M65" s="89">
        <v>0</v>
      </c>
      <c r="N65" s="88">
        <v>1871104.51</v>
      </c>
      <c r="O65" s="88">
        <v>2725770.58</v>
      </c>
      <c r="P65" s="90">
        <v>12002294</v>
      </c>
      <c r="Q65" s="88">
        <v>0</v>
      </c>
      <c r="R65" s="88">
        <v>1560853.8</v>
      </c>
      <c r="S65" s="88">
        <v>5750305.2000000002</v>
      </c>
      <c r="T65" s="88">
        <v>4073106.49</v>
      </c>
      <c r="U65" s="88">
        <v>0</v>
      </c>
      <c r="V65" s="88">
        <v>0</v>
      </c>
      <c r="W65" s="88">
        <v>928557.11</v>
      </c>
      <c r="X65" s="89">
        <v>2247077.4500000002</v>
      </c>
      <c r="Y65" s="89">
        <v>31159069.140000001</v>
      </c>
      <c r="Z65" s="81">
        <v>3.7700752225882844E-2</v>
      </c>
      <c r="AA65" s="89">
        <v>2174062.7000000002</v>
      </c>
      <c r="AB65" s="89">
        <v>0</v>
      </c>
      <c r="AC65" s="89">
        <v>0</v>
      </c>
      <c r="AD65" s="89">
        <v>0</v>
      </c>
      <c r="AE65" s="89">
        <v>0</v>
      </c>
      <c r="AF65" s="89">
        <f t="shared" si="16"/>
        <v>0</v>
      </c>
      <c r="AG65" s="89">
        <v>1008615.17</v>
      </c>
      <c r="AH65" s="88">
        <v>75045.53</v>
      </c>
      <c r="AI65" s="88">
        <v>243771.73</v>
      </c>
      <c r="AJ65" s="89">
        <v>0</v>
      </c>
      <c r="AK65" s="88">
        <v>128948.11</v>
      </c>
      <c r="AL65" s="88">
        <v>22726.91</v>
      </c>
      <c r="AM65" s="88">
        <v>89562.4</v>
      </c>
      <c r="AN65" s="88">
        <v>11000</v>
      </c>
      <c r="AO65" s="88">
        <v>5881.08</v>
      </c>
      <c r="AP65" s="88">
        <v>47000</v>
      </c>
      <c r="AQ65" s="88">
        <v>52212.05</v>
      </c>
      <c r="AR65" s="88">
        <v>28809.46</v>
      </c>
      <c r="AS65" s="88">
        <v>26806.82</v>
      </c>
      <c r="AT65" s="88">
        <v>13041.78</v>
      </c>
      <c r="AU65" s="88">
        <v>52786.66</v>
      </c>
      <c r="AV65" s="88">
        <v>109855.58</v>
      </c>
      <c r="AW65" s="88">
        <v>1916063.28</v>
      </c>
      <c r="AX65" s="88">
        <v>0</v>
      </c>
      <c r="AY65" s="81">
        <f t="shared" si="17"/>
        <v>0</v>
      </c>
      <c r="AZ65" s="89">
        <v>0</v>
      </c>
      <c r="BA65" s="81">
        <v>7.2421771449160052E-2</v>
      </c>
      <c r="BB65" s="79">
        <v>436389.5</v>
      </c>
      <c r="BC65" s="79">
        <v>727950.65</v>
      </c>
      <c r="BD65" s="80">
        <v>219587</v>
      </c>
      <c r="BE65" s="80">
        <v>0</v>
      </c>
      <c r="BF65" s="80">
        <v>394908.609999999</v>
      </c>
      <c r="BG65" s="80">
        <v>0</v>
      </c>
      <c r="BH65" s="80">
        <v>0</v>
      </c>
      <c r="BI65" s="80">
        <v>0</v>
      </c>
      <c r="BJ65" s="80">
        <f t="shared" si="18"/>
        <v>0</v>
      </c>
      <c r="BK65" s="80">
        <v>0</v>
      </c>
      <c r="BL65" s="80">
        <v>4766</v>
      </c>
      <c r="BM65" s="80">
        <v>1545</v>
      </c>
      <c r="BN65" s="79">
        <v>12</v>
      </c>
      <c r="BO65" s="79">
        <v>-1</v>
      </c>
      <c r="BP65" s="79">
        <v>-10</v>
      </c>
      <c r="BQ65" s="79">
        <v>-57</v>
      </c>
      <c r="BR65" s="79">
        <v>-247</v>
      </c>
      <c r="BS65" s="79">
        <v>-692</v>
      </c>
      <c r="BT65" s="79">
        <v>0</v>
      </c>
      <c r="BU65" s="79">
        <v>0</v>
      </c>
      <c r="BV65" s="79">
        <v>9</v>
      </c>
      <c r="BW65" s="79">
        <v>-688</v>
      </c>
      <c r="BX65" s="79">
        <v>-5</v>
      </c>
      <c r="BY65" s="79">
        <v>4632</v>
      </c>
      <c r="BZ65" s="79">
        <v>15</v>
      </c>
      <c r="CA65" s="79">
        <v>151</v>
      </c>
      <c r="CB65" s="79">
        <v>86</v>
      </c>
      <c r="CC65" s="79">
        <v>442</v>
      </c>
      <c r="CD65" s="79">
        <v>5</v>
      </c>
      <c r="CE65" s="79">
        <v>4</v>
      </c>
    </row>
    <row r="66" spans="1:83" s="58" customFormat="1" ht="15.6" customHeight="1" x14ac:dyDescent="0.25">
      <c r="A66" s="50">
        <v>7</v>
      </c>
      <c r="B66" s="50" t="s">
        <v>249</v>
      </c>
      <c r="C66" s="77" t="s">
        <v>148</v>
      </c>
      <c r="D66" s="50" t="s">
        <v>250</v>
      </c>
      <c r="E66" s="50" t="s">
        <v>122</v>
      </c>
      <c r="F66" s="50" t="s">
        <v>232</v>
      </c>
      <c r="G66" s="88">
        <v>83103030.459999993</v>
      </c>
      <c r="H66" s="88">
        <v>101879.01</v>
      </c>
      <c r="I66" s="88">
        <v>3089668.0300000003</v>
      </c>
      <c r="J66" s="88">
        <v>0</v>
      </c>
      <c r="K66" s="89">
        <v>0</v>
      </c>
      <c r="L66" s="89">
        <v>86294577.5</v>
      </c>
      <c r="M66" s="89">
        <v>0</v>
      </c>
      <c r="N66" s="88">
        <v>37814846.07</v>
      </c>
      <c r="O66" s="88">
        <v>7442671.6900000004</v>
      </c>
      <c r="P66" s="90">
        <v>18567694.260000002</v>
      </c>
      <c r="Q66" s="88">
        <v>0</v>
      </c>
      <c r="R66" s="88">
        <v>3229506.85</v>
      </c>
      <c r="S66" s="88">
        <v>7997311.7400000002</v>
      </c>
      <c r="T66" s="88">
        <v>5560859.5199999996</v>
      </c>
      <c r="U66" s="88">
        <v>0</v>
      </c>
      <c r="V66" s="88">
        <v>0</v>
      </c>
      <c r="W66" s="88">
        <v>3025021.2</v>
      </c>
      <c r="X66" s="89">
        <v>4540702.21</v>
      </c>
      <c r="Y66" s="89">
        <v>88178613.540000007</v>
      </c>
      <c r="Z66" s="81">
        <v>7.4814234516347111E-2</v>
      </c>
      <c r="AA66" s="89">
        <v>4540702.21</v>
      </c>
      <c r="AB66" s="89">
        <v>0</v>
      </c>
      <c r="AC66" s="89">
        <v>0</v>
      </c>
      <c r="AD66" s="89">
        <v>0</v>
      </c>
      <c r="AE66" s="89">
        <v>0</v>
      </c>
      <c r="AF66" s="89">
        <f t="shared" si="16"/>
        <v>0</v>
      </c>
      <c r="AG66" s="89">
        <v>2554946.9500000002</v>
      </c>
      <c r="AH66" s="88">
        <v>199112.37</v>
      </c>
      <c r="AI66" s="88">
        <v>695237.14</v>
      </c>
      <c r="AJ66" s="89">
        <v>0</v>
      </c>
      <c r="AK66" s="88">
        <v>286294.71000000002</v>
      </c>
      <c r="AL66" s="88">
        <v>5856.9</v>
      </c>
      <c r="AM66" s="88">
        <v>111749.59</v>
      </c>
      <c r="AN66" s="88">
        <v>18000</v>
      </c>
      <c r="AO66" s="88">
        <v>17555</v>
      </c>
      <c r="AP66" s="88">
        <v>86911.15</v>
      </c>
      <c r="AQ66" s="88">
        <v>95853.51</v>
      </c>
      <c r="AR66" s="88">
        <v>43625.63</v>
      </c>
      <c r="AS66" s="88">
        <v>360</v>
      </c>
      <c r="AT66" s="88">
        <v>39204.160000000003</v>
      </c>
      <c r="AU66" s="88">
        <v>13666.74</v>
      </c>
      <c r="AV66" s="88">
        <v>101688.08</v>
      </c>
      <c r="AW66" s="88">
        <v>4270061.93</v>
      </c>
      <c r="AX66" s="88">
        <v>161968.91</v>
      </c>
      <c r="AY66" s="81">
        <f t="shared" si="17"/>
        <v>3.7931278903020504E-2</v>
      </c>
      <c r="AZ66" s="89">
        <v>3915.62</v>
      </c>
      <c r="BA66" s="81">
        <v>5.4639429932529085E-2</v>
      </c>
      <c r="BB66" s="79">
        <v>1492749.31</v>
      </c>
      <c r="BC66" s="79">
        <v>4732162.3</v>
      </c>
      <c r="BD66" s="80">
        <v>219587</v>
      </c>
      <c r="BE66" s="80">
        <v>0</v>
      </c>
      <c r="BF66" s="80">
        <v>562865.86999999895</v>
      </c>
      <c r="BG66" s="80">
        <v>0</v>
      </c>
      <c r="BH66" s="80">
        <v>0</v>
      </c>
      <c r="BI66" s="80">
        <v>0</v>
      </c>
      <c r="BJ66" s="80">
        <f t="shared" si="18"/>
        <v>0</v>
      </c>
      <c r="BK66" s="80">
        <v>0</v>
      </c>
      <c r="BL66" s="80">
        <v>6991</v>
      </c>
      <c r="BM66" s="80">
        <v>1999</v>
      </c>
      <c r="BN66" s="79">
        <v>7</v>
      </c>
      <c r="BO66" s="79">
        <v>-4</v>
      </c>
      <c r="BP66" s="79">
        <v>-46</v>
      </c>
      <c r="BQ66" s="79">
        <v>-50</v>
      </c>
      <c r="BR66" s="79">
        <v>-703</v>
      </c>
      <c r="BS66" s="79">
        <v>-752</v>
      </c>
      <c r="BT66" s="79">
        <v>149</v>
      </c>
      <c r="BU66" s="79">
        <v>-83</v>
      </c>
      <c r="BV66" s="79">
        <v>-37</v>
      </c>
      <c r="BW66" s="79">
        <v>-1112</v>
      </c>
      <c r="BX66" s="79">
        <v>-5</v>
      </c>
      <c r="BY66" s="79">
        <v>6354</v>
      </c>
      <c r="BZ66" s="79">
        <v>3</v>
      </c>
      <c r="CA66" s="79">
        <v>199</v>
      </c>
      <c r="CB66" s="79">
        <v>104</v>
      </c>
      <c r="CC66" s="79">
        <v>787</v>
      </c>
      <c r="CD66" s="79">
        <v>7</v>
      </c>
      <c r="CE66" s="79">
        <v>15</v>
      </c>
    </row>
    <row r="67" spans="1:83" s="58" customFormat="1" ht="15.6" customHeight="1" x14ac:dyDescent="0.25">
      <c r="A67" s="50">
        <v>7</v>
      </c>
      <c r="B67" s="50" t="s">
        <v>251</v>
      </c>
      <c r="C67" s="77" t="s">
        <v>252</v>
      </c>
      <c r="D67" s="50" t="s">
        <v>253</v>
      </c>
      <c r="E67" s="50" t="s">
        <v>116</v>
      </c>
      <c r="F67" s="50" t="s">
        <v>232</v>
      </c>
      <c r="G67" s="88">
        <v>8730059.2599999998</v>
      </c>
      <c r="H67" s="88">
        <v>0</v>
      </c>
      <c r="I67" s="88">
        <v>288296.34000000003</v>
      </c>
      <c r="J67" s="88">
        <v>0</v>
      </c>
      <c r="K67" s="89">
        <v>6879.76</v>
      </c>
      <c r="L67" s="89">
        <v>9025235.3599999994</v>
      </c>
      <c r="M67" s="89">
        <v>0</v>
      </c>
      <c r="N67" s="88">
        <v>2167724.2000000002</v>
      </c>
      <c r="O67" s="88">
        <v>1091874.02</v>
      </c>
      <c r="P67" s="90">
        <v>2287635.69</v>
      </c>
      <c r="Q67" s="88">
        <v>0</v>
      </c>
      <c r="R67" s="88">
        <v>334614.88</v>
      </c>
      <c r="S67" s="88">
        <v>1556418.24</v>
      </c>
      <c r="T67" s="88">
        <v>474901.71</v>
      </c>
      <c r="U67" s="88">
        <v>0</v>
      </c>
      <c r="V67" s="88">
        <v>0</v>
      </c>
      <c r="W67" s="88">
        <v>347602.85</v>
      </c>
      <c r="X67" s="89">
        <v>749203.46</v>
      </c>
      <c r="Y67" s="89">
        <v>9009975.0500000007</v>
      </c>
      <c r="Z67" s="81">
        <v>1.5935685641611557E-2</v>
      </c>
      <c r="AA67" s="89">
        <v>742323.7</v>
      </c>
      <c r="AB67" s="89">
        <v>0</v>
      </c>
      <c r="AC67" s="89">
        <v>0</v>
      </c>
      <c r="AD67" s="89">
        <v>6879.76</v>
      </c>
      <c r="AE67" s="89">
        <v>951.43</v>
      </c>
      <c r="AF67" s="89">
        <f t="shared" si="16"/>
        <v>7831.1900000000005</v>
      </c>
      <c r="AG67" s="89">
        <v>224563.76</v>
      </c>
      <c r="AH67" s="88">
        <v>17429.41</v>
      </c>
      <c r="AI67" s="88">
        <v>59185.7</v>
      </c>
      <c r="AJ67" s="89">
        <v>0</v>
      </c>
      <c r="AK67" s="88">
        <v>60691.18</v>
      </c>
      <c r="AL67" s="88">
        <v>39485.1</v>
      </c>
      <c r="AM67" s="88">
        <v>22176.09</v>
      </c>
      <c r="AN67" s="88">
        <v>4000</v>
      </c>
      <c r="AO67" s="88">
        <v>3450</v>
      </c>
      <c r="AP67" s="88">
        <v>0</v>
      </c>
      <c r="AQ67" s="88">
        <v>8067.369999999999</v>
      </c>
      <c r="AR67" s="88">
        <v>9810.82</v>
      </c>
      <c r="AS67" s="88">
        <v>0</v>
      </c>
      <c r="AT67" s="88">
        <v>0</v>
      </c>
      <c r="AU67" s="88">
        <v>15401.3</v>
      </c>
      <c r="AV67" s="88">
        <v>48914.28</v>
      </c>
      <c r="AW67" s="88">
        <v>513175.01</v>
      </c>
      <c r="AX67" s="88">
        <v>0</v>
      </c>
      <c r="AY67" s="81">
        <f t="shared" si="17"/>
        <v>0</v>
      </c>
      <c r="AZ67" s="89">
        <v>0</v>
      </c>
      <c r="BA67" s="81">
        <v>8.5030774464639775E-2</v>
      </c>
      <c r="BB67" s="79">
        <v>49662.79</v>
      </c>
      <c r="BC67" s="79">
        <v>89456.69</v>
      </c>
      <c r="BD67" s="80">
        <v>219587</v>
      </c>
      <c r="BE67" s="80">
        <v>0</v>
      </c>
      <c r="BF67" s="80">
        <v>112133.74</v>
      </c>
      <c r="BG67" s="80">
        <v>0</v>
      </c>
      <c r="BH67" s="80">
        <v>0</v>
      </c>
      <c r="BI67" s="80">
        <v>0</v>
      </c>
      <c r="BJ67" s="80">
        <f t="shared" si="18"/>
        <v>0</v>
      </c>
      <c r="BK67" s="80">
        <v>0</v>
      </c>
      <c r="BL67" s="80">
        <v>736</v>
      </c>
      <c r="BM67" s="80">
        <v>319</v>
      </c>
      <c r="BN67" s="79">
        <v>0</v>
      </c>
      <c r="BO67" s="79">
        <v>0</v>
      </c>
      <c r="BP67" s="79">
        <v>-16</v>
      </c>
      <c r="BQ67" s="79">
        <v>-48</v>
      </c>
      <c r="BR67" s="79">
        <v>-109</v>
      </c>
      <c r="BS67" s="79">
        <v>-95</v>
      </c>
      <c r="BT67" s="79">
        <v>0</v>
      </c>
      <c r="BU67" s="79">
        <v>0</v>
      </c>
      <c r="BV67" s="79">
        <v>0</v>
      </c>
      <c r="BW67" s="79">
        <v>-113</v>
      </c>
      <c r="BX67" s="79">
        <v>-1</v>
      </c>
      <c r="BY67" s="79">
        <v>673</v>
      </c>
      <c r="BZ67" s="79">
        <v>2</v>
      </c>
      <c r="CA67" s="79">
        <v>64</v>
      </c>
      <c r="CB67" s="79">
        <v>13</v>
      </c>
      <c r="CC67" s="79">
        <v>29</v>
      </c>
      <c r="CD67" s="79">
        <v>6</v>
      </c>
      <c r="CE67" s="79">
        <v>1</v>
      </c>
    </row>
    <row r="68" spans="1:83" s="58" customFormat="1" ht="15.6" customHeight="1" x14ac:dyDescent="0.25">
      <c r="A68" s="50">
        <v>7</v>
      </c>
      <c r="B68" s="50" t="s">
        <v>254</v>
      </c>
      <c r="C68" s="77" t="s">
        <v>255</v>
      </c>
      <c r="D68" s="50" t="s">
        <v>253</v>
      </c>
      <c r="E68" s="50" t="s">
        <v>116</v>
      </c>
      <c r="F68" s="50" t="s">
        <v>232</v>
      </c>
      <c r="G68" s="88">
        <v>17575672.510000002</v>
      </c>
      <c r="H68" s="88">
        <v>0</v>
      </c>
      <c r="I68" s="88">
        <v>342300.91</v>
      </c>
      <c r="J68" s="88">
        <v>6913.46</v>
      </c>
      <c r="K68" s="89">
        <v>0</v>
      </c>
      <c r="L68" s="89">
        <v>17924886.879999999</v>
      </c>
      <c r="M68" s="89">
        <v>123249.48</v>
      </c>
      <c r="N68" s="88">
        <v>6721513.2999999998</v>
      </c>
      <c r="O68" s="88">
        <v>1842377.6</v>
      </c>
      <c r="P68" s="90">
        <v>3626071.88</v>
      </c>
      <c r="Q68" s="88">
        <v>33998.769999999997</v>
      </c>
      <c r="R68" s="88">
        <v>584990.25</v>
      </c>
      <c r="S68" s="88">
        <v>2751673.42</v>
      </c>
      <c r="T68" s="88">
        <v>684078.9</v>
      </c>
      <c r="U68" s="88">
        <v>0</v>
      </c>
      <c r="V68" s="88">
        <v>0</v>
      </c>
      <c r="W68" s="88">
        <v>484270.95</v>
      </c>
      <c r="X68" s="89">
        <v>998458.52</v>
      </c>
      <c r="Y68" s="89">
        <v>17727433.59</v>
      </c>
      <c r="Z68" s="81">
        <v>2.5445310826402223E-2</v>
      </c>
      <c r="AA68" s="89">
        <v>998458.52</v>
      </c>
      <c r="AB68" s="89">
        <v>0</v>
      </c>
      <c r="AC68" s="89">
        <v>0</v>
      </c>
      <c r="AD68" s="89">
        <v>0</v>
      </c>
      <c r="AE68" s="89">
        <v>0</v>
      </c>
      <c r="AF68" s="89">
        <f t="shared" si="16"/>
        <v>0</v>
      </c>
      <c r="AG68" s="89">
        <v>455149.16</v>
      </c>
      <c r="AH68" s="88">
        <v>34074.269999999997</v>
      </c>
      <c r="AI68" s="88">
        <v>55738.95</v>
      </c>
      <c r="AJ68" s="89">
        <v>26157.75</v>
      </c>
      <c r="AK68" s="88">
        <v>40440.11</v>
      </c>
      <c r="AL68" s="88">
        <v>24351.54</v>
      </c>
      <c r="AM68" s="88">
        <v>27235.42</v>
      </c>
      <c r="AN68" s="88">
        <v>5250</v>
      </c>
      <c r="AO68" s="88">
        <v>800</v>
      </c>
      <c r="AP68" s="88">
        <v>0</v>
      </c>
      <c r="AQ68" s="88">
        <v>16901.12</v>
      </c>
      <c r="AR68" s="88">
        <v>11656.42</v>
      </c>
      <c r="AS68" s="88">
        <v>0</v>
      </c>
      <c r="AT68" s="88">
        <v>3480.26</v>
      </c>
      <c r="AU68" s="88">
        <v>26359.34</v>
      </c>
      <c r="AV68" s="88">
        <v>55338.32</v>
      </c>
      <c r="AW68" s="88">
        <v>782932.66</v>
      </c>
      <c r="AX68" s="88">
        <v>0</v>
      </c>
      <c r="AY68" s="81">
        <f t="shared" si="17"/>
        <v>0</v>
      </c>
      <c r="AZ68" s="89">
        <v>0</v>
      </c>
      <c r="BA68" s="81">
        <v>5.6413521714154979E-2</v>
      </c>
      <c r="BB68" s="79">
        <v>106087.1</v>
      </c>
      <c r="BC68" s="79">
        <v>341131.35</v>
      </c>
      <c r="BD68" s="80">
        <v>219587</v>
      </c>
      <c r="BE68" s="80">
        <v>0</v>
      </c>
      <c r="BF68" s="80">
        <v>175407.67</v>
      </c>
      <c r="BG68" s="80">
        <v>0</v>
      </c>
      <c r="BH68" s="80">
        <v>0</v>
      </c>
      <c r="BI68" s="80">
        <v>0</v>
      </c>
      <c r="BJ68" s="80">
        <f t="shared" si="18"/>
        <v>0</v>
      </c>
      <c r="BK68" s="80">
        <v>0</v>
      </c>
      <c r="BL68" s="80">
        <v>944</v>
      </c>
      <c r="BM68" s="80">
        <v>440</v>
      </c>
      <c r="BN68" s="79">
        <v>0</v>
      </c>
      <c r="BO68" s="79">
        <v>0</v>
      </c>
      <c r="BP68" s="79">
        <v>-15</v>
      </c>
      <c r="BQ68" s="79">
        <v>-43</v>
      </c>
      <c r="BR68" s="79">
        <v>-171</v>
      </c>
      <c r="BS68" s="79">
        <v>-108</v>
      </c>
      <c r="BT68" s="79">
        <v>0</v>
      </c>
      <c r="BU68" s="79">
        <v>-1</v>
      </c>
      <c r="BV68" s="79">
        <v>13</v>
      </c>
      <c r="BW68" s="79">
        <v>-222</v>
      </c>
      <c r="BX68" s="79">
        <v>0</v>
      </c>
      <c r="BY68" s="79">
        <v>837</v>
      </c>
      <c r="BZ68" s="79">
        <v>0</v>
      </c>
      <c r="CA68" s="79">
        <v>102</v>
      </c>
      <c r="CB68" s="79">
        <v>33</v>
      </c>
      <c r="CC68" s="79">
        <v>77</v>
      </c>
      <c r="CD68" s="79">
        <v>2</v>
      </c>
      <c r="CE68" s="79">
        <v>7</v>
      </c>
    </row>
    <row r="69" spans="1:83" s="58" customFormat="1" ht="15.6" customHeight="1" x14ac:dyDescent="0.25">
      <c r="A69" s="50">
        <v>7</v>
      </c>
      <c r="B69" s="50" t="s">
        <v>256</v>
      </c>
      <c r="C69" s="77" t="s">
        <v>257</v>
      </c>
      <c r="D69" s="50" t="s">
        <v>258</v>
      </c>
      <c r="E69" s="50" t="s">
        <v>116</v>
      </c>
      <c r="F69" s="50" t="s">
        <v>232</v>
      </c>
      <c r="G69" s="88">
        <v>1913296.88</v>
      </c>
      <c r="H69" s="88">
        <v>0</v>
      </c>
      <c r="I69" s="88">
        <v>45418.85</v>
      </c>
      <c r="J69" s="88">
        <v>0</v>
      </c>
      <c r="K69" s="89">
        <v>39.909999999999997</v>
      </c>
      <c r="L69" s="89">
        <v>1958755.64</v>
      </c>
      <c r="M69" s="89">
        <v>0</v>
      </c>
      <c r="N69" s="88">
        <v>284216.7</v>
      </c>
      <c r="O69" s="88">
        <v>252187.9</v>
      </c>
      <c r="P69" s="90">
        <v>803236.29</v>
      </c>
      <c r="Q69" s="88">
        <v>0</v>
      </c>
      <c r="R69" s="88">
        <v>126477.51</v>
      </c>
      <c r="S69" s="88">
        <v>157086.84</v>
      </c>
      <c r="T69" s="88">
        <v>92924.09</v>
      </c>
      <c r="U69" s="88">
        <v>0</v>
      </c>
      <c r="V69" s="88">
        <v>0</v>
      </c>
      <c r="W69" s="88">
        <v>61305.73</v>
      </c>
      <c r="X69" s="89">
        <v>191360.27</v>
      </c>
      <c r="Y69" s="89">
        <v>1968795.33</v>
      </c>
      <c r="Z69" s="81">
        <v>2.8247121795337851E-2</v>
      </c>
      <c r="AA69" s="89">
        <v>191327.21</v>
      </c>
      <c r="AB69" s="89">
        <v>0</v>
      </c>
      <c r="AC69" s="89">
        <v>0</v>
      </c>
      <c r="AD69" s="89">
        <v>33.06</v>
      </c>
      <c r="AE69" s="89">
        <v>1.1100000000000001</v>
      </c>
      <c r="AF69" s="89">
        <f t="shared" si="16"/>
        <v>34.17</v>
      </c>
      <c r="AG69" s="89">
        <v>44092.25</v>
      </c>
      <c r="AH69" s="88">
        <v>3544.58</v>
      </c>
      <c r="AI69" s="88">
        <v>0</v>
      </c>
      <c r="AJ69" s="89">
        <v>0</v>
      </c>
      <c r="AK69" s="88">
        <v>19980</v>
      </c>
      <c r="AL69" s="88">
        <v>0</v>
      </c>
      <c r="AM69" s="88">
        <v>7943.67</v>
      </c>
      <c r="AN69" s="88">
        <v>3750</v>
      </c>
      <c r="AO69" s="88">
        <v>0</v>
      </c>
      <c r="AP69" s="88">
        <v>0</v>
      </c>
      <c r="AQ69" s="88">
        <v>7162.5199999999995</v>
      </c>
      <c r="AR69" s="88">
        <v>0</v>
      </c>
      <c r="AS69" s="88">
        <v>0</v>
      </c>
      <c r="AT69" s="88">
        <v>1361.96</v>
      </c>
      <c r="AU69" s="88">
        <v>5100.97</v>
      </c>
      <c r="AV69" s="88">
        <v>11632.87</v>
      </c>
      <c r="AW69" s="88">
        <v>104568.82</v>
      </c>
      <c r="AX69" s="88">
        <v>26698.71</v>
      </c>
      <c r="AY69" s="81">
        <f t="shared" si="17"/>
        <v>0.25532190188241577</v>
      </c>
      <c r="AZ69" s="89">
        <v>0</v>
      </c>
      <c r="BA69" s="81">
        <v>9.999870485337331E-2</v>
      </c>
      <c r="BB69" s="79">
        <v>8967</v>
      </c>
      <c r="BC69" s="79">
        <v>45078.13</v>
      </c>
      <c r="BD69" s="80">
        <v>84900</v>
      </c>
      <c r="BE69" s="80">
        <v>0</v>
      </c>
      <c r="BF69" s="80">
        <v>5098.7199999999702</v>
      </c>
      <c r="BG69" s="80">
        <v>0</v>
      </c>
      <c r="BH69" s="80">
        <v>0</v>
      </c>
      <c r="BI69" s="80">
        <v>0</v>
      </c>
      <c r="BJ69" s="80">
        <f t="shared" si="18"/>
        <v>0</v>
      </c>
      <c r="BK69" s="80">
        <v>0</v>
      </c>
      <c r="BL69" s="80">
        <v>135</v>
      </c>
      <c r="BM69" s="80">
        <v>64</v>
      </c>
      <c r="BN69" s="79">
        <v>0</v>
      </c>
      <c r="BO69" s="79">
        <v>0</v>
      </c>
      <c r="BP69" s="79">
        <v>-2</v>
      </c>
      <c r="BQ69" s="79">
        <v>-6</v>
      </c>
      <c r="BR69" s="79">
        <v>-24</v>
      </c>
      <c r="BS69" s="79">
        <v>-29</v>
      </c>
      <c r="BT69" s="79">
        <v>0</v>
      </c>
      <c r="BU69" s="79">
        <v>0</v>
      </c>
      <c r="BV69" s="79">
        <v>0</v>
      </c>
      <c r="BW69" s="79">
        <v>-15</v>
      </c>
      <c r="BX69" s="79">
        <v>0</v>
      </c>
      <c r="BY69" s="79">
        <v>123</v>
      </c>
      <c r="BZ69" s="79">
        <v>0</v>
      </c>
      <c r="CA69" s="79">
        <v>3</v>
      </c>
      <c r="CB69" s="79">
        <v>2</v>
      </c>
      <c r="CC69" s="79">
        <v>7</v>
      </c>
      <c r="CD69" s="79">
        <v>0</v>
      </c>
      <c r="CE69" s="79">
        <v>3</v>
      </c>
    </row>
    <row r="70" spans="1:83" s="58" customFormat="1" ht="15.6" customHeight="1" x14ac:dyDescent="0.25">
      <c r="A70" s="50">
        <v>7</v>
      </c>
      <c r="B70" s="50" t="s">
        <v>259</v>
      </c>
      <c r="C70" s="77" t="s">
        <v>260</v>
      </c>
      <c r="D70" s="50" t="s">
        <v>250</v>
      </c>
      <c r="E70" s="50" t="s">
        <v>122</v>
      </c>
      <c r="F70" s="50" t="s">
        <v>232</v>
      </c>
      <c r="G70" s="88">
        <v>73708344.819999993</v>
      </c>
      <c r="H70" s="88">
        <v>1040</v>
      </c>
      <c r="I70" s="88">
        <v>3423432.0100000002</v>
      </c>
      <c r="J70" s="88">
        <v>0</v>
      </c>
      <c r="K70" s="89">
        <v>0</v>
      </c>
      <c r="L70" s="89">
        <v>77132816.829999998</v>
      </c>
      <c r="M70" s="89">
        <v>0</v>
      </c>
      <c r="N70" s="88">
        <v>34906945.380000003</v>
      </c>
      <c r="O70" s="88">
        <v>2931809.53</v>
      </c>
      <c r="P70" s="90">
        <v>19237993.239999998</v>
      </c>
      <c r="Q70" s="88">
        <v>0</v>
      </c>
      <c r="R70" s="88">
        <v>2745274.31</v>
      </c>
      <c r="S70" s="88">
        <v>6345052.9800000004</v>
      </c>
      <c r="T70" s="88">
        <v>5481271.1900000004</v>
      </c>
      <c r="U70" s="88">
        <v>0</v>
      </c>
      <c r="V70" s="88">
        <v>0</v>
      </c>
      <c r="W70" s="88">
        <v>3424829.48</v>
      </c>
      <c r="X70" s="89">
        <v>3695275.15</v>
      </c>
      <c r="Y70" s="89">
        <v>78768451.260000005</v>
      </c>
      <c r="Z70" s="81">
        <v>0.16340792721867681</v>
      </c>
      <c r="AA70" s="89">
        <v>3695275.15</v>
      </c>
      <c r="AB70" s="89">
        <v>0</v>
      </c>
      <c r="AC70" s="89">
        <v>0</v>
      </c>
      <c r="AD70" s="89">
        <v>0</v>
      </c>
      <c r="AE70" s="89">
        <v>0</v>
      </c>
      <c r="AF70" s="89">
        <f t="shared" si="16"/>
        <v>0</v>
      </c>
      <c r="AG70" s="89">
        <v>1940729.83</v>
      </c>
      <c r="AH70" s="88">
        <v>159023.21</v>
      </c>
      <c r="AI70" s="88">
        <v>579853.18000000005</v>
      </c>
      <c r="AJ70" s="89">
        <v>21033.51</v>
      </c>
      <c r="AK70" s="88">
        <v>232392.71</v>
      </c>
      <c r="AL70" s="88">
        <v>64866.1</v>
      </c>
      <c r="AM70" s="88">
        <v>110657.63</v>
      </c>
      <c r="AN70" s="88">
        <v>18000</v>
      </c>
      <c r="AO70" s="88">
        <v>4900</v>
      </c>
      <c r="AP70" s="88">
        <v>44625.35</v>
      </c>
      <c r="AQ70" s="88">
        <v>109227.08</v>
      </c>
      <c r="AR70" s="88">
        <v>48193.41</v>
      </c>
      <c r="AS70" s="88">
        <v>15291.32</v>
      </c>
      <c r="AT70" s="88">
        <v>50847.03</v>
      </c>
      <c r="AU70" s="88">
        <v>39478.18</v>
      </c>
      <c r="AV70" s="88">
        <v>106513.54</v>
      </c>
      <c r="AW70" s="88">
        <v>3545632.08</v>
      </c>
      <c r="AX70" s="88">
        <v>0</v>
      </c>
      <c r="AY70" s="81">
        <f t="shared" si="17"/>
        <v>0</v>
      </c>
      <c r="AZ70" s="89">
        <v>0</v>
      </c>
      <c r="BA70" s="81">
        <v>5.0133742102391174E-2</v>
      </c>
      <c r="BB70" s="79">
        <v>1374469.56</v>
      </c>
      <c r="BC70" s="79">
        <v>10670228.23</v>
      </c>
      <c r="BD70" s="80">
        <v>217741.64</v>
      </c>
      <c r="BE70" s="80">
        <v>0</v>
      </c>
      <c r="BF70" s="80">
        <v>829442.10999999905</v>
      </c>
      <c r="BG70" s="80">
        <v>0</v>
      </c>
      <c r="BH70" s="80">
        <v>0</v>
      </c>
      <c r="BI70" s="80">
        <v>0</v>
      </c>
      <c r="BJ70" s="80">
        <f t="shared" si="18"/>
        <v>0</v>
      </c>
      <c r="BK70" s="80">
        <v>0</v>
      </c>
      <c r="BL70" s="80">
        <v>6750</v>
      </c>
      <c r="BM70" s="80">
        <v>1953</v>
      </c>
      <c r="BN70" s="79">
        <v>0</v>
      </c>
      <c r="BO70" s="79">
        <v>0</v>
      </c>
      <c r="BP70" s="79">
        <v>-31</v>
      </c>
      <c r="BQ70" s="79">
        <v>-62</v>
      </c>
      <c r="BR70" s="79">
        <v>-769</v>
      </c>
      <c r="BS70" s="79">
        <v>-602</v>
      </c>
      <c r="BT70" s="79">
        <v>0</v>
      </c>
      <c r="BU70" s="79">
        <v>0</v>
      </c>
      <c r="BV70" s="79">
        <v>0</v>
      </c>
      <c r="BW70" s="79">
        <v>-959</v>
      </c>
      <c r="BX70" s="79">
        <v>0</v>
      </c>
      <c r="BY70" s="79">
        <v>6280</v>
      </c>
      <c r="BZ70" s="79">
        <v>2</v>
      </c>
      <c r="CA70" s="79">
        <v>147</v>
      </c>
      <c r="CB70" s="79">
        <v>75</v>
      </c>
      <c r="CC70" s="79">
        <v>722</v>
      </c>
      <c r="CD70" s="79">
        <v>10</v>
      </c>
      <c r="CE70" s="79">
        <v>9</v>
      </c>
    </row>
    <row r="71" spans="1:83" s="58" customFormat="1" ht="15.6" customHeight="1" x14ac:dyDescent="0.25">
      <c r="A71" s="50">
        <v>7</v>
      </c>
      <c r="B71" s="42" t="s">
        <v>261</v>
      </c>
      <c r="C71" s="73" t="s">
        <v>262</v>
      </c>
      <c r="D71" s="44" t="s">
        <v>263</v>
      </c>
      <c r="E71" s="44" t="s">
        <v>116</v>
      </c>
      <c r="F71" s="44" t="s">
        <v>232</v>
      </c>
      <c r="G71" s="88">
        <v>28136620.489999998</v>
      </c>
      <c r="H71" s="88">
        <v>0</v>
      </c>
      <c r="I71" s="88">
        <v>690839.65</v>
      </c>
      <c r="J71" s="88">
        <v>0</v>
      </c>
      <c r="K71" s="89">
        <v>0</v>
      </c>
      <c r="L71" s="89">
        <v>28827460.140000001</v>
      </c>
      <c r="M71" s="89">
        <v>0</v>
      </c>
      <c r="N71" s="88">
        <v>1830442.94</v>
      </c>
      <c r="O71" s="88">
        <v>3809786.97</v>
      </c>
      <c r="P71" s="90">
        <v>9509255.9700000007</v>
      </c>
      <c r="Q71" s="88">
        <v>0</v>
      </c>
      <c r="R71" s="88">
        <v>1010463.31</v>
      </c>
      <c r="S71" s="88">
        <v>4741453.18</v>
      </c>
      <c r="T71" s="88">
        <v>3414000.62</v>
      </c>
      <c r="U71" s="88">
        <v>0</v>
      </c>
      <c r="V71" s="88">
        <v>0</v>
      </c>
      <c r="W71" s="88">
        <v>1407867.36</v>
      </c>
      <c r="X71" s="89">
        <v>2813971.6</v>
      </c>
      <c r="Y71" s="89">
        <v>28537241.949999999</v>
      </c>
      <c r="Z71" s="81">
        <v>0.10578543436152379</v>
      </c>
      <c r="AA71" s="89">
        <v>2813971.6</v>
      </c>
      <c r="AB71" s="89">
        <v>0</v>
      </c>
      <c r="AC71" s="89">
        <v>0</v>
      </c>
      <c r="AD71" s="89">
        <v>0</v>
      </c>
      <c r="AE71" s="89">
        <v>0</v>
      </c>
      <c r="AF71" s="89">
        <f t="shared" si="16"/>
        <v>0</v>
      </c>
      <c r="AG71" s="89">
        <v>1383531.66</v>
      </c>
      <c r="AH71" s="88">
        <v>115666.81</v>
      </c>
      <c r="AI71" s="88">
        <v>368801.85</v>
      </c>
      <c r="AJ71" s="89">
        <v>0</v>
      </c>
      <c r="AK71" s="88">
        <v>280109.08</v>
      </c>
      <c r="AL71" s="88">
        <v>8962.26</v>
      </c>
      <c r="AM71" s="88">
        <v>86874.78</v>
      </c>
      <c r="AN71" s="88">
        <v>17250</v>
      </c>
      <c r="AO71" s="88">
        <v>0</v>
      </c>
      <c r="AP71" s="88">
        <v>54830</v>
      </c>
      <c r="AQ71" s="88">
        <v>61207.66</v>
      </c>
      <c r="AR71" s="88">
        <v>40714.660000000003</v>
      </c>
      <c r="AS71" s="88">
        <v>2305</v>
      </c>
      <c r="AT71" s="88">
        <v>19331.98</v>
      </c>
      <c r="AU71" s="88">
        <v>25343.78</v>
      </c>
      <c r="AV71" s="88">
        <v>95379.06</v>
      </c>
      <c r="AW71" s="88">
        <v>2560308.58</v>
      </c>
      <c r="AX71" s="88">
        <v>0</v>
      </c>
      <c r="AY71" s="81">
        <f t="shared" si="17"/>
        <v>0</v>
      </c>
      <c r="AZ71" s="89">
        <v>0</v>
      </c>
      <c r="BA71" s="81">
        <v>0.1000110017121676</v>
      </c>
      <c r="BB71" s="79">
        <v>850141.12</v>
      </c>
      <c r="BC71" s="79">
        <v>2126303.5</v>
      </c>
      <c r="BD71" s="80">
        <v>219586.87</v>
      </c>
      <c r="BE71" s="80">
        <v>0</v>
      </c>
      <c r="BF71" s="80">
        <v>299294.53000000003</v>
      </c>
      <c r="BG71" s="80">
        <v>0</v>
      </c>
      <c r="BH71" s="80">
        <v>0</v>
      </c>
      <c r="BI71" s="80">
        <v>0</v>
      </c>
      <c r="BJ71" s="80">
        <f t="shared" si="18"/>
        <v>0</v>
      </c>
      <c r="BK71" s="80">
        <v>0</v>
      </c>
      <c r="BL71" s="80">
        <v>3366</v>
      </c>
      <c r="BM71" s="80">
        <v>1386</v>
      </c>
      <c r="BN71" s="79">
        <v>6</v>
      </c>
      <c r="BO71" s="79">
        <v>-1</v>
      </c>
      <c r="BP71" s="79">
        <v>-72</v>
      </c>
      <c r="BQ71" s="79">
        <v>-252</v>
      </c>
      <c r="BR71" s="79">
        <v>-535</v>
      </c>
      <c r="BS71" s="79">
        <v>-711</v>
      </c>
      <c r="BT71" s="79">
        <v>0</v>
      </c>
      <c r="BU71" s="79">
        <v>0</v>
      </c>
      <c r="BV71" s="79">
        <v>0</v>
      </c>
      <c r="BW71" s="79">
        <v>-515</v>
      </c>
      <c r="BX71" s="79">
        <v>-4</v>
      </c>
      <c r="BY71" s="79">
        <v>2668</v>
      </c>
      <c r="BZ71" s="79">
        <v>17</v>
      </c>
      <c r="CA71" s="79">
        <v>225</v>
      </c>
      <c r="CB71" s="79">
        <v>44</v>
      </c>
      <c r="CC71" s="79">
        <v>217</v>
      </c>
      <c r="CD71" s="79">
        <v>3</v>
      </c>
      <c r="CE71" s="79">
        <v>27</v>
      </c>
    </row>
    <row r="72" spans="1:83" s="58" customFormat="1" ht="15.6" customHeight="1" x14ac:dyDescent="0.25">
      <c r="A72" s="51">
        <v>8</v>
      </c>
      <c r="B72" s="52" t="s">
        <v>264</v>
      </c>
      <c r="C72" s="77" t="s">
        <v>265</v>
      </c>
      <c r="D72" s="50" t="s">
        <v>266</v>
      </c>
      <c r="E72" s="50" t="s">
        <v>116</v>
      </c>
      <c r="F72" s="50" t="s">
        <v>267</v>
      </c>
      <c r="G72" s="88">
        <v>47251966.43</v>
      </c>
      <c r="H72" s="88">
        <v>4657048.2699999996</v>
      </c>
      <c r="I72" s="88">
        <v>2036575.8499999999</v>
      </c>
      <c r="J72" s="88">
        <v>0</v>
      </c>
      <c r="K72" s="89">
        <v>0</v>
      </c>
      <c r="L72" s="89">
        <v>53945590.549999997</v>
      </c>
      <c r="M72" s="89">
        <v>0</v>
      </c>
      <c r="N72" s="88">
        <v>14463621.42</v>
      </c>
      <c r="O72" s="88">
        <v>3191124.53</v>
      </c>
      <c r="P72" s="90">
        <v>13027767.109999999</v>
      </c>
      <c r="Q72" s="88">
        <v>184149.46</v>
      </c>
      <c r="R72" s="88">
        <v>1842000.52</v>
      </c>
      <c r="S72" s="88">
        <v>8328176.7300000004</v>
      </c>
      <c r="T72" s="88">
        <v>4730348.88</v>
      </c>
      <c r="U72" s="88">
        <v>0</v>
      </c>
      <c r="V72" s="88">
        <v>0</v>
      </c>
      <c r="W72" s="88">
        <v>2035875.99</v>
      </c>
      <c r="X72" s="89">
        <v>6045895.2400000002</v>
      </c>
      <c r="Y72" s="89">
        <v>53848959.880000003</v>
      </c>
      <c r="Z72" s="81">
        <v>8.4420121540083673E-2</v>
      </c>
      <c r="AA72" s="89">
        <v>4016472.05</v>
      </c>
      <c r="AB72" s="89">
        <v>0</v>
      </c>
      <c r="AC72" s="89">
        <v>0</v>
      </c>
      <c r="AD72" s="89">
        <v>0</v>
      </c>
      <c r="AE72" s="89">
        <v>0</v>
      </c>
      <c r="AF72" s="89">
        <f t="shared" si="16"/>
        <v>0</v>
      </c>
      <c r="AG72" s="89">
        <v>2010759.7</v>
      </c>
      <c r="AH72" s="88">
        <v>150749.48000000001</v>
      </c>
      <c r="AI72" s="88">
        <v>776612.88</v>
      </c>
      <c r="AJ72" s="89">
        <v>0</v>
      </c>
      <c r="AK72" s="88">
        <v>316183.87</v>
      </c>
      <c r="AL72" s="88">
        <v>0</v>
      </c>
      <c r="AM72" s="88">
        <v>84000.960000000006</v>
      </c>
      <c r="AN72" s="88">
        <v>10900</v>
      </c>
      <c r="AO72" s="88">
        <v>5757.05</v>
      </c>
      <c r="AP72" s="88">
        <v>0</v>
      </c>
      <c r="AQ72" s="88">
        <v>79679.7</v>
      </c>
      <c r="AR72" s="88">
        <v>35706.49</v>
      </c>
      <c r="AS72" s="88">
        <v>8942.5</v>
      </c>
      <c r="AT72" s="88">
        <v>49838.09</v>
      </c>
      <c r="AU72" s="88">
        <v>65471.41</v>
      </c>
      <c r="AV72" s="88">
        <v>117335.37</v>
      </c>
      <c r="AW72" s="88">
        <v>3711937.5</v>
      </c>
      <c r="AX72" s="88">
        <v>0</v>
      </c>
      <c r="AY72" s="81">
        <f t="shared" si="17"/>
        <v>0</v>
      </c>
      <c r="AZ72" s="89">
        <v>3451.87</v>
      </c>
      <c r="BA72" s="81">
        <v>8.5001161929421101E-2</v>
      </c>
      <c r="BB72" s="79">
        <v>542441.16</v>
      </c>
      <c r="BC72" s="79">
        <v>3839724.17</v>
      </c>
      <c r="BD72" s="80">
        <v>219587</v>
      </c>
      <c r="BE72" s="80">
        <v>5.8207660913467401E-11</v>
      </c>
      <c r="BF72" s="80">
        <v>841664.05000000203</v>
      </c>
      <c r="BG72" s="80">
        <v>0</v>
      </c>
      <c r="BH72" s="80">
        <v>0</v>
      </c>
      <c r="BI72" s="80">
        <v>0</v>
      </c>
      <c r="BJ72" s="80">
        <f t="shared" si="18"/>
        <v>0</v>
      </c>
      <c r="BK72" s="80">
        <v>0</v>
      </c>
      <c r="BL72" s="80">
        <v>8346</v>
      </c>
      <c r="BM72" s="80">
        <v>4123</v>
      </c>
      <c r="BN72" s="79">
        <v>4</v>
      </c>
      <c r="BO72" s="79">
        <v>0</v>
      </c>
      <c r="BP72" s="79">
        <v>-31</v>
      </c>
      <c r="BQ72" s="79">
        <v>-138</v>
      </c>
      <c r="BR72" s="79">
        <v>-2107</v>
      </c>
      <c r="BS72" s="79">
        <v>-1536</v>
      </c>
      <c r="BT72" s="79">
        <v>0</v>
      </c>
      <c r="BU72" s="79">
        <v>-3</v>
      </c>
      <c r="BV72" s="79">
        <v>8</v>
      </c>
      <c r="BW72" s="79">
        <v>-824</v>
      </c>
      <c r="BX72" s="79">
        <v>0</v>
      </c>
      <c r="BY72" s="79">
        <v>7842</v>
      </c>
      <c r="BZ72" s="79">
        <v>140</v>
      </c>
      <c r="CA72" s="79">
        <v>344</v>
      </c>
      <c r="CB72" s="79">
        <v>122</v>
      </c>
      <c r="CC72" s="79">
        <v>345</v>
      </c>
      <c r="CD72" s="79">
        <v>0</v>
      </c>
      <c r="CE72" s="79">
        <v>5</v>
      </c>
    </row>
    <row r="73" spans="1:83" s="58" customFormat="1" ht="15.6" customHeight="1" x14ac:dyDescent="0.25">
      <c r="A73" s="51">
        <v>8</v>
      </c>
      <c r="B73" s="52" t="s">
        <v>268</v>
      </c>
      <c r="C73" s="77" t="s">
        <v>269</v>
      </c>
      <c r="D73" s="50" t="s">
        <v>270</v>
      </c>
      <c r="E73" s="50" t="s">
        <v>109</v>
      </c>
      <c r="F73" s="50" t="s">
        <v>271</v>
      </c>
      <c r="G73" s="88">
        <v>42886119.770000003</v>
      </c>
      <c r="H73" s="88">
        <v>3122.19</v>
      </c>
      <c r="I73" s="88">
        <v>1168821.55</v>
      </c>
      <c r="J73" s="88">
        <v>0</v>
      </c>
      <c r="K73" s="89">
        <v>0</v>
      </c>
      <c r="L73" s="89">
        <v>44058063.509999998</v>
      </c>
      <c r="M73" s="89">
        <v>0</v>
      </c>
      <c r="N73" s="88">
        <v>13332.47</v>
      </c>
      <c r="O73" s="88">
        <v>2384597.6800000002</v>
      </c>
      <c r="P73" s="90">
        <v>19895794.809999999</v>
      </c>
      <c r="Q73" s="88">
        <v>0</v>
      </c>
      <c r="R73" s="88">
        <v>1855847.41</v>
      </c>
      <c r="S73" s="88">
        <v>9803902.0800000001</v>
      </c>
      <c r="T73" s="88">
        <v>5781079.1900000004</v>
      </c>
      <c r="U73" s="88">
        <v>0</v>
      </c>
      <c r="V73" s="88">
        <v>0</v>
      </c>
      <c r="W73" s="88">
        <v>1130943.8500000001</v>
      </c>
      <c r="X73" s="89">
        <v>2953574.2600000002</v>
      </c>
      <c r="Y73" s="89">
        <v>43819071.75</v>
      </c>
      <c r="Z73" s="81">
        <v>4.7897863103197637E-2</v>
      </c>
      <c r="AA73" s="89">
        <v>2916669.56</v>
      </c>
      <c r="AB73" s="89">
        <v>0</v>
      </c>
      <c r="AC73" s="89">
        <v>0</v>
      </c>
      <c r="AD73" s="89">
        <v>0</v>
      </c>
      <c r="AE73" s="89">
        <v>0</v>
      </c>
      <c r="AF73" s="89">
        <f t="shared" si="16"/>
        <v>0</v>
      </c>
      <c r="AG73" s="89">
        <v>1668373.68</v>
      </c>
      <c r="AH73" s="88">
        <v>125744.63</v>
      </c>
      <c r="AI73" s="88">
        <v>415666.86</v>
      </c>
      <c r="AJ73" s="89">
        <v>0</v>
      </c>
      <c r="AK73" s="88">
        <v>126878.9</v>
      </c>
      <c r="AL73" s="88">
        <v>3562.27</v>
      </c>
      <c r="AM73" s="88">
        <v>75089.440000000002</v>
      </c>
      <c r="AN73" s="88">
        <v>10900</v>
      </c>
      <c r="AO73" s="88">
        <v>0</v>
      </c>
      <c r="AP73" s="88">
        <v>0</v>
      </c>
      <c r="AQ73" s="88">
        <v>77496.350000000006</v>
      </c>
      <c r="AR73" s="88">
        <v>37109.25</v>
      </c>
      <c r="AS73" s="88">
        <v>0</v>
      </c>
      <c r="AT73" s="88">
        <v>8318.0300000000007</v>
      </c>
      <c r="AU73" s="88">
        <v>65133.43</v>
      </c>
      <c r="AV73" s="88">
        <v>89874.15</v>
      </c>
      <c r="AW73" s="88">
        <v>2704146.99</v>
      </c>
      <c r="AX73" s="88">
        <v>0</v>
      </c>
      <c r="AY73" s="81">
        <f t="shared" si="17"/>
        <v>0</v>
      </c>
      <c r="AZ73" s="89">
        <v>0</v>
      </c>
      <c r="BA73" s="81">
        <v>6.8009639847163073E-2</v>
      </c>
      <c r="BB73" s="79">
        <v>780739.89</v>
      </c>
      <c r="BC73" s="79">
        <v>1273563.1499999999</v>
      </c>
      <c r="BD73" s="80">
        <v>219586.95</v>
      </c>
      <c r="BE73" s="80">
        <v>0</v>
      </c>
      <c r="BF73" s="80">
        <v>535885.49</v>
      </c>
      <c r="BG73" s="80">
        <v>0</v>
      </c>
      <c r="BH73" s="80">
        <v>0</v>
      </c>
      <c r="BI73" s="80">
        <v>0</v>
      </c>
      <c r="BJ73" s="80">
        <f t="shared" si="18"/>
        <v>0</v>
      </c>
      <c r="BK73" s="80">
        <v>0</v>
      </c>
      <c r="BL73" s="80">
        <v>7565</v>
      </c>
      <c r="BM73" s="80">
        <v>2315</v>
      </c>
      <c r="BN73" s="79">
        <v>7</v>
      </c>
      <c r="BO73" s="79">
        <v>-4</v>
      </c>
      <c r="BP73" s="79">
        <v>-50</v>
      </c>
      <c r="BQ73" s="79">
        <v>-242</v>
      </c>
      <c r="BR73" s="79">
        <v>-183</v>
      </c>
      <c r="BS73" s="79">
        <v>-563</v>
      </c>
      <c r="BT73" s="79">
        <v>0</v>
      </c>
      <c r="BU73" s="79">
        <v>0</v>
      </c>
      <c r="BV73" s="79">
        <v>50</v>
      </c>
      <c r="BW73" s="79">
        <v>-1269</v>
      </c>
      <c r="BX73" s="79">
        <v>-10</v>
      </c>
      <c r="BY73" s="79">
        <v>7616</v>
      </c>
      <c r="BZ73" s="79">
        <v>5</v>
      </c>
      <c r="CA73" s="79">
        <v>187</v>
      </c>
      <c r="CB73" s="79">
        <v>116</v>
      </c>
      <c r="CC73" s="79">
        <v>751</v>
      </c>
      <c r="CD73" s="79">
        <v>203</v>
      </c>
      <c r="CE73" s="79">
        <v>13</v>
      </c>
    </row>
    <row r="74" spans="1:83" s="58" customFormat="1" ht="15.6" customHeight="1" x14ac:dyDescent="0.25">
      <c r="A74" s="51">
        <v>8</v>
      </c>
      <c r="B74" s="52" t="s">
        <v>272</v>
      </c>
      <c r="C74" s="77" t="s">
        <v>273</v>
      </c>
      <c r="D74" s="50" t="s">
        <v>274</v>
      </c>
      <c r="E74" s="50" t="s">
        <v>139</v>
      </c>
      <c r="F74" s="50" t="s">
        <v>267</v>
      </c>
      <c r="G74" s="88">
        <v>148977734.06999999</v>
      </c>
      <c r="H74" s="88">
        <v>2152833.34</v>
      </c>
      <c r="I74" s="88">
        <v>6525662.2000000002</v>
      </c>
      <c r="J74" s="88">
        <v>0</v>
      </c>
      <c r="K74" s="89">
        <v>2134.2600000000002</v>
      </c>
      <c r="L74" s="89">
        <v>157658363.87</v>
      </c>
      <c r="M74" s="89">
        <v>0</v>
      </c>
      <c r="N74" s="88">
        <v>53737573.280000001</v>
      </c>
      <c r="O74" s="88">
        <v>7759003.4400000004</v>
      </c>
      <c r="P74" s="90">
        <v>36069155.049999997</v>
      </c>
      <c r="Q74" s="88">
        <v>2529028.96</v>
      </c>
      <c r="R74" s="88">
        <v>3701184.78</v>
      </c>
      <c r="S74" s="88">
        <v>28983186.300000001</v>
      </c>
      <c r="T74" s="88">
        <v>10740722.380000001</v>
      </c>
      <c r="U74" s="88">
        <v>0</v>
      </c>
      <c r="V74" s="88">
        <v>0</v>
      </c>
      <c r="W74" s="88">
        <v>7007165.9199999999</v>
      </c>
      <c r="X74" s="89">
        <v>6469899.0099999998</v>
      </c>
      <c r="Y74" s="89">
        <v>156996919.12</v>
      </c>
      <c r="Z74" s="81">
        <v>2.3921788768198605E-2</v>
      </c>
      <c r="AA74" s="89">
        <v>5216417.21</v>
      </c>
      <c r="AB74" s="89">
        <v>0</v>
      </c>
      <c r="AC74" s="89">
        <v>0</v>
      </c>
      <c r="AD74" s="89">
        <v>2030.69</v>
      </c>
      <c r="AE74" s="89">
        <v>0</v>
      </c>
      <c r="AF74" s="89">
        <f t="shared" si="16"/>
        <v>2030.69</v>
      </c>
      <c r="AG74" s="89">
        <v>2930299.92</v>
      </c>
      <c r="AH74" s="88">
        <v>224585.58</v>
      </c>
      <c r="AI74" s="88">
        <v>808540.88</v>
      </c>
      <c r="AJ74" s="89">
        <v>5235</v>
      </c>
      <c r="AK74" s="88">
        <v>320433.43</v>
      </c>
      <c r="AL74" s="88">
        <v>7569.52</v>
      </c>
      <c r="AM74" s="88">
        <v>68265.41</v>
      </c>
      <c r="AN74" s="88">
        <v>12750</v>
      </c>
      <c r="AO74" s="88">
        <v>2185</v>
      </c>
      <c r="AP74" s="88">
        <v>0</v>
      </c>
      <c r="AQ74" s="88">
        <v>349940.81</v>
      </c>
      <c r="AR74" s="88">
        <v>59606.01</v>
      </c>
      <c r="AS74" s="88">
        <v>25709.45</v>
      </c>
      <c r="AT74" s="88">
        <v>71553.279999999999</v>
      </c>
      <c r="AU74" s="88">
        <v>0</v>
      </c>
      <c r="AV74" s="88">
        <v>125849</v>
      </c>
      <c r="AW74" s="88">
        <v>5012523.29</v>
      </c>
      <c r="AX74" s="88">
        <v>0</v>
      </c>
      <c r="AY74" s="81">
        <f t="shared" si="17"/>
        <v>0</v>
      </c>
      <c r="AZ74" s="89">
        <v>0</v>
      </c>
      <c r="BA74" s="81">
        <v>3.5014743931794316E-2</v>
      </c>
      <c r="BB74" s="79">
        <v>1956020.39</v>
      </c>
      <c r="BC74" s="79">
        <v>1659293.12</v>
      </c>
      <c r="BD74" s="80">
        <v>219587</v>
      </c>
      <c r="BE74" s="80">
        <v>0</v>
      </c>
      <c r="BF74" s="80">
        <v>1112750.02</v>
      </c>
      <c r="BG74" s="80">
        <v>0</v>
      </c>
      <c r="BH74" s="80">
        <v>0</v>
      </c>
      <c r="BI74" s="80">
        <v>0</v>
      </c>
      <c r="BJ74" s="80">
        <f t="shared" si="18"/>
        <v>0</v>
      </c>
      <c r="BK74" s="80">
        <v>0</v>
      </c>
      <c r="BL74" s="80">
        <v>13142</v>
      </c>
      <c r="BM74" s="80">
        <v>4499</v>
      </c>
      <c r="BN74" s="79">
        <v>72</v>
      </c>
      <c r="BO74" s="79">
        <v>0</v>
      </c>
      <c r="BP74" s="79">
        <v>-63</v>
      </c>
      <c r="BQ74" s="79">
        <v>-271</v>
      </c>
      <c r="BR74" s="79">
        <v>-654</v>
      </c>
      <c r="BS74" s="79">
        <v>-1602</v>
      </c>
      <c r="BT74" s="79">
        <v>0</v>
      </c>
      <c r="BU74" s="79">
        <v>-1</v>
      </c>
      <c r="BV74" s="79">
        <v>0</v>
      </c>
      <c r="BW74" s="79">
        <v>-1816</v>
      </c>
      <c r="BX74" s="79">
        <v>-13</v>
      </c>
      <c r="BY74" s="79">
        <v>13293</v>
      </c>
      <c r="BZ74" s="79">
        <v>34</v>
      </c>
      <c r="CA74" s="79">
        <v>897</v>
      </c>
      <c r="CB74" s="79">
        <v>292</v>
      </c>
      <c r="CC74" s="79">
        <v>598</v>
      </c>
      <c r="CD74" s="79">
        <v>12</v>
      </c>
      <c r="CE74" s="79">
        <v>0</v>
      </c>
    </row>
    <row r="75" spans="1:83" s="58" customFormat="1" ht="15.6" customHeight="1" x14ac:dyDescent="0.25">
      <c r="A75" s="51">
        <v>8</v>
      </c>
      <c r="B75" s="52" t="s">
        <v>275</v>
      </c>
      <c r="C75" s="77" t="s">
        <v>165</v>
      </c>
      <c r="D75" s="50" t="s">
        <v>199</v>
      </c>
      <c r="E75" s="50" t="s">
        <v>116</v>
      </c>
      <c r="F75" s="50" t="s">
        <v>267</v>
      </c>
      <c r="G75" s="88">
        <v>31852135.09</v>
      </c>
      <c r="H75" s="88">
        <v>2628132.39</v>
      </c>
      <c r="I75" s="88">
        <v>842489.86</v>
      </c>
      <c r="J75" s="88">
        <v>0</v>
      </c>
      <c r="K75" s="89">
        <v>5639.42</v>
      </c>
      <c r="L75" s="89">
        <v>35328396.759999998</v>
      </c>
      <c r="M75" s="89">
        <v>0</v>
      </c>
      <c r="N75" s="88">
        <v>8156247.2300000004</v>
      </c>
      <c r="O75" s="88">
        <v>1110549.82</v>
      </c>
      <c r="P75" s="90">
        <v>12932491.57</v>
      </c>
      <c r="Q75" s="88">
        <v>24957</v>
      </c>
      <c r="R75" s="88">
        <v>803832.9</v>
      </c>
      <c r="S75" s="88">
        <v>4385545.7699999996</v>
      </c>
      <c r="T75" s="88">
        <v>3947816.91</v>
      </c>
      <c r="U75" s="88">
        <v>0</v>
      </c>
      <c r="V75" s="88">
        <v>0</v>
      </c>
      <c r="W75" s="88">
        <v>842913.86</v>
      </c>
      <c r="X75" s="89">
        <v>3137781.09</v>
      </c>
      <c r="Y75" s="89">
        <v>35342136.149999999</v>
      </c>
      <c r="Z75" s="81">
        <v>7.8326704732396113E-2</v>
      </c>
      <c r="AA75" s="89">
        <v>2067780.96</v>
      </c>
      <c r="AB75" s="89">
        <v>0</v>
      </c>
      <c r="AC75" s="89">
        <v>0</v>
      </c>
      <c r="AD75" s="89">
        <v>5639.42</v>
      </c>
      <c r="AE75" s="89">
        <v>0</v>
      </c>
      <c r="AF75" s="89">
        <f t="shared" si="16"/>
        <v>5639.42</v>
      </c>
      <c r="AG75" s="89">
        <v>1192138.4099999999</v>
      </c>
      <c r="AH75" s="88">
        <v>89024.76</v>
      </c>
      <c r="AI75" s="88">
        <v>215584.53</v>
      </c>
      <c r="AJ75" s="89">
        <v>0</v>
      </c>
      <c r="AK75" s="88">
        <v>118306.56</v>
      </c>
      <c r="AL75" s="88">
        <v>5866.45</v>
      </c>
      <c r="AM75" s="88">
        <v>55940.61</v>
      </c>
      <c r="AN75" s="88">
        <v>10900</v>
      </c>
      <c r="AO75" s="88">
        <v>180.91</v>
      </c>
      <c r="AP75" s="88">
        <v>0</v>
      </c>
      <c r="AQ75" s="88">
        <v>46975.41</v>
      </c>
      <c r="AR75" s="88">
        <v>6196.64</v>
      </c>
      <c r="AS75" s="88">
        <v>0</v>
      </c>
      <c r="AT75" s="88">
        <v>20465.62</v>
      </c>
      <c r="AU75" s="88">
        <v>0</v>
      </c>
      <c r="AV75" s="88">
        <v>114610.42</v>
      </c>
      <c r="AW75" s="88">
        <v>1876190.32</v>
      </c>
      <c r="AX75" s="88">
        <v>0</v>
      </c>
      <c r="AY75" s="81">
        <f t="shared" si="17"/>
        <v>0</v>
      </c>
      <c r="AZ75" s="89">
        <v>0</v>
      </c>
      <c r="BA75" s="81">
        <v>6.4918127282751009E-2</v>
      </c>
      <c r="BB75" s="79">
        <v>269295.35999999999</v>
      </c>
      <c r="BC75" s="79">
        <v>2431430.37</v>
      </c>
      <c r="BD75" s="80">
        <v>219587</v>
      </c>
      <c r="BE75" s="80">
        <v>0</v>
      </c>
      <c r="BF75" s="80">
        <v>386297.18</v>
      </c>
      <c r="BG75" s="80">
        <v>0</v>
      </c>
      <c r="BH75" s="80">
        <v>0</v>
      </c>
      <c r="BI75" s="80">
        <v>0</v>
      </c>
      <c r="BJ75" s="80">
        <f t="shared" si="18"/>
        <v>0</v>
      </c>
      <c r="BK75" s="80">
        <v>0</v>
      </c>
      <c r="BL75" s="80">
        <v>6205</v>
      </c>
      <c r="BM75" s="80">
        <v>1923</v>
      </c>
      <c r="BN75" s="79">
        <v>223</v>
      </c>
      <c r="BO75" s="79">
        <v>-7</v>
      </c>
      <c r="BP75" s="79">
        <v>-17</v>
      </c>
      <c r="BQ75" s="79">
        <v>-89</v>
      </c>
      <c r="BR75" s="79">
        <v>-328</v>
      </c>
      <c r="BS75" s="79">
        <v>-1123</v>
      </c>
      <c r="BT75" s="79">
        <v>5</v>
      </c>
      <c r="BU75" s="79">
        <v>-1</v>
      </c>
      <c r="BV75" s="79">
        <v>4</v>
      </c>
      <c r="BW75" s="79">
        <v>-762</v>
      </c>
      <c r="BX75" s="79">
        <v>0</v>
      </c>
      <c r="BY75" s="79">
        <v>6033</v>
      </c>
      <c r="BZ75" s="79">
        <v>8</v>
      </c>
      <c r="CA75" s="79">
        <v>274</v>
      </c>
      <c r="CB75" s="79">
        <v>104</v>
      </c>
      <c r="CC75" s="79">
        <v>378</v>
      </c>
      <c r="CD75" s="79">
        <v>0</v>
      </c>
      <c r="CE75" s="79">
        <v>3</v>
      </c>
    </row>
    <row r="76" spans="1:83" s="58" customFormat="1" ht="15.6" customHeight="1" x14ac:dyDescent="0.25">
      <c r="A76" s="51">
        <v>8</v>
      </c>
      <c r="B76" s="52" t="s">
        <v>276</v>
      </c>
      <c r="C76" s="77" t="s">
        <v>277</v>
      </c>
      <c r="D76" s="50" t="s">
        <v>278</v>
      </c>
      <c r="E76" s="50" t="s">
        <v>109</v>
      </c>
      <c r="F76" s="50" t="s">
        <v>267</v>
      </c>
      <c r="G76" s="88">
        <v>46835302.130000003</v>
      </c>
      <c r="H76" s="88">
        <v>0</v>
      </c>
      <c r="I76" s="88">
        <v>833197.11</v>
      </c>
      <c r="J76" s="88">
        <v>0</v>
      </c>
      <c r="K76" s="89">
        <v>0</v>
      </c>
      <c r="L76" s="89">
        <v>47668499.240000002</v>
      </c>
      <c r="M76" s="89">
        <v>0</v>
      </c>
      <c r="N76" s="88">
        <v>13690778.949999999</v>
      </c>
      <c r="O76" s="88">
        <v>2104134.14</v>
      </c>
      <c r="P76" s="90">
        <v>11618054.85</v>
      </c>
      <c r="Q76" s="88">
        <v>0</v>
      </c>
      <c r="R76" s="88">
        <v>830947.7</v>
      </c>
      <c r="S76" s="88">
        <v>11966100.42</v>
      </c>
      <c r="T76" s="88">
        <v>3606368.27</v>
      </c>
      <c r="U76" s="88">
        <v>0</v>
      </c>
      <c r="V76" s="88">
        <v>0</v>
      </c>
      <c r="W76" s="88">
        <v>1010280.28</v>
      </c>
      <c r="X76" s="89">
        <v>2645440.2699999996</v>
      </c>
      <c r="Y76" s="89">
        <v>47472104.880000003</v>
      </c>
      <c r="Z76" s="81">
        <v>4.3738024670238629E-2</v>
      </c>
      <c r="AA76" s="89">
        <v>2224529.2599999998</v>
      </c>
      <c r="AB76" s="89">
        <v>0</v>
      </c>
      <c r="AC76" s="89">
        <v>0</v>
      </c>
      <c r="AD76" s="89">
        <v>0</v>
      </c>
      <c r="AE76" s="89">
        <v>0</v>
      </c>
      <c r="AF76" s="89">
        <f t="shared" si="16"/>
        <v>0</v>
      </c>
      <c r="AG76" s="89">
        <v>974541.26</v>
      </c>
      <c r="AH76" s="88">
        <v>76060.91</v>
      </c>
      <c r="AI76" s="88">
        <v>301972.98</v>
      </c>
      <c r="AJ76" s="89">
        <v>0</v>
      </c>
      <c r="AK76" s="88">
        <v>101887.44</v>
      </c>
      <c r="AL76" s="88">
        <v>0</v>
      </c>
      <c r="AM76" s="88">
        <v>181948.5</v>
      </c>
      <c r="AN76" s="88">
        <v>10900</v>
      </c>
      <c r="AO76" s="88">
        <v>63628.959999999999</v>
      </c>
      <c r="AP76" s="88">
        <v>0</v>
      </c>
      <c r="AQ76" s="88">
        <v>134664.47999999998</v>
      </c>
      <c r="AR76" s="88">
        <v>13287.79</v>
      </c>
      <c r="AS76" s="88">
        <v>0</v>
      </c>
      <c r="AT76" s="88">
        <v>17068.22</v>
      </c>
      <c r="AU76" s="88">
        <v>36027.449999999997</v>
      </c>
      <c r="AV76" s="88">
        <v>76415.89</v>
      </c>
      <c r="AW76" s="88">
        <v>1988403.88</v>
      </c>
      <c r="AX76" s="88">
        <v>0</v>
      </c>
      <c r="AY76" s="81">
        <f t="shared" si="17"/>
        <v>0</v>
      </c>
      <c r="AZ76" s="89">
        <v>0</v>
      </c>
      <c r="BA76" s="81">
        <v>4.7496848719485341E-2</v>
      </c>
      <c r="BB76" s="79">
        <v>746335.79</v>
      </c>
      <c r="BC76" s="79">
        <v>1302147.81</v>
      </c>
      <c r="BD76" s="80">
        <v>219587</v>
      </c>
      <c r="BE76" s="80">
        <v>0</v>
      </c>
      <c r="BF76" s="80">
        <v>424998.68</v>
      </c>
      <c r="BG76" s="80">
        <v>0</v>
      </c>
      <c r="BH76" s="80">
        <v>0</v>
      </c>
      <c r="BI76" s="80">
        <v>0</v>
      </c>
      <c r="BJ76" s="80">
        <f t="shared" si="18"/>
        <v>0</v>
      </c>
      <c r="BK76" s="80">
        <v>0</v>
      </c>
      <c r="BL76" s="80">
        <v>4633</v>
      </c>
      <c r="BM76" s="80">
        <v>1841</v>
      </c>
      <c r="BN76" s="79">
        <v>7</v>
      </c>
      <c r="BO76" s="79">
        <v>-3</v>
      </c>
      <c r="BP76" s="79">
        <v>-28</v>
      </c>
      <c r="BQ76" s="79">
        <v>-112</v>
      </c>
      <c r="BR76" s="79">
        <v>-339</v>
      </c>
      <c r="BS76" s="79">
        <v>-650</v>
      </c>
      <c r="BT76" s="79">
        <v>1</v>
      </c>
      <c r="BU76" s="79">
        <v>-1</v>
      </c>
      <c r="BV76" s="79">
        <v>0</v>
      </c>
      <c r="BW76" s="79">
        <v>-808</v>
      </c>
      <c r="BX76" s="79">
        <v>-1</v>
      </c>
      <c r="BY76" s="79">
        <v>4540</v>
      </c>
      <c r="BZ76" s="79">
        <v>0</v>
      </c>
      <c r="CA76" s="79">
        <v>500</v>
      </c>
      <c r="CB76" s="79">
        <v>97</v>
      </c>
      <c r="CC76" s="79">
        <v>194</v>
      </c>
      <c r="CD76" s="79">
        <v>0</v>
      </c>
      <c r="CE76" s="79">
        <v>17</v>
      </c>
    </row>
    <row r="77" spans="1:83" s="58" customFormat="1" ht="15.6" customHeight="1" x14ac:dyDescent="0.25">
      <c r="A77" s="51">
        <v>8</v>
      </c>
      <c r="B77" s="52" t="s">
        <v>98</v>
      </c>
      <c r="C77" s="77" t="s">
        <v>148</v>
      </c>
      <c r="D77" s="50" t="s">
        <v>279</v>
      </c>
      <c r="E77" s="50" t="s">
        <v>116</v>
      </c>
      <c r="F77" s="50" t="s">
        <v>271</v>
      </c>
      <c r="G77" s="88">
        <v>44476550.549999997</v>
      </c>
      <c r="H77" s="88">
        <v>0</v>
      </c>
      <c r="I77" s="88">
        <v>1072381.8500000001</v>
      </c>
      <c r="J77" s="88">
        <v>0</v>
      </c>
      <c r="K77" s="89">
        <v>71.680000000000007</v>
      </c>
      <c r="L77" s="89">
        <v>45549004.079999998</v>
      </c>
      <c r="M77" s="89">
        <v>0</v>
      </c>
      <c r="N77" s="88">
        <v>8912.76</v>
      </c>
      <c r="O77" s="88">
        <v>3286901.73</v>
      </c>
      <c r="P77" s="90">
        <v>15241876</v>
      </c>
      <c r="Q77" s="88">
        <v>0</v>
      </c>
      <c r="R77" s="88">
        <v>2295596.86</v>
      </c>
      <c r="S77" s="88">
        <v>13630304.68</v>
      </c>
      <c r="T77" s="88">
        <v>7460265.8099999996</v>
      </c>
      <c r="U77" s="88">
        <v>0</v>
      </c>
      <c r="V77" s="88">
        <v>0</v>
      </c>
      <c r="W77" s="88">
        <v>1121565.3799999999</v>
      </c>
      <c r="X77" s="89">
        <v>2001867.6800000002</v>
      </c>
      <c r="Y77" s="89">
        <v>45047290.899999999</v>
      </c>
      <c r="Z77" s="81">
        <v>0.10223639679269125</v>
      </c>
      <c r="AA77" s="89">
        <v>2001438.1</v>
      </c>
      <c r="AB77" s="89">
        <v>0</v>
      </c>
      <c r="AC77" s="89">
        <v>0</v>
      </c>
      <c r="AD77" s="89">
        <v>79.58</v>
      </c>
      <c r="AE77" s="89">
        <v>0</v>
      </c>
      <c r="AF77" s="89">
        <f t="shared" si="16"/>
        <v>79.58</v>
      </c>
      <c r="AG77" s="89">
        <v>1001951.85</v>
      </c>
      <c r="AH77" s="88">
        <v>79198.12</v>
      </c>
      <c r="AI77" s="88">
        <v>320895.03000000003</v>
      </c>
      <c r="AJ77" s="89">
        <v>0</v>
      </c>
      <c r="AK77" s="88">
        <v>131084.64000000001</v>
      </c>
      <c r="AL77" s="88">
        <v>29160</v>
      </c>
      <c r="AM77" s="88">
        <v>74151.56</v>
      </c>
      <c r="AN77" s="88">
        <v>10900</v>
      </c>
      <c r="AO77" s="88">
        <v>1200</v>
      </c>
      <c r="AP77" s="88">
        <v>0</v>
      </c>
      <c r="AQ77" s="88">
        <v>49018.31</v>
      </c>
      <c r="AR77" s="88">
        <v>7827.71</v>
      </c>
      <c r="AS77" s="88">
        <v>0</v>
      </c>
      <c r="AT77" s="88">
        <v>1361.25</v>
      </c>
      <c r="AU77" s="88">
        <v>0</v>
      </c>
      <c r="AV77" s="88">
        <v>56736.5</v>
      </c>
      <c r="AW77" s="88">
        <v>1763484.97</v>
      </c>
      <c r="AX77" s="88">
        <v>71564.06</v>
      </c>
      <c r="AY77" s="81">
        <f t="shared" si="17"/>
        <v>4.05810433416963E-2</v>
      </c>
      <c r="AZ77" s="89">
        <v>0</v>
      </c>
      <c r="BA77" s="81">
        <v>4.4999849926536183E-2</v>
      </c>
      <c r="BB77" s="79">
        <v>0</v>
      </c>
      <c r="BC77" s="79">
        <v>4547122.2699999996</v>
      </c>
      <c r="BD77" s="80">
        <v>219587</v>
      </c>
      <c r="BE77" s="80">
        <v>0</v>
      </c>
      <c r="BF77" s="80">
        <v>402675.65</v>
      </c>
      <c r="BG77" s="80">
        <v>0</v>
      </c>
      <c r="BH77" s="80">
        <v>0</v>
      </c>
      <c r="BI77" s="80">
        <v>0</v>
      </c>
      <c r="BJ77" s="80">
        <f t="shared" si="18"/>
        <v>0</v>
      </c>
      <c r="BK77" s="80">
        <v>0</v>
      </c>
      <c r="BL77" s="80">
        <v>7421</v>
      </c>
      <c r="BM77" s="80">
        <v>2712</v>
      </c>
      <c r="BN77" s="79">
        <v>13</v>
      </c>
      <c r="BO77" s="79">
        <v>0</v>
      </c>
      <c r="BP77" s="79">
        <v>-36</v>
      </c>
      <c r="BQ77" s="79">
        <v>-240</v>
      </c>
      <c r="BR77" s="79">
        <v>-221</v>
      </c>
      <c r="BS77" s="79">
        <v>-1059</v>
      </c>
      <c r="BT77" s="79">
        <v>0</v>
      </c>
      <c r="BU77" s="79">
        <v>-1</v>
      </c>
      <c r="BV77" s="79">
        <v>29</v>
      </c>
      <c r="BW77" s="79">
        <v>-1162</v>
      </c>
      <c r="BX77" s="79">
        <v>-24</v>
      </c>
      <c r="BY77" s="79">
        <v>7432</v>
      </c>
      <c r="BZ77" s="79">
        <v>19</v>
      </c>
      <c r="CA77" s="79">
        <v>625</v>
      </c>
      <c r="CB77" s="79">
        <v>176</v>
      </c>
      <c r="CC77" s="79">
        <v>332</v>
      </c>
      <c r="CD77" s="79">
        <v>7</v>
      </c>
      <c r="CE77" s="79">
        <v>22</v>
      </c>
    </row>
    <row r="78" spans="1:83" s="58" customFormat="1" ht="15.6" customHeight="1" x14ac:dyDescent="0.25">
      <c r="A78" s="45">
        <v>8</v>
      </c>
      <c r="B78" s="46" t="s">
        <v>280</v>
      </c>
      <c r="C78" s="77" t="s">
        <v>118</v>
      </c>
      <c r="D78" s="50" t="s">
        <v>266</v>
      </c>
      <c r="E78" s="50" t="s">
        <v>116</v>
      </c>
      <c r="F78" s="50" t="s">
        <v>267</v>
      </c>
      <c r="G78" s="88">
        <v>49491948.020000003</v>
      </c>
      <c r="H78" s="88">
        <v>4210422.8899999997</v>
      </c>
      <c r="I78" s="88">
        <v>1659646.47</v>
      </c>
      <c r="J78" s="88">
        <v>0</v>
      </c>
      <c r="K78" s="89">
        <v>25.97</v>
      </c>
      <c r="L78" s="89">
        <v>55362043.350000001</v>
      </c>
      <c r="M78" s="89">
        <v>0</v>
      </c>
      <c r="N78" s="88">
        <v>14847865.66</v>
      </c>
      <c r="O78" s="88">
        <v>3290661.54</v>
      </c>
      <c r="P78" s="90">
        <v>13872647.98</v>
      </c>
      <c r="Q78" s="88">
        <v>196262.51</v>
      </c>
      <c r="R78" s="88">
        <v>1994924.81</v>
      </c>
      <c r="S78" s="88">
        <v>8389406.5600000005</v>
      </c>
      <c r="T78" s="88">
        <v>5232860.9400000004</v>
      </c>
      <c r="U78" s="88">
        <v>0</v>
      </c>
      <c r="V78" s="88">
        <v>0</v>
      </c>
      <c r="W78" s="88">
        <v>1659646.47</v>
      </c>
      <c r="X78" s="89">
        <v>6277163.1899999995</v>
      </c>
      <c r="Y78" s="89">
        <v>55761439.659999996</v>
      </c>
      <c r="Z78" s="81">
        <v>7.4142062622761767E-2</v>
      </c>
      <c r="AA78" s="89">
        <v>3909895.8</v>
      </c>
      <c r="AB78" s="89">
        <v>0</v>
      </c>
      <c r="AC78" s="89">
        <v>0</v>
      </c>
      <c r="AD78" s="89">
        <v>25.97</v>
      </c>
      <c r="AE78" s="89">
        <v>0</v>
      </c>
      <c r="AF78" s="89">
        <f t="shared" si="16"/>
        <v>25.97</v>
      </c>
      <c r="AG78" s="89">
        <v>2101975.84</v>
      </c>
      <c r="AH78" s="88">
        <v>158577.42000000001</v>
      </c>
      <c r="AI78" s="88">
        <v>781085.14</v>
      </c>
      <c r="AJ78" s="89">
        <v>0</v>
      </c>
      <c r="AK78" s="88">
        <v>306707.43</v>
      </c>
      <c r="AL78" s="88">
        <v>0</v>
      </c>
      <c r="AM78" s="88">
        <v>70695.429999999993</v>
      </c>
      <c r="AN78" s="88">
        <v>10900</v>
      </c>
      <c r="AO78" s="88">
        <v>10607.05</v>
      </c>
      <c r="AP78" s="88">
        <v>0</v>
      </c>
      <c r="AQ78" s="88">
        <v>66915.240000000005</v>
      </c>
      <c r="AR78" s="88">
        <v>24591.53</v>
      </c>
      <c r="AS78" s="88">
        <v>8325</v>
      </c>
      <c r="AT78" s="88">
        <v>48807.45</v>
      </c>
      <c r="AU78" s="88">
        <v>0</v>
      </c>
      <c r="AV78" s="88">
        <v>135330.65</v>
      </c>
      <c r="AW78" s="88">
        <v>3724518.18</v>
      </c>
      <c r="AX78" s="88">
        <v>196570.73</v>
      </c>
      <c r="AY78" s="81">
        <f t="shared" si="17"/>
        <v>5.2777492416482177E-2</v>
      </c>
      <c r="AZ78" s="89">
        <v>0</v>
      </c>
      <c r="BA78" s="81">
        <v>7.9000644679008927E-2</v>
      </c>
      <c r="BB78" s="79">
        <v>448910.44</v>
      </c>
      <c r="BC78" s="79">
        <v>3532694.11</v>
      </c>
      <c r="BD78" s="80">
        <v>219587</v>
      </c>
      <c r="BE78" s="80">
        <v>2.91038304567337E-11</v>
      </c>
      <c r="BF78" s="80">
        <v>583736.57000000204</v>
      </c>
      <c r="BG78" s="80">
        <v>0</v>
      </c>
      <c r="BH78" s="80">
        <v>0</v>
      </c>
      <c r="BI78" s="80">
        <v>0</v>
      </c>
      <c r="BJ78" s="80">
        <f t="shared" si="18"/>
        <v>0</v>
      </c>
      <c r="BK78" s="80">
        <v>0</v>
      </c>
      <c r="BL78" s="80">
        <v>8979</v>
      </c>
      <c r="BM78" s="80">
        <v>4293</v>
      </c>
      <c r="BN78" s="79">
        <v>21</v>
      </c>
      <c r="BO78" s="79">
        <v>-22</v>
      </c>
      <c r="BP78" s="79">
        <v>-38</v>
      </c>
      <c r="BQ78" s="79">
        <v>-138</v>
      </c>
      <c r="BR78" s="79">
        <v>-2055</v>
      </c>
      <c r="BS78" s="79">
        <v>-1588</v>
      </c>
      <c r="BT78" s="79">
        <v>0</v>
      </c>
      <c r="BU78" s="79">
        <v>-2</v>
      </c>
      <c r="BV78" s="79">
        <v>7</v>
      </c>
      <c r="BW78" s="79">
        <v>-896</v>
      </c>
      <c r="BX78" s="79">
        <v>0</v>
      </c>
      <c r="BY78" s="79">
        <v>8561</v>
      </c>
      <c r="BZ78" s="79">
        <v>130</v>
      </c>
      <c r="CA78" s="79">
        <v>339</v>
      </c>
      <c r="CB78" s="79">
        <v>142</v>
      </c>
      <c r="CC78" s="79">
        <v>408</v>
      </c>
      <c r="CD78" s="79">
        <v>0</v>
      </c>
      <c r="CE78" s="79">
        <v>13</v>
      </c>
    </row>
    <row r="79" spans="1:83" s="58" customFormat="1" ht="15.6" customHeight="1" x14ac:dyDescent="0.25">
      <c r="A79" s="51">
        <v>8</v>
      </c>
      <c r="B79" s="39" t="s">
        <v>544</v>
      </c>
      <c r="C79" s="77" t="s">
        <v>553</v>
      </c>
      <c r="D79" s="50" t="s">
        <v>538</v>
      </c>
      <c r="E79" s="50" t="s">
        <v>109</v>
      </c>
      <c r="F79" s="50" t="s">
        <v>267</v>
      </c>
      <c r="G79" s="88">
        <v>88144037.170000002</v>
      </c>
      <c r="H79" s="88">
        <v>321.52</v>
      </c>
      <c r="I79" s="88">
        <v>4342485.72</v>
      </c>
      <c r="J79" s="88">
        <v>0</v>
      </c>
      <c r="K79" s="89">
        <v>0</v>
      </c>
      <c r="L79" s="89">
        <v>92486844.409999996</v>
      </c>
      <c r="M79" s="89">
        <v>0</v>
      </c>
      <c r="N79" s="88">
        <v>27530493.309999999</v>
      </c>
      <c r="O79" s="88">
        <v>3235800.86</v>
      </c>
      <c r="P79" s="90">
        <v>23501966.48</v>
      </c>
      <c r="Q79" s="88">
        <v>241247.85</v>
      </c>
      <c r="R79" s="88">
        <v>2487328.4900000002</v>
      </c>
      <c r="S79" s="88">
        <v>16456415.25</v>
      </c>
      <c r="T79" s="88">
        <v>8786311.1199999992</v>
      </c>
      <c r="U79" s="88">
        <v>0</v>
      </c>
      <c r="V79" s="88">
        <v>0</v>
      </c>
      <c r="W79" s="88">
        <v>4684619.49</v>
      </c>
      <c r="X79" s="89">
        <v>4232992.68</v>
      </c>
      <c r="Y79" s="89">
        <v>91157175.530000001</v>
      </c>
      <c r="Z79" s="81">
        <v>3.7901729953581674E-2</v>
      </c>
      <c r="AA79" s="89">
        <v>3338189.91</v>
      </c>
      <c r="AB79" s="89">
        <v>0</v>
      </c>
      <c r="AC79" s="89">
        <v>0</v>
      </c>
      <c r="AD79" s="89">
        <v>0</v>
      </c>
      <c r="AE79" s="89">
        <v>0</v>
      </c>
      <c r="AF79" s="89">
        <f t="shared" si="16"/>
        <v>0</v>
      </c>
      <c r="AG79" s="89">
        <v>1720527.76</v>
      </c>
      <c r="AH79" s="88">
        <v>133627.35999999999</v>
      </c>
      <c r="AI79" s="88">
        <v>308602.40000000002</v>
      </c>
      <c r="AJ79" s="89">
        <v>32244.61</v>
      </c>
      <c r="AK79" s="88">
        <v>189099</v>
      </c>
      <c r="AL79" s="88">
        <v>0</v>
      </c>
      <c r="AM79" s="88">
        <v>76802.25</v>
      </c>
      <c r="AN79" s="88">
        <v>12750</v>
      </c>
      <c r="AO79" s="88">
        <v>65077.5</v>
      </c>
      <c r="AP79" s="88">
        <v>0</v>
      </c>
      <c r="AQ79" s="88">
        <v>83617.69</v>
      </c>
      <c r="AR79" s="88">
        <v>18366.52</v>
      </c>
      <c r="AS79" s="88">
        <v>0</v>
      </c>
      <c r="AT79" s="88">
        <v>6429.73</v>
      </c>
      <c r="AU79" s="88">
        <v>18000</v>
      </c>
      <c r="AV79" s="88">
        <v>114557.88</v>
      </c>
      <c r="AW79" s="88">
        <v>2779702.7</v>
      </c>
      <c r="AX79" s="88">
        <v>0</v>
      </c>
      <c r="AY79" s="81">
        <f t="shared" si="17"/>
        <v>0</v>
      </c>
      <c r="AZ79" s="89">
        <v>0</v>
      </c>
      <c r="BA79" s="81">
        <v>3.7871987909536775E-2</v>
      </c>
      <c r="BB79" s="79">
        <v>652101.27</v>
      </c>
      <c r="BC79" s="79">
        <v>2688722.41</v>
      </c>
      <c r="BD79" s="80">
        <v>216829</v>
      </c>
      <c r="BE79" s="80">
        <v>0</v>
      </c>
      <c r="BF79" s="80">
        <v>693979.88</v>
      </c>
      <c r="BG79" s="80">
        <v>0</v>
      </c>
      <c r="BH79" s="80">
        <v>0</v>
      </c>
      <c r="BI79" s="80">
        <v>0</v>
      </c>
      <c r="BJ79" s="80">
        <f t="shared" si="18"/>
        <v>0</v>
      </c>
      <c r="BK79" s="80">
        <v>0</v>
      </c>
      <c r="BL79" s="80">
        <v>10896</v>
      </c>
      <c r="BM79" s="80">
        <v>3342</v>
      </c>
      <c r="BN79" s="79">
        <v>133</v>
      </c>
      <c r="BO79" s="79">
        <v>-132</v>
      </c>
      <c r="BP79" s="79">
        <v>-66</v>
      </c>
      <c r="BQ79" s="79">
        <v>-468</v>
      </c>
      <c r="BR79" s="79">
        <v>-400</v>
      </c>
      <c r="BS79" s="79">
        <v>-1541</v>
      </c>
      <c r="BT79" s="79">
        <v>0</v>
      </c>
      <c r="BU79" s="79">
        <v>-3</v>
      </c>
      <c r="BV79" s="79">
        <v>-31</v>
      </c>
      <c r="BW79" s="79">
        <v>-1607</v>
      </c>
      <c r="BX79" s="79">
        <v>-5</v>
      </c>
      <c r="BY79" s="79">
        <v>10118</v>
      </c>
      <c r="BZ79" s="79">
        <v>74</v>
      </c>
      <c r="CA79" s="79">
        <v>1011</v>
      </c>
      <c r="CB79" s="79">
        <v>173</v>
      </c>
      <c r="CC79" s="79">
        <v>380</v>
      </c>
      <c r="CD79" s="79">
        <v>25</v>
      </c>
      <c r="CE79" s="79">
        <v>18</v>
      </c>
    </row>
    <row r="80" spans="1:83" s="58" customFormat="1" ht="15.6" customHeight="1" x14ac:dyDescent="0.25">
      <c r="A80" s="45">
        <v>9</v>
      </c>
      <c r="B80" s="46" t="s">
        <v>281</v>
      </c>
      <c r="C80" s="77" t="s">
        <v>158</v>
      </c>
      <c r="D80" s="50" t="s">
        <v>282</v>
      </c>
      <c r="E80" s="50" t="s">
        <v>109</v>
      </c>
      <c r="F80" s="50" t="s">
        <v>283</v>
      </c>
      <c r="G80" s="88">
        <v>28382338.859999999</v>
      </c>
      <c r="H80" s="88">
        <v>0</v>
      </c>
      <c r="I80" s="88">
        <v>770850.55</v>
      </c>
      <c r="J80" s="88">
        <v>0</v>
      </c>
      <c r="K80" s="89">
        <v>22613.94</v>
      </c>
      <c r="L80" s="89">
        <v>29175803.350000001</v>
      </c>
      <c r="M80" s="89">
        <v>0</v>
      </c>
      <c r="N80" s="88">
        <v>10240447.539999999</v>
      </c>
      <c r="O80" s="88">
        <v>891872.23</v>
      </c>
      <c r="P80" s="90">
        <v>5710793.79</v>
      </c>
      <c r="Q80" s="88">
        <v>9982.2199999999993</v>
      </c>
      <c r="R80" s="88">
        <v>1186734.78</v>
      </c>
      <c r="S80" s="88">
        <v>5429806.4400000004</v>
      </c>
      <c r="T80" s="88">
        <v>3172352.61</v>
      </c>
      <c r="U80" s="88">
        <v>0</v>
      </c>
      <c r="V80" s="88">
        <v>0</v>
      </c>
      <c r="W80" s="88">
        <v>842009.59999999998</v>
      </c>
      <c r="X80" s="89">
        <v>2143319.52</v>
      </c>
      <c r="Y80" s="89">
        <v>29627318.73</v>
      </c>
      <c r="Z80" s="81">
        <v>0.13848298688094762</v>
      </c>
      <c r="AA80" s="89">
        <v>2082351.53</v>
      </c>
      <c r="AB80" s="89">
        <v>0</v>
      </c>
      <c r="AC80" s="89">
        <v>0</v>
      </c>
      <c r="AD80" s="89">
        <v>0</v>
      </c>
      <c r="AE80" s="89">
        <v>0</v>
      </c>
      <c r="AF80" s="89">
        <f t="shared" si="16"/>
        <v>0</v>
      </c>
      <c r="AG80" s="89">
        <v>1110628.2</v>
      </c>
      <c r="AH80" s="88">
        <v>87535.19</v>
      </c>
      <c r="AI80" s="88">
        <v>382590.03</v>
      </c>
      <c r="AJ80" s="89">
        <v>0</v>
      </c>
      <c r="AK80" s="88">
        <v>98052</v>
      </c>
      <c r="AL80" s="88">
        <v>2799.59</v>
      </c>
      <c r="AM80" s="88">
        <v>83716.850000000006</v>
      </c>
      <c r="AN80" s="88">
        <v>7690</v>
      </c>
      <c r="AO80" s="88">
        <v>2275</v>
      </c>
      <c r="AP80" s="88">
        <v>0</v>
      </c>
      <c r="AQ80" s="88">
        <v>55398.91</v>
      </c>
      <c r="AR80" s="88">
        <v>3149.26</v>
      </c>
      <c r="AS80" s="88">
        <v>10457.17</v>
      </c>
      <c r="AT80" s="88">
        <v>45174.879999999997</v>
      </c>
      <c r="AU80" s="88">
        <v>23355.17</v>
      </c>
      <c r="AV80" s="88">
        <v>105783.84</v>
      </c>
      <c r="AW80" s="88">
        <v>2018606.09</v>
      </c>
      <c r="AX80" s="88">
        <v>0</v>
      </c>
      <c r="AY80" s="81">
        <f t="shared" si="17"/>
        <v>0</v>
      </c>
      <c r="AZ80" s="89">
        <v>0</v>
      </c>
      <c r="BA80" s="81">
        <v>7.3367862327044328E-2</v>
      </c>
      <c r="BB80" s="79">
        <v>609242.28</v>
      </c>
      <c r="BC80" s="79">
        <v>3321228.78</v>
      </c>
      <c r="BD80" s="80">
        <v>219587</v>
      </c>
      <c r="BE80" s="80">
        <v>0</v>
      </c>
      <c r="BF80" s="80">
        <v>175012.96799999999</v>
      </c>
      <c r="BG80" s="80">
        <v>0</v>
      </c>
      <c r="BH80" s="80">
        <v>0</v>
      </c>
      <c r="BI80" s="80">
        <v>0</v>
      </c>
      <c r="BJ80" s="80">
        <f t="shared" si="18"/>
        <v>0</v>
      </c>
      <c r="BK80" s="80">
        <v>0</v>
      </c>
      <c r="BL80" s="80">
        <v>2865</v>
      </c>
      <c r="BM80" s="80">
        <v>777</v>
      </c>
      <c r="BN80" s="79">
        <v>72</v>
      </c>
      <c r="BO80" s="79">
        <v>-60</v>
      </c>
      <c r="BP80" s="79">
        <v>-21</v>
      </c>
      <c r="BQ80" s="79">
        <v>-53</v>
      </c>
      <c r="BR80" s="79">
        <v>-126</v>
      </c>
      <c r="BS80" s="79">
        <v>-201</v>
      </c>
      <c r="BT80" s="79">
        <v>1</v>
      </c>
      <c r="BU80" s="79">
        <v>-4</v>
      </c>
      <c r="BV80" s="79">
        <v>19</v>
      </c>
      <c r="BW80" s="79">
        <v>-463</v>
      </c>
      <c r="BX80" s="79">
        <v>-5</v>
      </c>
      <c r="BY80" s="79">
        <v>2801</v>
      </c>
      <c r="BZ80" s="79">
        <v>46</v>
      </c>
      <c r="CA80" s="79">
        <v>107</v>
      </c>
      <c r="CB80" s="79">
        <v>58</v>
      </c>
      <c r="CC80" s="79">
        <v>298</v>
      </c>
      <c r="CD80" s="79">
        <v>17</v>
      </c>
      <c r="CE80" s="79">
        <v>1</v>
      </c>
    </row>
    <row r="81" spans="1:83" s="58" customFormat="1" ht="15.6" customHeight="1" x14ac:dyDescent="0.25">
      <c r="A81" s="50">
        <v>9</v>
      </c>
      <c r="B81" s="50" t="s">
        <v>284</v>
      </c>
      <c r="C81" s="77" t="s">
        <v>285</v>
      </c>
      <c r="D81" s="50" t="s">
        <v>286</v>
      </c>
      <c r="E81" s="50" t="s">
        <v>122</v>
      </c>
      <c r="F81" s="50" t="s">
        <v>287</v>
      </c>
      <c r="G81" s="89">
        <v>47979105.420000002</v>
      </c>
      <c r="H81" s="89">
        <v>7680.93</v>
      </c>
      <c r="I81" s="89">
        <v>1067513.74</v>
      </c>
      <c r="J81" s="89">
        <v>0</v>
      </c>
      <c r="K81" s="89">
        <v>0</v>
      </c>
      <c r="L81" s="89">
        <v>49054300.090000004</v>
      </c>
      <c r="M81" s="89">
        <v>0</v>
      </c>
      <c r="N81" s="89">
        <v>14715310.800000001</v>
      </c>
      <c r="O81" s="89">
        <v>2697582.55</v>
      </c>
      <c r="P81" s="89">
        <v>14063726.039999999</v>
      </c>
      <c r="Q81" s="89">
        <v>29823.06</v>
      </c>
      <c r="R81" s="89">
        <v>2016049.42</v>
      </c>
      <c r="S81" s="89">
        <v>8574351.5800000001</v>
      </c>
      <c r="T81" s="89">
        <v>3508028.16</v>
      </c>
      <c r="U81" s="89">
        <v>0</v>
      </c>
      <c r="V81" s="89">
        <v>7680.93</v>
      </c>
      <c r="W81" s="89">
        <v>1199734.46</v>
      </c>
      <c r="X81" s="89">
        <v>2591188.7799999998</v>
      </c>
      <c r="Y81" s="89">
        <v>49403475.780000001</v>
      </c>
      <c r="Z81" s="81">
        <v>4.8958737367083761E-2</v>
      </c>
      <c r="AA81" s="89">
        <v>2590878.7799999998</v>
      </c>
      <c r="AB81" s="89">
        <v>0</v>
      </c>
      <c r="AC81" s="89">
        <v>0</v>
      </c>
      <c r="AD81" s="89">
        <v>0</v>
      </c>
      <c r="AE81" s="89">
        <v>0</v>
      </c>
      <c r="AF81" s="89">
        <f t="shared" si="16"/>
        <v>0</v>
      </c>
      <c r="AG81" s="89">
        <v>1302839.92</v>
      </c>
      <c r="AH81" s="89">
        <v>102320.02</v>
      </c>
      <c r="AI81" s="89">
        <v>296748.71000000002</v>
      </c>
      <c r="AJ81" s="89">
        <v>42497.01</v>
      </c>
      <c r="AK81" s="89">
        <v>165012.25</v>
      </c>
      <c r="AL81" s="89">
        <v>10340.32</v>
      </c>
      <c r="AM81" s="89">
        <v>105350.73</v>
      </c>
      <c r="AN81" s="89">
        <v>11700</v>
      </c>
      <c r="AO81" s="89">
        <v>1944</v>
      </c>
      <c r="AP81" s="89">
        <v>45117.440000000002</v>
      </c>
      <c r="AQ81" s="89">
        <v>46638.35</v>
      </c>
      <c r="AR81" s="89">
        <v>35814</v>
      </c>
      <c r="AS81" s="89">
        <v>3545</v>
      </c>
      <c r="AT81" s="89">
        <v>15369.76</v>
      </c>
      <c r="AU81" s="89">
        <v>83830.880000000005</v>
      </c>
      <c r="AV81" s="89">
        <v>111066.67</v>
      </c>
      <c r="AW81" s="89">
        <v>2380135.06</v>
      </c>
      <c r="AX81" s="89">
        <v>0</v>
      </c>
      <c r="AY81" s="81">
        <f t="shared" si="17"/>
        <v>0</v>
      </c>
      <c r="AZ81" s="89">
        <v>0</v>
      </c>
      <c r="BA81" s="81">
        <v>5.4000147716801672E-2</v>
      </c>
      <c r="BB81" s="80">
        <v>524945.6</v>
      </c>
      <c r="BC81" s="80">
        <v>1824426.87</v>
      </c>
      <c r="BD81" s="80">
        <v>219587</v>
      </c>
      <c r="BE81" s="80">
        <v>0</v>
      </c>
      <c r="BF81" s="80">
        <v>501316.76999999897</v>
      </c>
      <c r="BG81" s="80">
        <v>0</v>
      </c>
      <c r="BH81" s="80">
        <v>0</v>
      </c>
      <c r="BI81" s="80">
        <v>0</v>
      </c>
      <c r="BJ81" s="80">
        <f t="shared" si="18"/>
        <v>0</v>
      </c>
      <c r="BK81" s="80">
        <v>0</v>
      </c>
      <c r="BL81" s="80">
        <v>4622</v>
      </c>
      <c r="BM81" s="80">
        <v>1355</v>
      </c>
      <c r="BN81" s="80">
        <v>5</v>
      </c>
      <c r="BO81" s="80">
        <v>-9</v>
      </c>
      <c r="BP81" s="80">
        <v>-35</v>
      </c>
      <c r="BQ81" s="80">
        <v>-91</v>
      </c>
      <c r="BR81" s="80">
        <v>-187</v>
      </c>
      <c r="BS81" s="80">
        <v>-362</v>
      </c>
      <c r="BT81" s="80">
        <v>0</v>
      </c>
      <c r="BU81" s="80">
        <v>-1</v>
      </c>
      <c r="BV81" s="80">
        <v>12</v>
      </c>
      <c r="BW81" s="80">
        <v>-948</v>
      </c>
      <c r="BX81" s="80">
        <v>-2</v>
      </c>
      <c r="BY81" s="80">
        <v>4359</v>
      </c>
      <c r="BZ81" s="80">
        <v>15</v>
      </c>
      <c r="CA81" s="80">
        <v>184</v>
      </c>
      <c r="CB81" s="80">
        <v>71</v>
      </c>
      <c r="CC81" s="80">
        <v>691</v>
      </c>
      <c r="CD81" s="80">
        <v>2</v>
      </c>
      <c r="CE81" s="80">
        <v>6</v>
      </c>
    </row>
    <row r="82" spans="1:83" s="58" customFormat="1" ht="15.6" customHeight="1" x14ac:dyDescent="0.25">
      <c r="A82" s="50">
        <v>9</v>
      </c>
      <c r="B82" s="50" t="s">
        <v>288</v>
      </c>
      <c r="C82" s="77" t="s">
        <v>289</v>
      </c>
      <c r="D82" s="50" t="s">
        <v>290</v>
      </c>
      <c r="E82" s="50" t="s">
        <v>109</v>
      </c>
      <c r="F82" s="50" t="s">
        <v>283</v>
      </c>
      <c r="G82" s="88">
        <v>37762528.490000002</v>
      </c>
      <c r="H82" s="88">
        <v>0</v>
      </c>
      <c r="I82" s="88">
        <v>783144.1</v>
      </c>
      <c r="J82" s="88">
        <v>0</v>
      </c>
      <c r="K82" s="89">
        <v>0</v>
      </c>
      <c r="L82" s="89">
        <v>38545672.590000004</v>
      </c>
      <c r="M82" s="89">
        <v>0</v>
      </c>
      <c r="N82" s="88">
        <v>11092050.09</v>
      </c>
      <c r="O82" s="88">
        <v>1363992.94</v>
      </c>
      <c r="P82" s="90">
        <v>5978820.0599999996</v>
      </c>
      <c r="Q82" s="88">
        <v>1972.66</v>
      </c>
      <c r="R82" s="88">
        <v>1708718.05</v>
      </c>
      <c r="S82" s="88">
        <v>8916041.0899999999</v>
      </c>
      <c r="T82" s="88">
        <v>4968027.6500000004</v>
      </c>
      <c r="U82" s="88">
        <v>0</v>
      </c>
      <c r="V82" s="88">
        <v>0</v>
      </c>
      <c r="W82" s="88">
        <v>1186200.92</v>
      </c>
      <c r="X82" s="89">
        <v>2834397.7</v>
      </c>
      <c r="Y82" s="89">
        <v>38050221.159999996</v>
      </c>
      <c r="Z82" s="81">
        <v>0.12380082205665857</v>
      </c>
      <c r="AA82" s="89">
        <v>2832180.2</v>
      </c>
      <c r="AB82" s="89">
        <v>0</v>
      </c>
      <c r="AC82" s="89">
        <v>0</v>
      </c>
      <c r="AD82" s="89">
        <v>0</v>
      </c>
      <c r="AE82" s="89">
        <v>289.63</v>
      </c>
      <c r="AF82" s="89">
        <f t="shared" si="16"/>
        <v>289.63</v>
      </c>
      <c r="AG82" s="89">
        <v>1312275.76</v>
      </c>
      <c r="AH82" s="88">
        <v>107739.98</v>
      </c>
      <c r="AI82" s="88">
        <v>406501.34</v>
      </c>
      <c r="AJ82" s="89">
        <v>0</v>
      </c>
      <c r="AK82" s="88">
        <v>318849.06</v>
      </c>
      <c r="AL82" s="88">
        <v>5462.69</v>
      </c>
      <c r="AM82" s="88">
        <v>97230.65</v>
      </c>
      <c r="AN82" s="88">
        <v>11275</v>
      </c>
      <c r="AO82" s="88">
        <v>2375</v>
      </c>
      <c r="AP82" s="88">
        <v>0</v>
      </c>
      <c r="AQ82" s="88">
        <v>64470.81</v>
      </c>
      <c r="AR82" s="88">
        <v>35650.120000000003</v>
      </c>
      <c r="AS82" s="88">
        <v>0</v>
      </c>
      <c r="AT82" s="88">
        <v>60808.14</v>
      </c>
      <c r="AU82" s="88">
        <v>38896.26</v>
      </c>
      <c r="AV82" s="88">
        <v>65102</v>
      </c>
      <c r="AW82" s="88">
        <v>2526636.81</v>
      </c>
      <c r="AX82" s="88">
        <v>0</v>
      </c>
      <c r="AY82" s="81">
        <f t="shared" si="17"/>
        <v>0</v>
      </c>
      <c r="AZ82" s="89">
        <v>0</v>
      </c>
      <c r="BA82" s="81">
        <v>7.4999750102803561E-2</v>
      </c>
      <c r="BB82" s="79">
        <v>1562217.02</v>
      </c>
      <c r="BC82" s="79">
        <v>3112815.05</v>
      </c>
      <c r="BD82" s="80">
        <v>219587</v>
      </c>
      <c r="BE82" s="80">
        <v>2.91038304567337E-11</v>
      </c>
      <c r="BF82" s="80">
        <v>477464.06000000099</v>
      </c>
      <c r="BG82" s="80">
        <v>0</v>
      </c>
      <c r="BH82" s="80">
        <v>0</v>
      </c>
      <c r="BI82" s="80">
        <v>0</v>
      </c>
      <c r="BJ82" s="80">
        <f t="shared" si="18"/>
        <v>0</v>
      </c>
      <c r="BK82" s="80">
        <v>0</v>
      </c>
      <c r="BL82" s="80">
        <v>3451</v>
      </c>
      <c r="BM82" s="80">
        <v>1290</v>
      </c>
      <c r="BN82" s="79">
        <v>35</v>
      </c>
      <c r="BO82" s="79">
        <v>-67</v>
      </c>
      <c r="BP82" s="79">
        <v>-32</v>
      </c>
      <c r="BQ82" s="79">
        <v>-65</v>
      </c>
      <c r="BR82" s="79">
        <v>-277</v>
      </c>
      <c r="BS82" s="79">
        <v>-315</v>
      </c>
      <c r="BT82" s="79">
        <v>32</v>
      </c>
      <c r="BU82" s="79">
        <v>-2</v>
      </c>
      <c r="BV82" s="79">
        <v>0</v>
      </c>
      <c r="BW82" s="79">
        <v>-586</v>
      </c>
      <c r="BX82" s="79">
        <v>-5</v>
      </c>
      <c r="BY82" s="79">
        <v>3459</v>
      </c>
      <c r="BZ82" s="79">
        <v>22</v>
      </c>
      <c r="CA82" s="79">
        <v>216</v>
      </c>
      <c r="CB82" s="79">
        <v>68</v>
      </c>
      <c r="CC82" s="79">
        <v>278</v>
      </c>
      <c r="CD82" s="79">
        <v>23</v>
      </c>
      <c r="CE82" s="79">
        <v>6</v>
      </c>
    </row>
    <row r="83" spans="1:83" s="58" customFormat="1" ht="15.6" customHeight="1" x14ac:dyDescent="0.25">
      <c r="A83" s="50">
        <v>9</v>
      </c>
      <c r="B83" s="50" t="s">
        <v>291</v>
      </c>
      <c r="C83" s="77" t="s">
        <v>292</v>
      </c>
      <c r="D83" s="50" t="s">
        <v>293</v>
      </c>
      <c r="E83" s="50" t="s">
        <v>122</v>
      </c>
      <c r="F83" s="50" t="s">
        <v>287</v>
      </c>
      <c r="G83" s="88">
        <v>49170093.280000001</v>
      </c>
      <c r="H83" s="88">
        <v>0</v>
      </c>
      <c r="I83" s="88">
        <v>905578.32000000007</v>
      </c>
      <c r="J83" s="88">
        <v>0</v>
      </c>
      <c r="K83" s="89">
        <v>0</v>
      </c>
      <c r="L83" s="89">
        <v>50075671.600000001</v>
      </c>
      <c r="M83" s="89">
        <v>0</v>
      </c>
      <c r="N83" s="88">
        <v>17315168.489999998</v>
      </c>
      <c r="O83" s="88">
        <v>3074867.83</v>
      </c>
      <c r="P83" s="90">
        <v>11446354.890000001</v>
      </c>
      <c r="Q83" s="88">
        <v>0</v>
      </c>
      <c r="R83" s="88">
        <v>2454653.2400000002</v>
      </c>
      <c r="S83" s="88">
        <v>9207490.8499999996</v>
      </c>
      <c r="T83" s="88">
        <v>3278105.57</v>
      </c>
      <c r="U83" s="88">
        <v>0</v>
      </c>
      <c r="V83" s="88">
        <v>0</v>
      </c>
      <c r="W83" s="88">
        <v>1456872.65</v>
      </c>
      <c r="X83" s="89">
        <v>2382785.41</v>
      </c>
      <c r="Y83" s="89">
        <v>50616298.93</v>
      </c>
      <c r="Z83" s="81">
        <v>0.12701217413675811</v>
      </c>
      <c r="AA83" s="89">
        <v>2337178.06</v>
      </c>
      <c r="AB83" s="89">
        <v>0</v>
      </c>
      <c r="AC83" s="89">
        <v>0</v>
      </c>
      <c r="AD83" s="89">
        <v>0</v>
      </c>
      <c r="AE83" s="89">
        <v>0</v>
      </c>
      <c r="AF83" s="89">
        <f t="shared" si="16"/>
        <v>0</v>
      </c>
      <c r="AG83" s="89">
        <v>1045483.49</v>
      </c>
      <c r="AH83" s="88">
        <v>83087.55</v>
      </c>
      <c r="AI83" s="88">
        <v>357188.36</v>
      </c>
      <c r="AJ83" s="89">
        <v>0</v>
      </c>
      <c r="AK83" s="88">
        <v>216942.12</v>
      </c>
      <c r="AL83" s="88">
        <v>12638.43</v>
      </c>
      <c r="AM83" s="88">
        <v>74241.75</v>
      </c>
      <c r="AN83" s="88">
        <v>11700</v>
      </c>
      <c r="AO83" s="88">
        <v>11581.46</v>
      </c>
      <c r="AP83" s="88">
        <v>41234.76</v>
      </c>
      <c r="AQ83" s="88">
        <v>78892</v>
      </c>
      <c r="AR83" s="88">
        <v>32451.63</v>
      </c>
      <c r="AS83" s="88">
        <v>38020.32</v>
      </c>
      <c r="AT83" s="88">
        <v>24099.52</v>
      </c>
      <c r="AU83" s="88">
        <v>70229.429999999993</v>
      </c>
      <c r="AV83" s="88">
        <v>104219.59</v>
      </c>
      <c r="AW83" s="88">
        <v>2202010.41</v>
      </c>
      <c r="AX83" s="88">
        <v>0</v>
      </c>
      <c r="AY83" s="81">
        <f t="shared" si="17"/>
        <v>0</v>
      </c>
      <c r="AZ83" s="89">
        <v>0</v>
      </c>
      <c r="BA83" s="81">
        <v>4.7532512226301803E-2</v>
      </c>
      <c r="BB83" s="79">
        <v>1387698.74</v>
      </c>
      <c r="BC83" s="79">
        <v>4857501.71</v>
      </c>
      <c r="BD83" s="80">
        <v>216829</v>
      </c>
      <c r="BE83" s="80">
        <v>5.8207660913467401E-11</v>
      </c>
      <c r="BF83" s="80">
        <v>435112.82999999903</v>
      </c>
      <c r="BG83" s="80">
        <v>0</v>
      </c>
      <c r="BH83" s="80">
        <v>0</v>
      </c>
      <c r="BI83" s="80">
        <v>0</v>
      </c>
      <c r="BJ83" s="80">
        <f t="shared" si="18"/>
        <v>0</v>
      </c>
      <c r="BK83" s="80">
        <v>0</v>
      </c>
      <c r="BL83" s="80">
        <v>4047</v>
      </c>
      <c r="BM83" s="80">
        <v>1288</v>
      </c>
      <c r="BN83" s="79">
        <v>1</v>
      </c>
      <c r="BO83" s="79">
        <v>0</v>
      </c>
      <c r="BP83" s="79">
        <v>-22</v>
      </c>
      <c r="BQ83" s="79">
        <v>-84</v>
      </c>
      <c r="BR83" s="79">
        <v>-256</v>
      </c>
      <c r="BS83" s="79">
        <v>-377</v>
      </c>
      <c r="BT83" s="79">
        <v>0</v>
      </c>
      <c r="BU83" s="79">
        <v>0</v>
      </c>
      <c r="BV83" s="79">
        <v>479</v>
      </c>
      <c r="BW83" s="79">
        <v>-751</v>
      </c>
      <c r="BX83" s="79">
        <v>-2</v>
      </c>
      <c r="BY83" s="79">
        <v>4323</v>
      </c>
      <c r="BZ83" s="79">
        <v>11</v>
      </c>
      <c r="CA83" s="79">
        <v>194</v>
      </c>
      <c r="CB83" s="79">
        <v>86</v>
      </c>
      <c r="CC83" s="79">
        <v>459</v>
      </c>
      <c r="CD83" s="79">
        <v>3</v>
      </c>
      <c r="CE83" s="79">
        <v>9</v>
      </c>
    </row>
    <row r="84" spans="1:83" s="58" customFormat="1" ht="15.6" customHeight="1" x14ac:dyDescent="0.25">
      <c r="A84" s="50">
        <v>9</v>
      </c>
      <c r="B84" s="42" t="s">
        <v>294</v>
      </c>
      <c r="C84" s="78" t="s">
        <v>295</v>
      </c>
      <c r="D84" s="50" t="s">
        <v>296</v>
      </c>
      <c r="E84" s="50" t="s">
        <v>116</v>
      </c>
      <c r="F84" s="50" t="s">
        <v>283</v>
      </c>
      <c r="G84" s="88">
        <v>22745733.719999999</v>
      </c>
      <c r="H84" s="88">
        <v>0</v>
      </c>
      <c r="I84" s="88">
        <v>243767.84</v>
      </c>
      <c r="J84" s="88">
        <v>0</v>
      </c>
      <c r="K84" s="89">
        <v>0</v>
      </c>
      <c r="L84" s="89">
        <v>22989501.559999999</v>
      </c>
      <c r="M84" s="89">
        <v>0</v>
      </c>
      <c r="N84" s="88">
        <v>7549377.4100000001</v>
      </c>
      <c r="O84" s="88">
        <v>884067.19</v>
      </c>
      <c r="P84" s="90">
        <v>3632652.32</v>
      </c>
      <c r="Q84" s="88">
        <v>19258.03</v>
      </c>
      <c r="R84" s="88">
        <v>1101126.56</v>
      </c>
      <c r="S84" s="88">
        <v>5587772.96</v>
      </c>
      <c r="T84" s="88">
        <v>1976915.54</v>
      </c>
      <c r="U84" s="88">
        <v>0</v>
      </c>
      <c r="V84" s="88">
        <v>0</v>
      </c>
      <c r="W84" s="88">
        <v>749206.79</v>
      </c>
      <c r="X84" s="89">
        <v>1807212.2899999998</v>
      </c>
      <c r="Y84" s="89">
        <v>23307589.09</v>
      </c>
      <c r="Z84" s="81">
        <v>0.12327276114793145</v>
      </c>
      <c r="AA84" s="89">
        <v>1705924.9</v>
      </c>
      <c r="AB84" s="89">
        <v>0</v>
      </c>
      <c r="AC84" s="89">
        <v>0</v>
      </c>
      <c r="AD84" s="89">
        <v>0</v>
      </c>
      <c r="AE84" s="89">
        <v>0</v>
      </c>
      <c r="AF84" s="89">
        <f t="shared" si="16"/>
        <v>0</v>
      </c>
      <c r="AG84" s="89">
        <v>877296.9</v>
      </c>
      <c r="AH84" s="88">
        <v>78273.3</v>
      </c>
      <c r="AI84" s="88">
        <v>193240.8</v>
      </c>
      <c r="AJ84" s="89">
        <v>10835.15</v>
      </c>
      <c r="AK84" s="88">
        <v>72480.78</v>
      </c>
      <c r="AL84" s="88">
        <v>2208.09</v>
      </c>
      <c r="AM84" s="88">
        <v>136263.72</v>
      </c>
      <c r="AN84" s="88">
        <v>7690</v>
      </c>
      <c r="AO84" s="88">
        <v>2500</v>
      </c>
      <c r="AP84" s="88">
        <v>0</v>
      </c>
      <c r="AQ84" s="88">
        <v>34232.03</v>
      </c>
      <c r="AR84" s="88">
        <v>17853.2</v>
      </c>
      <c r="AS84" s="88">
        <v>2941.81</v>
      </c>
      <c r="AT84" s="88">
        <v>45881.02</v>
      </c>
      <c r="AU84" s="88">
        <v>18381.14</v>
      </c>
      <c r="AV84" s="88">
        <v>57696.43</v>
      </c>
      <c r="AW84" s="88">
        <v>1557774.37</v>
      </c>
      <c r="AX84" s="88">
        <v>0</v>
      </c>
      <c r="AY84" s="81">
        <f t="shared" si="17"/>
        <v>0</v>
      </c>
      <c r="AZ84" s="89">
        <v>0</v>
      </c>
      <c r="BA84" s="81">
        <v>7.4999774507164149E-2</v>
      </c>
      <c r="BB84" s="79">
        <v>219124.1</v>
      </c>
      <c r="BC84" s="79">
        <v>2584805.2999999998</v>
      </c>
      <c r="BD84" s="80">
        <v>219587</v>
      </c>
      <c r="BE84" s="80">
        <v>2.91038304567337E-11</v>
      </c>
      <c r="BF84" s="80">
        <v>130892.18</v>
      </c>
      <c r="BG84" s="80">
        <v>0</v>
      </c>
      <c r="BH84" s="80">
        <v>0</v>
      </c>
      <c r="BI84" s="80">
        <v>0</v>
      </c>
      <c r="BJ84" s="80">
        <f t="shared" si="18"/>
        <v>0</v>
      </c>
      <c r="BK84" s="80">
        <v>0</v>
      </c>
      <c r="BL84" s="80">
        <v>2027</v>
      </c>
      <c r="BM84" s="80">
        <v>605</v>
      </c>
      <c r="BN84" s="79">
        <v>2</v>
      </c>
      <c r="BO84" s="79">
        <v>0</v>
      </c>
      <c r="BP84" s="79">
        <v>-21</v>
      </c>
      <c r="BQ84" s="79">
        <v>-39</v>
      </c>
      <c r="BR84" s="79">
        <v>-119</v>
      </c>
      <c r="BS84" s="79">
        <v>-175</v>
      </c>
      <c r="BT84" s="79">
        <v>0</v>
      </c>
      <c r="BU84" s="79">
        <v>0</v>
      </c>
      <c r="BV84" s="79">
        <v>15</v>
      </c>
      <c r="BW84" s="79">
        <v>-423</v>
      </c>
      <c r="BX84" s="79">
        <v>-3</v>
      </c>
      <c r="BY84" s="79">
        <v>1869</v>
      </c>
      <c r="BZ84" s="79">
        <v>9</v>
      </c>
      <c r="CA84" s="79">
        <v>143</v>
      </c>
      <c r="CB84" s="79">
        <v>44</v>
      </c>
      <c r="CC84" s="79">
        <v>200</v>
      </c>
      <c r="CD84" s="79">
        <v>32</v>
      </c>
      <c r="CE84" s="79">
        <v>4</v>
      </c>
    </row>
    <row r="85" spans="1:83" s="58" customFormat="1" ht="15.6" customHeight="1" x14ac:dyDescent="0.25">
      <c r="A85" s="50">
        <v>9</v>
      </c>
      <c r="B85" s="50" t="s">
        <v>297</v>
      </c>
      <c r="C85" s="77" t="s">
        <v>111</v>
      </c>
      <c r="D85" s="50" t="s">
        <v>298</v>
      </c>
      <c r="E85" s="50" t="s">
        <v>104</v>
      </c>
      <c r="F85" s="50" t="s">
        <v>287</v>
      </c>
      <c r="G85" s="88">
        <v>12818695.619999999</v>
      </c>
      <c r="H85" s="88">
        <v>0</v>
      </c>
      <c r="I85" s="88">
        <v>219727.78</v>
      </c>
      <c r="J85" s="88">
        <v>0</v>
      </c>
      <c r="K85" s="89">
        <v>0</v>
      </c>
      <c r="L85" s="89">
        <v>13038423.4</v>
      </c>
      <c r="M85" s="89">
        <v>0</v>
      </c>
      <c r="N85" s="88">
        <v>194032.99</v>
      </c>
      <c r="O85" s="88">
        <v>455956.9</v>
      </c>
      <c r="P85" s="90">
        <v>4306301.53</v>
      </c>
      <c r="Q85" s="88">
        <v>14359.89</v>
      </c>
      <c r="R85" s="88">
        <v>526495.34</v>
      </c>
      <c r="S85" s="88">
        <v>4264494.9000000004</v>
      </c>
      <c r="T85" s="88">
        <v>1577223.19</v>
      </c>
      <c r="U85" s="88">
        <v>0</v>
      </c>
      <c r="V85" s="88">
        <v>0</v>
      </c>
      <c r="W85" s="88">
        <v>285857.46999999997</v>
      </c>
      <c r="X85" s="89">
        <v>1281946.5900000001</v>
      </c>
      <c r="Y85" s="89">
        <v>12906668.800000001</v>
      </c>
      <c r="Z85" s="81">
        <v>3.9024220156964849E-2</v>
      </c>
      <c r="AA85" s="89">
        <v>1281946.5900000001</v>
      </c>
      <c r="AB85" s="89">
        <v>0</v>
      </c>
      <c r="AC85" s="89">
        <v>0</v>
      </c>
      <c r="AD85" s="89">
        <v>0</v>
      </c>
      <c r="AE85" s="89">
        <v>0</v>
      </c>
      <c r="AF85" s="89">
        <f t="shared" si="16"/>
        <v>0</v>
      </c>
      <c r="AG85" s="89">
        <v>605809.76</v>
      </c>
      <c r="AH85" s="88">
        <v>48635.33</v>
      </c>
      <c r="AI85" s="88">
        <v>102275.12</v>
      </c>
      <c r="AJ85" s="89">
        <v>0</v>
      </c>
      <c r="AK85" s="88">
        <v>68488.84</v>
      </c>
      <c r="AL85" s="88">
        <v>5117.2</v>
      </c>
      <c r="AM85" s="88">
        <v>40994.269999999997</v>
      </c>
      <c r="AN85" s="88">
        <v>11700</v>
      </c>
      <c r="AO85" s="88">
        <v>2500</v>
      </c>
      <c r="AP85" s="88">
        <v>0</v>
      </c>
      <c r="AQ85" s="88">
        <v>33573.4</v>
      </c>
      <c r="AR85" s="88">
        <v>1540.04</v>
      </c>
      <c r="AS85" s="88">
        <v>0</v>
      </c>
      <c r="AT85" s="88">
        <v>17149.28</v>
      </c>
      <c r="AU85" s="88">
        <v>12000</v>
      </c>
      <c r="AV85" s="88">
        <v>30395.19</v>
      </c>
      <c r="AW85" s="88">
        <v>980178.43</v>
      </c>
      <c r="AX85" s="88">
        <v>0</v>
      </c>
      <c r="AY85" s="81">
        <f t="shared" si="17"/>
        <v>0</v>
      </c>
      <c r="AZ85" s="89">
        <v>0</v>
      </c>
      <c r="BA85" s="81">
        <v>0.10000600903573059</v>
      </c>
      <c r="BB85" s="79">
        <v>294285.42</v>
      </c>
      <c r="BC85" s="79">
        <v>205954.18</v>
      </c>
      <c r="BD85" s="80">
        <v>219587</v>
      </c>
      <c r="BE85" s="80">
        <v>0</v>
      </c>
      <c r="BF85" s="80">
        <v>231394.59</v>
      </c>
      <c r="BG85" s="80">
        <v>0</v>
      </c>
      <c r="BH85" s="80">
        <v>0</v>
      </c>
      <c r="BI85" s="80">
        <v>0</v>
      </c>
      <c r="BJ85" s="80">
        <f t="shared" si="18"/>
        <v>0</v>
      </c>
      <c r="BK85" s="80">
        <v>0</v>
      </c>
      <c r="BL85" s="80">
        <v>1668</v>
      </c>
      <c r="BM85" s="80">
        <v>650</v>
      </c>
      <c r="BN85" s="79">
        <v>0</v>
      </c>
      <c r="BO85" s="79">
        <v>0</v>
      </c>
      <c r="BP85" s="79">
        <v>-11</v>
      </c>
      <c r="BQ85" s="79">
        <v>-30</v>
      </c>
      <c r="BR85" s="79">
        <v>-43</v>
      </c>
      <c r="BS85" s="79">
        <v>-168</v>
      </c>
      <c r="BT85" s="79">
        <v>0</v>
      </c>
      <c r="BU85" s="79">
        <v>0</v>
      </c>
      <c r="BV85" s="79">
        <v>0</v>
      </c>
      <c r="BW85" s="79">
        <v>-311</v>
      </c>
      <c r="BX85" s="79">
        <v>0</v>
      </c>
      <c r="BY85" s="79">
        <v>1755</v>
      </c>
      <c r="BZ85" s="79">
        <v>2</v>
      </c>
      <c r="CA85" s="79">
        <v>113</v>
      </c>
      <c r="CB85" s="79">
        <v>57</v>
      </c>
      <c r="CC85" s="79">
        <v>138</v>
      </c>
      <c r="CD85" s="79">
        <v>6</v>
      </c>
      <c r="CE85" s="79">
        <v>1</v>
      </c>
    </row>
    <row r="86" spans="1:83" s="58" customFormat="1" ht="15.6" customHeight="1" x14ac:dyDescent="0.25">
      <c r="A86" s="50">
        <v>9</v>
      </c>
      <c r="B86" s="50" t="s">
        <v>571</v>
      </c>
      <c r="C86" s="50" t="s">
        <v>574</v>
      </c>
      <c r="D86" s="50" t="s">
        <v>316</v>
      </c>
      <c r="E86" s="50" t="s">
        <v>104</v>
      </c>
      <c r="F86" s="50" t="s">
        <v>287</v>
      </c>
      <c r="G86" s="88">
        <v>46381722.850000001</v>
      </c>
      <c r="H86" s="88">
        <v>0</v>
      </c>
      <c r="I86" s="88">
        <v>1494055.5</v>
      </c>
      <c r="J86" s="88">
        <v>0</v>
      </c>
      <c r="K86" s="89">
        <v>0</v>
      </c>
      <c r="L86" s="89">
        <v>47875778.350000001</v>
      </c>
      <c r="M86" s="89">
        <v>0</v>
      </c>
      <c r="N86" s="88">
        <v>13772468.4</v>
      </c>
      <c r="O86" s="88">
        <v>2917233.73</v>
      </c>
      <c r="P86" s="90">
        <v>11636416.42</v>
      </c>
      <c r="Q86" s="88">
        <v>2932.21</v>
      </c>
      <c r="R86" s="88">
        <v>1887856.43</v>
      </c>
      <c r="S86" s="88">
        <v>11126675.460000001</v>
      </c>
      <c r="T86" s="88">
        <v>2586366.5499999998</v>
      </c>
      <c r="U86" s="88">
        <v>0</v>
      </c>
      <c r="V86" s="88">
        <v>0</v>
      </c>
      <c r="W86" s="88">
        <v>1785539.3</v>
      </c>
      <c r="X86" s="89">
        <v>2445606.83</v>
      </c>
      <c r="Y86" s="89">
        <v>48161095.329999998</v>
      </c>
      <c r="Z86" s="81">
        <v>2.8713953431766491E-2</v>
      </c>
      <c r="AA86" s="89">
        <v>2415801.66</v>
      </c>
      <c r="AB86" s="89">
        <v>0</v>
      </c>
      <c r="AC86" s="89">
        <v>0</v>
      </c>
      <c r="AD86" s="89">
        <v>0</v>
      </c>
      <c r="AE86" s="89">
        <v>0</v>
      </c>
      <c r="AF86" s="89">
        <f t="shared" si="16"/>
        <v>0</v>
      </c>
      <c r="AG86" s="89">
        <v>1200864.5900000001</v>
      </c>
      <c r="AH86" s="88">
        <v>91631.06</v>
      </c>
      <c r="AI86" s="88">
        <v>315051.69</v>
      </c>
      <c r="AJ86" s="89">
        <v>0</v>
      </c>
      <c r="AK86" s="88">
        <v>238297.73</v>
      </c>
      <c r="AL86" s="88">
        <v>15297.56</v>
      </c>
      <c r="AM86" s="88">
        <v>130813.64</v>
      </c>
      <c r="AN86" s="88">
        <v>11700</v>
      </c>
      <c r="AO86" s="88">
        <v>4083.28</v>
      </c>
      <c r="AP86" s="88">
        <v>0</v>
      </c>
      <c r="AQ86" s="88">
        <v>46556.56</v>
      </c>
      <c r="AR86" s="88">
        <v>29392.03</v>
      </c>
      <c r="AS86" s="88">
        <v>1635</v>
      </c>
      <c r="AT86" s="88">
        <v>6238.27</v>
      </c>
      <c r="AU86" s="88">
        <v>94185.71</v>
      </c>
      <c r="AV86" s="88">
        <v>51486.11</v>
      </c>
      <c r="AW86" s="88">
        <v>2237233.23</v>
      </c>
      <c r="AX86" s="88">
        <v>0</v>
      </c>
      <c r="AY86" s="81">
        <f t="shared" si="17"/>
        <v>0</v>
      </c>
      <c r="AZ86" s="89">
        <v>0</v>
      </c>
      <c r="BA86" s="81">
        <v>5.208520752479983E-2</v>
      </c>
      <c r="BB86" s="79">
        <v>620435.02</v>
      </c>
      <c r="BC86" s="79">
        <v>711367.61</v>
      </c>
      <c r="BD86" s="80">
        <v>216829</v>
      </c>
      <c r="BE86" s="80">
        <v>0</v>
      </c>
      <c r="BF86" s="80">
        <v>257407.93</v>
      </c>
      <c r="BG86" s="80">
        <v>0</v>
      </c>
      <c r="BH86" s="80">
        <v>0</v>
      </c>
      <c r="BI86" s="80">
        <v>0</v>
      </c>
      <c r="BJ86" s="80">
        <f t="shared" si="18"/>
        <v>0</v>
      </c>
      <c r="BK86" s="80">
        <v>0</v>
      </c>
      <c r="BL86" s="80">
        <v>4328</v>
      </c>
      <c r="BM86" s="80">
        <v>1805</v>
      </c>
      <c r="BN86" s="79">
        <v>155</v>
      </c>
      <c r="BO86" s="79">
        <v>-14</v>
      </c>
      <c r="BP86" s="79">
        <v>-65</v>
      </c>
      <c r="BQ86" s="79">
        <v>-152</v>
      </c>
      <c r="BR86" s="79">
        <v>-472</v>
      </c>
      <c r="BS86" s="79">
        <v>-532</v>
      </c>
      <c r="BT86" s="79">
        <v>0</v>
      </c>
      <c r="BU86" s="79">
        <v>-21</v>
      </c>
      <c r="BV86" s="79">
        <v>0</v>
      </c>
      <c r="BW86" s="79">
        <v>-750</v>
      </c>
      <c r="BX86" s="79">
        <v>-6</v>
      </c>
      <c r="BY86" s="79">
        <v>4276</v>
      </c>
      <c r="BZ86" s="79">
        <v>34</v>
      </c>
      <c r="CA86" s="79">
        <v>368</v>
      </c>
      <c r="CB86" s="79">
        <v>86</v>
      </c>
      <c r="CC86" s="79">
        <v>238</v>
      </c>
      <c r="CD86" s="79">
        <v>53</v>
      </c>
      <c r="CE86" s="79">
        <v>1</v>
      </c>
    </row>
    <row r="87" spans="1:83" s="58" customFormat="1" ht="15.6" customHeight="1" x14ac:dyDescent="0.25">
      <c r="A87" s="50">
        <v>9</v>
      </c>
      <c r="B87" s="50" t="s">
        <v>299</v>
      </c>
      <c r="C87" s="77" t="s">
        <v>120</v>
      </c>
      <c r="D87" s="50" t="s">
        <v>300</v>
      </c>
      <c r="E87" s="50" t="s">
        <v>122</v>
      </c>
      <c r="F87" s="50" t="s">
        <v>287</v>
      </c>
      <c r="G87" s="89">
        <v>42048059.200000003</v>
      </c>
      <c r="H87" s="89">
        <v>620424.86</v>
      </c>
      <c r="I87" s="89">
        <v>0</v>
      </c>
      <c r="J87" s="89">
        <v>0</v>
      </c>
      <c r="K87" s="89">
        <v>26191.35</v>
      </c>
      <c r="L87" s="89">
        <v>42694675.409999996</v>
      </c>
      <c r="M87" s="89">
        <v>0</v>
      </c>
      <c r="N87" s="89">
        <v>13369399.220000001</v>
      </c>
      <c r="O87" s="89">
        <v>2002535.65</v>
      </c>
      <c r="P87" s="89">
        <v>11531840.57</v>
      </c>
      <c r="Q87" s="89">
        <v>45237.73</v>
      </c>
      <c r="R87" s="89">
        <v>1677022.83</v>
      </c>
      <c r="S87" s="89">
        <v>7415634.1500000004</v>
      </c>
      <c r="T87" s="89">
        <v>2847871.52</v>
      </c>
      <c r="U87" s="89">
        <v>0</v>
      </c>
      <c r="V87" s="89">
        <v>0</v>
      </c>
      <c r="W87" s="89">
        <v>1220352.23</v>
      </c>
      <c r="X87" s="89">
        <v>2797354.12</v>
      </c>
      <c r="Y87" s="89">
        <v>42907248.020000003</v>
      </c>
      <c r="Z87" s="81">
        <v>0.12029076244617817</v>
      </c>
      <c r="AA87" s="89">
        <v>2771162.77</v>
      </c>
      <c r="AB87" s="89">
        <v>0</v>
      </c>
      <c r="AC87" s="89">
        <v>0</v>
      </c>
      <c r="AD87" s="89">
        <v>26191.35</v>
      </c>
      <c r="AE87" s="89">
        <v>0</v>
      </c>
      <c r="AF87" s="89">
        <f t="shared" si="16"/>
        <v>26191.35</v>
      </c>
      <c r="AG87" s="89">
        <v>1492802.45</v>
      </c>
      <c r="AH87" s="89">
        <v>110757</v>
      </c>
      <c r="AI87" s="89">
        <v>379108.94</v>
      </c>
      <c r="AJ87" s="89">
        <v>0</v>
      </c>
      <c r="AK87" s="89">
        <v>184587.86</v>
      </c>
      <c r="AL87" s="89">
        <v>19646.689999999999</v>
      </c>
      <c r="AM87" s="89">
        <v>67392.2</v>
      </c>
      <c r="AN87" s="89">
        <v>11700</v>
      </c>
      <c r="AO87" s="89">
        <v>0</v>
      </c>
      <c r="AP87" s="89">
        <v>14994.56</v>
      </c>
      <c r="AQ87" s="89">
        <v>125602.42</v>
      </c>
      <c r="AR87" s="89">
        <v>39330.1</v>
      </c>
      <c r="AS87" s="89">
        <v>2620</v>
      </c>
      <c r="AT87" s="89">
        <v>72572.23</v>
      </c>
      <c r="AU87" s="89">
        <v>104062.94</v>
      </c>
      <c r="AV87" s="89">
        <v>90857.41</v>
      </c>
      <c r="AW87" s="89">
        <v>2716034.8</v>
      </c>
      <c r="AX87" s="89">
        <v>0</v>
      </c>
      <c r="AY87" s="81">
        <f t="shared" si="17"/>
        <v>0</v>
      </c>
      <c r="AZ87" s="89">
        <v>0</v>
      </c>
      <c r="BA87" s="81">
        <v>6.590465345425503E-2</v>
      </c>
      <c r="BB87" s="80">
        <v>486468.66</v>
      </c>
      <c r="BC87" s="80">
        <v>4646155.82</v>
      </c>
      <c r="BD87" s="80">
        <v>219587</v>
      </c>
      <c r="BE87" s="80">
        <v>0</v>
      </c>
      <c r="BF87" s="80">
        <v>519238.96</v>
      </c>
      <c r="BG87" s="80">
        <v>0</v>
      </c>
      <c r="BH87" s="80">
        <v>0</v>
      </c>
      <c r="BI87" s="80">
        <v>0</v>
      </c>
      <c r="BJ87" s="80">
        <f t="shared" si="18"/>
        <v>0</v>
      </c>
      <c r="BK87" s="80">
        <v>0</v>
      </c>
      <c r="BL87" s="80">
        <v>4298</v>
      </c>
      <c r="BM87" s="80">
        <v>1208</v>
      </c>
      <c r="BN87" s="80">
        <v>0</v>
      </c>
      <c r="BO87" s="80">
        <v>0</v>
      </c>
      <c r="BP87" s="80">
        <v>-18</v>
      </c>
      <c r="BQ87" s="80">
        <v>-69</v>
      </c>
      <c r="BR87" s="80">
        <v>-148</v>
      </c>
      <c r="BS87" s="80">
        <v>-345</v>
      </c>
      <c r="BT87" s="80">
        <v>10</v>
      </c>
      <c r="BU87" s="80">
        <v>0</v>
      </c>
      <c r="BV87" s="80">
        <v>1</v>
      </c>
      <c r="BW87" s="80">
        <v>-795</v>
      </c>
      <c r="BX87" s="80">
        <v>0</v>
      </c>
      <c r="BY87" s="80">
        <v>4142</v>
      </c>
      <c r="BZ87" s="80">
        <v>20</v>
      </c>
      <c r="CA87" s="80">
        <v>140</v>
      </c>
      <c r="CB87" s="80">
        <v>71</v>
      </c>
      <c r="CC87" s="80">
        <v>442</v>
      </c>
      <c r="CD87" s="80">
        <v>138</v>
      </c>
      <c r="CE87" s="80">
        <v>4</v>
      </c>
    </row>
    <row r="88" spans="1:83" s="58" customFormat="1" ht="15.6" customHeight="1" x14ac:dyDescent="0.25">
      <c r="A88" s="50">
        <v>9</v>
      </c>
      <c r="B88" s="50" t="s">
        <v>301</v>
      </c>
      <c r="C88" s="77" t="s">
        <v>174</v>
      </c>
      <c r="D88" s="50" t="s">
        <v>302</v>
      </c>
      <c r="E88" s="50" t="s">
        <v>109</v>
      </c>
      <c r="F88" s="50" t="s">
        <v>283</v>
      </c>
      <c r="G88" s="88">
        <v>19642562.18</v>
      </c>
      <c r="H88" s="88">
        <v>1457.57</v>
      </c>
      <c r="I88" s="88">
        <v>480759.86</v>
      </c>
      <c r="J88" s="88">
        <v>0</v>
      </c>
      <c r="K88" s="89">
        <v>0</v>
      </c>
      <c r="L88" s="89">
        <v>20124779.609999999</v>
      </c>
      <c r="M88" s="89">
        <v>0</v>
      </c>
      <c r="N88" s="88">
        <v>6499520.2599999998</v>
      </c>
      <c r="O88" s="88">
        <v>630532.21</v>
      </c>
      <c r="P88" s="90">
        <v>5345826.51</v>
      </c>
      <c r="Q88" s="88">
        <v>0</v>
      </c>
      <c r="R88" s="88">
        <v>859602.95</v>
      </c>
      <c r="S88" s="88">
        <v>3021419.38</v>
      </c>
      <c r="T88" s="88">
        <v>2426736.46</v>
      </c>
      <c r="U88" s="88">
        <v>0</v>
      </c>
      <c r="V88" s="88">
        <v>0</v>
      </c>
      <c r="W88" s="88">
        <v>486088.39</v>
      </c>
      <c r="X88" s="89">
        <v>1089118.81</v>
      </c>
      <c r="Y88" s="89">
        <v>20358844.969999999</v>
      </c>
      <c r="Z88" s="81">
        <v>3.3044538147544981E-2</v>
      </c>
      <c r="AA88" s="89">
        <v>1079211.3400000001</v>
      </c>
      <c r="AB88" s="89">
        <v>0</v>
      </c>
      <c r="AC88" s="89">
        <v>0</v>
      </c>
      <c r="AD88" s="89">
        <v>0</v>
      </c>
      <c r="AE88" s="89">
        <v>0</v>
      </c>
      <c r="AF88" s="89">
        <f t="shared" si="16"/>
        <v>0</v>
      </c>
      <c r="AG88" s="89">
        <v>436980.23</v>
      </c>
      <c r="AH88" s="88">
        <v>34661.75</v>
      </c>
      <c r="AI88" s="88">
        <v>82073.72</v>
      </c>
      <c r="AJ88" s="89">
        <v>1337.09</v>
      </c>
      <c r="AK88" s="88">
        <v>28512</v>
      </c>
      <c r="AL88" s="88">
        <v>4096.5600000000004</v>
      </c>
      <c r="AM88" s="88">
        <v>64162.22</v>
      </c>
      <c r="AN88" s="88">
        <v>7690</v>
      </c>
      <c r="AO88" s="88">
        <v>22333.4</v>
      </c>
      <c r="AP88" s="88">
        <v>0</v>
      </c>
      <c r="AQ88" s="88">
        <v>51027.659999999996</v>
      </c>
      <c r="AR88" s="88">
        <v>9964.34</v>
      </c>
      <c r="AS88" s="88">
        <v>0</v>
      </c>
      <c r="AT88" s="88">
        <v>33207.269999999997</v>
      </c>
      <c r="AU88" s="88">
        <v>38472.480000000003</v>
      </c>
      <c r="AV88" s="88">
        <v>34524.720000000001</v>
      </c>
      <c r="AW88" s="88">
        <v>849043.44</v>
      </c>
      <c r="AX88" s="88">
        <v>0</v>
      </c>
      <c r="AY88" s="81">
        <f t="shared" si="17"/>
        <v>0</v>
      </c>
      <c r="AZ88" s="89">
        <v>0</v>
      </c>
      <c r="BA88" s="81">
        <v>5.4942493250643744E-2</v>
      </c>
      <c r="BB88" s="79">
        <v>95137.97</v>
      </c>
      <c r="BC88" s="79">
        <v>553989.59</v>
      </c>
      <c r="BD88" s="80">
        <v>219587</v>
      </c>
      <c r="BE88" s="80">
        <v>0</v>
      </c>
      <c r="BF88" s="80">
        <v>159231.61999999901</v>
      </c>
      <c r="BG88" s="80">
        <v>0</v>
      </c>
      <c r="BH88" s="80">
        <v>0</v>
      </c>
      <c r="BI88" s="80">
        <v>0</v>
      </c>
      <c r="BJ88" s="80">
        <f t="shared" si="18"/>
        <v>0</v>
      </c>
      <c r="BK88" s="80">
        <v>0</v>
      </c>
      <c r="BL88" s="80">
        <v>2121</v>
      </c>
      <c r="BM88" s="80">
        <v>570</v>
      </c>
      <c r="BN88" s="79">
        <v>15</v>
      </c>
      <c r="BO88" s="79">
        <v>-10</v>
      </c>
      <c r="BP88" s="79">
        <v>-12</v>
      </c>
      <c r="BQ88" s="79">
        <v>-47</v>
      </c>
      <c r="BR88" s="79">
        <v>-47</v>
      </c>
      <c r="BS88" s="79">
        <v>-128</v>
      </c>
      <c r="BT88" s="79">
        <v>4</v>
      </c>
      <c r="BU88" s="79">
        <v>0</v>
      </c>
      <c r="BV88" s="79">
        <v>2</v>
      </c>
      <c r="BW88" s="79">
        <v>-356</v>
      </c>
      <c r="BX88" s="79">
        <v>-16</v>
      </c>
      <c r="BY88" s="79">
        <v>2096</v>
      </c>
      <c r="BZ88" s="79">
        <v>18</v>
      </c>
      <c r="CA88" s="79">
        <v>47</v>
      </c>
      <c r="CB88" s="79">
        <v>42</v>
      </c>
      <c r="CC88" s="79">
        <v>257</v>
      </c>
      <c r="CD88" s="79">
        <v>9</v>
      </c>
      <c r="CE88" s="79">
        <v>2</v>
      </c>
    </row>
    <row r="89" spans="1:83" s="58" customFormat="1" ht="15.6" customHeight="1" x14ac:dyDescent="0.25">
      <c r="A89" s="50">
        <v>9</v>
      </c>
      <c r="B89" s="50" t="s">
        <v>303</v>
      </c>
      <c r="C89" s="77" t="s">
        <v>304</v>
      </c>
      <c r="D89" s="50" t="s">
        <v>305</v>
      </c>
      <c r="E89" s="50" t="s">
        <v>122</v>
      </c>
      <c r="F89" s="50" t="s">
        <v>287</v>
      </c>
      <c r="G89" s="89">
        <v>51996930.950000003</v>
      </c>
      <c r="H89" s="89">
        <v>117829.28</v>
      </c>
      <c r="I89" s="89">
        <v>1230166.54</v>
      </c>
      <c r="J89" s="89">
        <v>0</v>
      </c>
      <c r="K89" s="89">
        <v>10225.120000000001</v>
      </c>
      <c r="L89" s="89">
        <v>53355151.890000001</v>
      </c>
      <c r="M89" s="89">
        <v>0</v>
      </c>
      <c r="N89" s="89">
        <v>17957457.48</v>
      </c>
      <c r="O89" s="89">
        <v>2716721.09</v>
      </c>
      <c r="P89" s="89">
        <v>13289099.199999999</v>
      </c>
      <c r="Q89" s="89">
        <v>0</v>
      </c>
      <c r="R89" s="89">
        <v>2222929.5699999998</v>
      </c>
      <c r="S89" s="89">
        <v>8551914.5600000005</v>
      </c>
      <c r="T89" s="89">
        <v>3933635.41</v>
      </c>
      <c r="U89" s="89">
        <v>0</v>
      </c>
      <c r="V89" s="89">
        <v>112889.9</v>
      </c>
      <c r="W89" s="89">
        <v>1643999.51</v>
      </c>
      <c r="X89" s="89">
        <v>3295673.03</v>
      </c>
      <c r="Y89" s="89">
        <v>53724319.75</v>
      </c>
      <c r="Z89" s="81">
        <v>5.4880212772304066E-2</v>
      </c>
      <c r="AA89" s="89">
        <v>3249094.07</v>
      </c>
      <c r="AB89" s="89">
        <v>0</v>
      </c>
      <c r="AC89" s="89">
        <v>0</v>
      </c>
      <c r="AD89" s="89">
        <v>10735.94</v>
      </c>
      <c r="AE89" s="89">
        <v>1330.89</v>
      </c>
      <c r="AF89" s="89">
        <f t="shared" si="16"/>
        <v>12066.83</v>
      </c>
      <c r="AG89" s="89">
        <v>1396337.15</v>
      </c>
      <c r="AH89" s="89">
        <v>109616.14</v>
      </c>
      <c r="AI89" s="89">
        <v>444437.99</v>
      </c>
      <c r="AJ89" s="89">
        <v>50</v>
      </c>
      <c r="AK89" s="89">
        <v>323310</v>
      </c>
      <c r="AL89" s="89">
        <v>22458.87</v>
      </c>
      <c r="AM89" s="89">
        <v>71798.600000000006</v>
      </c>
      <c r="AN89" s="89">
        <v>11700</v>
      </c>
      <c r="AO89" s="89">
        <v>-608</v>
      </c>
      <c r="AP89" s="89">
        <v>73170.42</v>
      </c>
      <c r="AQ89" s="89">
        <v>161213.31</v>
      </c>
      <c r="AR89" s="89">
        <v>24313</v>
      </c>
      <c r="AS89" s="89">
        <v>39443.980000000003</v>
      </c>
      <c r="AT89" s="89">
        <v>42070.6</v>
      </c>
      <c r="AU89" s="89">
        <v>132147.46</v>
      </c>
      <c r="AV89" s="89">
        <v>274714</v>
      </c>
      <c r="AW89" s="89">
        <v>3126175.31</v>
      </c>
      <c r="AX89" s="89">
        <v>0</v>
      </c>
      <c r="AY89" s="81">
        <f t="shared" si="17"/>
        <v>0</v>
      </c>
      <c r="AZ89" s="89">
        <v>0</v>
      </c>
      <c r="BA89" s="81">
        <v>6.2486266220679695E-2</v>
      </c>
      <c r="BB89" s="80">
        <v>818427.81</v>
      </c>
      <c r="BC89" s="80">
        <v>2041641.32</v>
      </c>
      <c r="BD89" s="80">
        <v>219587</v>
      </c>
      <c r="BE89" s="80">
        <v>0</v>
      </c>
      <c r="BF89" s="80">
        <v>691211.84999999905</v>
      </c>
      <c r="BG89" s="80">
        <v>0</v>
      </c>
      <c r="BH89" s="80">
        <v>0</v>
      </c>
      <c r="BI89" s="80">
        <v>0</v>
      </c>
      <c r="BJ89" s="80">
        <f t="shared" si="18"/>
        <v>0</v>
      </c>
      <c r="BK89" s="80">
        <v>0</v>
      </c>
      <c r="BL89" s="80">
        <v>4461</v>
      </c>
      <c r="BM89" s="80">
        <v>1449</v>
      </c>
      <c r="BN89" s="80">
        <v>0</v>
      </c>
      <c r="BO89" s="80">
        <v>0</v>
      </c>
      <c r="BP89" s="80">
        <v>-19</v>
      </c>
      <c r="BQ89" s="80">
        <v>-105</v>
      </c>
      <c r="BR89" s="80">
        <v>-251</v>
      </c>
      <c r="BS89" s="80">
        <v>-404</v>
      </c>
      <c r="BT89" s="80">
        <v>0</v>
      </c>
      <c r="BU89" s="80">
        <v>0</v>
      </c>
      <c r="BV89" s="80">
        <v>0</v>
      </c>
      <c r="BW89" s="80">
        <v>-759</v>
      </c>
      <c r="BX89" s="80">
        <v>-3</v>
      </c>
      <c r="BY89" s="80">
        <v>4369</v>
      </c>
      <c r="BZ89" s="80">
        <v>4</v>
      </c>
      <c r="CA89" s="80">
        <v>160</v>
      </c>
      <c r="CB89" s="80">
        <v>61</v>
      </c>
      <c r="CC89" s="80">
        <v>526</v>
      </c>
      <c r="CD89" s="80">
        <v>8</v>
      </c>
      <c r="CE89" s="80">
        <v>4</v>
      </c>
    </row>
    <row r="90" spans="1:83" s="58" customFormat="1" ht="15.6" customHeight="1" x14ac:dyDescent="0.25">
      <c r="A90" s="50">
        <v>9</v>
      </c>
      <c r="B90" s="50" t="s">
        <v>306</v>
      </c>
      <c r="C90" s="77" t="s">
        <v>307</v>
      </c>
      <c r="D90" s="50" t="s">
        <v>308</v>
      </c>
      <c r="E90" s="50" t="s">
        <v>116</v>
      </c>
      <c r="F90" s="50" t="s">
        <v>283</v>
      </c>
      <c r="G90" s="88">
        <v>22600255.77</v>
      </c>
      <c r="H90" s="88">
        <v>0</v>
      </c>
      <c r="I90" s="88">
        <v>667587.94000000006</v>
      </c>
      <c r="J90" s="88">
        <v>0</v>
      </c>
      <c r="K90" s="89">
        <v>4614.66</v>
      </c>
      <c r="L90" s="89">
        <v>23272458.370000001</v>
      </c>
      <c r="M90" s="89">
        <v>0</v>
      </c>
      <c r="N90" s="88">
        <v>7265329.5</v>
      </c>
      <c r="O90" s="88">
        <v>1033343.84</v>
      </c>
      <c r="P90" s="90">
        <v>4506660.74</v>
      </c>
      <c r="Q90" s="88">
        <v>0</v>
      </c>
      <c r="R90" s="88">
        <v>901129.17</v>
      </c>
      <c r="S90" s="88">
        <v>5448252.4299999997</v>
      </c>
      <c r="T90" s="88">
        <v>2021076.68</v>
      </c>
      <c r="U90" s="88">
        <v>0</v>
      </c>
      <c r="V90" s="88">
        <v>0</v>
      </c>
      <c r="W90" s="88">
        <v>946670.22</v>
      </c>
      <c r="X90" s="89">
        <v>1630233.91</v>
      </c>
      <c r="Y90" s="89">
        <v>23752696.489999998</v>
      </c>
      <c r="Z90" s="81">
        <v>0.1011393053805249</v>
      </c>
      <c r="AA90" s="89">
        <v>1498533.91</v>
      </c>
      <c r="AB90" s="89">
        <v>0</v>
      </c>
      <c r="AC90" s="89">
        <v>0</v>
      </c>
      <c r="AD90" s="89">
        <v>4614.66</v>
      </c>
      <c r="AE90" s="89">
        <v>305.91000000000003</v>
      </c>
      <c r="AF90" s="89">
        <f t="shared" si="16"/>
        <v>4920.57</v>
      </c>
      <c r="AG90" s="89">
        <v>675650.59</v>
      </c>
      <c r="AH90" s="88">
        <v>52641.89</v>
      </c>
      <c r="AI90" s="88">
        <v>167946.63</v>
      </c>
      <c r="AJ90" s="89">
        <v>0</v>
      </c>
      <c r="AK90" s="88">
        <v>81217.98</v>
      </c>
      <c r="AL90" s="88">
        <v>1009.8</v>
      </c>
      <c r="AM90" s="88">
        <v>91049.11</v>
      </c>
      <c r="AN90" s="88">
        <v>7690</v>
      </c>
      <c r="AO90" s="88">
        <v>0</v>
      </c>
      <c r="AP90" s="88">
        <v>19.75</v>
      </c>
      <c r="AQ90" s="88">
        <v>34146.620000000003</v>
      </c>
      <c r="AR90" s="88">
        <v>16425.939999999999</v>
      </c>
      <c r="AS90" s="88">
        <v>0</v>
      </c>
      <c r="AT90" s="88">
        <v>32604.55</v>
      </c>
      <c r="AU90" s="88">
        <v>47831.47</v>
      </c>
      <c r="AV90" s="88">
        <v>50505.21</v>
      </c>
      <c r="AW90" s="88">
        <v>1258739.54</v>
      </c>
      <c r="AX90" s="88">
        <v>0</v>
      </c>
      <c r="AY90" s="81">
        <f t="shared" si="17"/>
        <v>0</v>
      </c>
      <c r="AZ90" s="89">
        <v>0</v>
      </c>
      <c r="BA90" s="81">
        <v>6.6306059774296086E-2</v>
      </c>
      <c r="BB90" s="79">
        <v>104513.28</v>
      </c>
      <c r="BC90" s="79">
        <v>2181260.89</v>
      </c>
      <c r="BD90" s="80">
        <v>219587</v>
      </c>
      <c r="BE90" s="80">
        <v>0</v>
      </c>
      <c r="BF90" s="80">
        <v>275759.03999999998</v>
      </c>
      <c r="BG90" s="80">
        <v>0</v>
      </c>
      <c r="BH90" s="80">
        <v>0</v>
      </c>
      <c r="BI90" s="80">
        <v>0</v>
      </c>
      <c r="BJ90" s="80">
        <f t="shared" si="18"/>
        <v>0</v>
      </c>
      <c r="BK90" s="80">
        <v>0</v>
      </c>
      <c r="BL90" s="80">
        <v>2228</v>
      </c>
      <c r="BM90" s="80">
        <v>573</v>
      </c>
      <c r="BN90" s="79">
        <v>1</v>
      </c>
      <c r="BO90" s="79">
        <v>-1</v>
      </c>
      <c r="BP90" s="79">
        <v>-12</v>
      </c>
      <c r="BQ90" s="79">
        <v>-41</v>
      </c>
      <c r="BR90" s="79">
        <v>-103</v>
      </c>
      <c r="BS90" s="79">
        <v>-156</v>
      </c>
      <c r="BT90" s="79">
        <v>5</v>
      </c>
      <c r="BU90" s="79">
        <v>0</v>
      </c>
      <c r="BV90" s="79">
        <v>72</v>
      </c>
      <c r="BW90" s="79">
        <v>-508</v>
      </c>
      <c r="BX90" s="79">
        <v>-1</v>
      </c>
      <c r="BY90" s="79">
        <v>2057</v>
      </c>
      <c r="BZ90" s="79">
        <v>7</v>
      </c>
      <c r="CA90" s="79">
        <v>186</v>
      </c>
      <c r="CB90" s="79">
        <v>39</v>
      </c>
      <c r="CC90" s="79">
        <v>234</v>
      </c>
      <c r="CD90" s="79">
        <v>44</v>
      </c>
      <c r="CE90" s="79">
        <v>7</v>
      </c>
    </row>
    <row r="91" spans="1:83" s="58" customFormat="1" ht="15.6" customHeight="1" x14ac:dyDescent="0.25">
      <c r="A91" s="50">
        <v>9</v>
      </c>
      <c r="B91" s="50" t="s">
        <v>309</v>
      </c>
      <c r="C91" s="77" t="s">
        <v>310</v>
      </c>
      <c r="D91" s="50" t="s">
        <v>311</v>
      </c>
      <c r="E91" s="50" t="s">
        <v>104</v>
      </c>
      <c r="F91" s="50" t="s">
        <v>287</v>
      </c>
      <c r="G91" s="88">
        <v>12505642.4</v>
      </c>
      <c r="H91" s="88">
        <v>297829.55</v>
      </c>
      <c r="I91" s="88">
        <v>44309.32</v>
      </c>
      <c r="J91" s="88">
        <v>0</v>
      </c>
      <c r="K91" s="89">
        <v>0</v>
      </c>
      <c r="L91" s="89">
        <v>12847781.27</v>
      </c>
      <c r="M91" s="89">
        <v>0</v>
      </c>
      <c r="N91" s="88">
        <v>4226756.71</v>
      </c>
      <c r="O91" s="88">
        <v>873307.52</v>
      </c>
      <c r="P91" s="90">
        <v>2543080.31</v>
      </c>
      <c r="Q91" s="88">
        <v>7716.98</v>
      </c>
      <c r="R91" s="88">
        <v>348506.5</v>
      </c>
      <c r="S91" s="88">
        <v>2927704.03</v>
      </c>
      <c r="T91" s="88">
        <v>670631.13</v>
      </c>
      <c r="U91" s="88">
        <v>0</v>
      </c>
      <c r="V91" s="88">
        <v>0</v>
      </c>
      <c r="W91" s="88">
        <v>400149.61</v>
      </c>
      <c r="X91" s="89">
        <v>954744.96</v>
      </c>
      <c r="Y91" s="89">
        <v>12952597.75</v>
      </c>
      <c r="Z91" s="81">
        <v>2.5999255615973604E-2</v>
      </c>
      <c r="AA91" s="89">
        <v>937950.21</v>
      </c>
      <c r="AB91" s="89">
        <v>0</v>
      </c>
      <c r="AC91" s="89">
        <v>0</v>
      </c>
      <c r="AD91" s="89">
        <v>0</v>
      </c>
      <c r="AE91" s="89">
        <v>0</v>
      </c>
      <c r="AF91" s="89">
        <f t="shared" si="16"/>
        <v>0</v>
      </c>
      <c r="AG91" s="89">
        <v>344242.66</v>
      </c>
      <c r="AH91" s="88">
        <v>31604.69</v>
      </c>
      <c r="AI91" s="88">
        <v>93507.44</v>
      </c>
      <c r="AJ91" s="89">
        <v>0</v>
      </c>
      <c r="AK91" s="88">
        <v>70759.839999999997</v>
      </c>
      <c r="AL91" s="88">
        <v>820.68</v>
      </c>
      <c r="AM91" s="88">
        <v>42684.23</v>
      </c>
      <c r="AN91" s="88">
        <v>11700</v>
      </c>
      <c r="AO91" s="88">
        <v>46730.99</v>
      </c>
      <c r="AP91" s="88">
        <v>0</v>
      </c>
      <c r="AQ91" s="88">
        <v>26649.919999999998</v>
      </c>
      <c r="AR91" s="88">
        <v>12014.81</v>
      </c>
      <c r="AS91" s="88">
        <v>1455</v>
      </c>
      <c r="AT91" s="88">
        <v>1489.39</v>
      </c>
      <c r="AU91" s="88">
        <v>23193.84</v>
      </c>
      <c r="AV91" s="88">
        <v>35253.67</v>
      </c>
      <c r="AW91" s="88">
        <v>742107.16</v>
      </c>
      <c r="AX91" s="88">
        <v>0</v>
      </c>
      <c r="AY91" s="81">
        <f t="shared" si="17"/>
        <v>0</v>
      </c>
      <c r="AZ91" s="89">
        <v>0</v>
      </c>
      <c r="BA91" s="81">
        <v>7.500216142435033E-2</v>
      </c>
      <c r="BB91" s="79">
        <v>147368.54</v>
      </c>
      <c r="BC91" s="79">
        <v>185512.2</v>
      </c>
      <c r="BD91" s="80">
        <v>219586.97</v>
      </c>
      <c r="BE91" s="80">
        <v>0</v>
      </c>
      <c r="BF91" s="80">
        <v>144349.35</v>
      </c>
      <c r="BG91" s="80">
        <v>0</v>
      </c>
      <c r="BH91" s="80">
        <v>0</v>
      </c>
      <c r="BI91" s="80">
        <v>0</v>
      </c>
      <c r="BJ91" s="80">
        <f t="shared" si="18"/>
        <v>0</v>
      </c>
      <c r="BK91" s="80">
        <v>0</v>
      </c>
      <c r="BL91" s="80">
        <v>1220</v>
      </c>
      <c r="BM91" s="80">
        <v>447</v>
      </c>
      <c r="BN91" s="79">
        <v>0</v>
      </c>
      <c r="BO91" s="79">
        <v>0</v>
      </c>
      <c r="BP91" s="79">
        <v>-14</v>
      </c>
      <c r="BQ91" s="79">
        <v>-35</v>
      </c>
      <c r="BR91" s="79">
        <v>-71</v>
      </c>
      <c r="BS91" s="79">
        <v>-81</v>
      </c>
      <c r="BT91" s="79">
        <v>0</v>
      </c>
      <c r="BU91" s="79">
        <v>0</v>
      </c>
      <c r="BV91" s="79">
        <v>-1</v>
      </c>
      <c r="BW91" s="79">
        <v>-281</v>
      </c>
      <c r="BX91" s="79">
        <v>0</v>
      </c>
      <c r="BY91" s="79">
        <v>1184</v>
      </c>
      <c r="BZ91" s="79">
        <v>4</v>
      </c>
      <c r="CA91" s="79">
        <v>96</v>
      </c>
      <c r="CB91" s="79">
        <v>32</v>
      </c>
      <c r="CC91" s="79">
        <v>97</v>
      </c>
      <c r="CD91" s="79">
        <v>41</v>
      </c>
      <c r="CE91" s="79">
        <v>3</v>
      </c>
    </row>
    <row r="92" spans="1:83" s="58" customFormat="1" ht="15.6" customHeight="1" x14ac:dyDescent="0.25">
      <c r="A92" s="50">
        <v>9</v>
      </c>
      <c r="B92" s="50" t="s">
        <v>312</v>
      </c>
      <c r="C92" s="78" t="s">
        <v>221</v>
      </c>
      <c r="D92" s="50" t="s">
        <v>313</v>
      </c>
      <c r="E92" s="50" t="s">
        <v>104</v>
      </c>
      <c r="F92" s="50" t="s">
        <v>287</v>
      </c>
      <c r="G92" s="88">
        <v>20984386.219999999</v>
      </c>
      <c r="H92" s="88">
        <v>10417.75</v>
      </c>
      <c r="I92" s="88">
        <v>413672.29</v>
      </c>
      <c r="J92" s="88">
        <v>0</v>
      </c>
      <c r="K92" s="89">
        <v>0</v>
      </c>
      <c r="L92" s="89">
        <v>21408476.260000002</v>
      </c>
      <c r="M92" s="89">
        <v>0</v>
      </c>
      <c r="N92" s="88">
        <v>4304935.7699999996</v>
      </c>
      <c r="O92" s="88">
        <v>1516369.19</v>
      </c>
      <c r="P92" s="90">
        <v>5477121.3899999997</v>
      </c>
      <c r="Q92" s="88">
        <v>0</v>
      </c>
      <c r="R92" s="88">
        <v>645985.93999999994</v>
      </c>
      <c r="S92" s="88">
        <v>5413825.7999999998</v>
      </c>
      <c r="T92" s="88">
        <v>1681267.66</v>
      </c>
      <c r="U92" s="88">
        <v>0</v>
      </c>
      <c r="V92" s="88">
        <v>0</v>
      </c>
      <c r="W92" s="88">
        <v>1216129.52</v>
      </c>
      <c r="X92" s="89">
        <v>1523582.21</v>
      </c>
      <c r="Y92" s="89">
        <v>21779217.48</v>
      </c>
      <c r="Z92" s="81">
        <v>7.2477200652805621E-2</v>
      </c>
      <c r="AA92" s="89">
        <v>1531234.07</v>
      </c>
      <c r="AB92" s="89">
        <v>0</v>
      </c>
      <c r="AC92" s="89">
        <v>0</v>
      </c>
      <c r="AD92" s="89">
        <v>0</v>
      </c>
      <c r="AE92" s="89">
        <v>0</v>
      </c>
      <c r="AF92" s="89">
        <f t="shared" si="16"/>
        <v>0</v>
      </c>
      <c r="AG92" s="89">
        <v>611579.17000000004</v>
      </c>
      <c r="AH92" s="88">
        <v>47060.34</v>
      </c>
      <c r="AI92" s="88">
        <v>180318.07</v>
      </c>
      <c r="AJ92" s="89">
        <v>0</v>
      </c>
      <c r="AK92" s="88">
        <v>103205.35</v>
      </c>
      <c r="AL92" s="88">
        <v>7593.93</v>
      </c>
      <c r="AM92" s="88">
        <v>85672.49</v>
      </c>
      <c r="AN92" s="88">
        <v>11700</v>
      </c>
      <c r="AO92" s="88">
        <v>7894.5</v>
      </c>
      <c r="AP92" s="88">
        <v>16000</v>
      </c>
      <c r="AQ92" s="88">
        <v>34162.019999999997</v>
      </c>
      <c r="AR92" s="88">
        <v>18793.32</v>
      </c>
      <c r="AS92" s="88">
        <v>3098.5</v>
      </c>
      <c r="AT92" s="88">
        <v>89164.09</v>
      </c>
      <c r="AU92" s="88">
        <v>32652.3</v>
      </c>
      <c r="AV92" s="88">
        <v>47710.28</v>
      </c>
      <c r="AW92" s="88">
        <v>1296604.3600000001</v>
      </c>
      <c r="AX92" s="88">
        <v>0</v>
      </c>
      <c r="AY92" s="81">
        <f t="shared" si="17"/>
        <v>0</v>
      </c>
      <c r="AZ92" s="89">
        <v>0</v>
      </c>
      <c r="BA92" s="81">
        <v>7.2970162383906037E-2</v>
      </c>
      <c r="BB92" s="79">
        <v>0</v>
      </c>
      <c r="BC92" s="79">
        <v>1521644.62</v>
      </c>
      <c r="BD92" s="80">
        <v>219587</v>
      </c>
      <c r="BE92" s="80">
        <v>0</v>
      </c>
      <c r="BF92" s="80">
        <v>310627.15999999997</v>
      </c>
      <c r="BG92" s="80">
        <v>0</v>
      </c>
      <c r="BH92" s="80">
        <v>0</v>
      </c>
      <c r="BI92" s="80">
        <v>0</v>
      </c>
      <c r="BJ92" s="80">
        <f t="shared" si="18"/>
        <v>0</v>
      </c>
      <c r="BK92" s="80">
        <v>0</v>
      </c>
      <c r="BL92" s="80">
        <v>2509</v>
      </c>
      <c r="BM92" s="80">
        <v>756</v>
      </c>
      <c r="BN92" s="79">
        <v>2</v>
      </c>
      <c r="BO92" s="79">
        <v>0</v>
      </c>
      <c r="BP92" s="79">
        <v>-16</v>
      </c>
      <c r="BQ92" s="79">
        <v>-48</v>
      </c>
      <c r="BR92" s="79">
        <v>-105</v>
      </c>
      <c r="BS92" s="79">
        <v>-174</v>
      </c>
      <c r="BT92" s="79">
        <v>37</v>
      </c>
      <c r="BU92" s="79">
        <v>-1</v>
      </c>
      <c r="BV92" s="79">
        <v>-1</v>
      </c>
      <c r="BW92" s="79">
        <v>-488</v>
      </c>
      <c r="BX92" s="79">
        <v>-4</v>
      </c>
      <c r="BY92" s="79">
        <v>2467</v>
      </c>
      <c r="BZ92" s="79">
        <v>33</v>
      </c>
      <c r="CA92" s="79">
        <v>117</v>
      </c>
      <c r="CB92" s="79">
        <v>64</v>
      </c>
      <c r="CC92" s="79">
        <v>299</v>
      </c>
      <c r="CD92" s="79">
        <v>0</v>
      </c>
      <c r="CE92" s="79">
        <v>8</v>
      </c>
    </row>
    <row r="93" spans="1:83" s="58" customFormat="1" ht="15.6" customHeight="1" x14ac:dyDescent="0.25">
      <c r="A93" s="50">
        <v>9</v>
      </c>
      <c r="B93" s="50" t="s">
        <v>314</v>
      </c>
      <c r="C93" s="77" t="s">
        <v>260</v>
      </c>
      <c r="D93" s="50" t="s">
        <v>315</v>
      </c>
      <c r="E93" s="50" t="s">
        <v>109</v>
      </c>
      <c r="F93" s="50" t="s">
        <v>283</v>
      </c>
      <c r="G93" s="88">
        <v>37013025.030000001</v>
      </c>
      <c r="H93" s="88">
        <v>0</v>
      </c>
      <c r="I93" s="88">
        <v>991926.74</v>
      </c>
      <c r="J93" s="88">
        <v>0</v>
      </c>
      <c r="K93" s="89">
        <v>0</v>
      </c>
      <c r="L93" s="89">
        <v>38004951.770000003</v>
      </c>
      <c r="M93" s="89">
        <v>0</v>
      </c>
      <c r="N93" s="88">
        <v>11432130.91</v>
      </c>
      <c r="O93" s="88">
        <v>1301268.25</v>
      </c>
      <c r="P93" s="90">
        <v>6353050.8300000001</v>
      </c>
      <c r="Q93" s="88">
        <v>0</v>
      </c>
      <c r="R93" s="88">
        <v>2016858.1</v>
      </c>
      <c r="S93" s="88">
        <v>7926784.9100000001</v>
      </c>
      <c r="T93" s="88">
        <v>4751132.62</v>
      </c>
      <c r="U93" s="88">
        <v>0</v>
      </c>
      <c r="V93" s="88">
        <v>0</v>
      </c>
      <c r="W93" s="88">
        <v>1130495.08</v>
      </c>
      <c r="X93" s="89">
        <v>2880089.99</v>
      </c>
      <c r="Y93" s="89">
        <v>37791810.689999998</v>
      </c>
      <c r="Z93" s="81">
        <v>0.12496965612107955</v>
      </c>
      <c r="AA93" s="89">
        <v>2874812.95</v>
      </c>
      <c r="AB93" s="89">
        <v>0</v>
      </c>
      <c r="AC93" s="89">
        <v>0</v>
      </c>
      <c r="AD93" s="89">
        <v>0</v>
      </c>
      <c r="AE93" s="89">
        <v>0</v>
      </c>
      <c r="AF93" s="89">
        <f t="shared" ref="AF93:AF101" si="19">SUM(AD93:AE93)</f>
        <v>0</v>
      </c>
      <c r="AG93" s="89">
        <v>1372993.6</v>
      </c>
      <c r="AH93" s="88">
        <v>111132.34</v>
      </c>
      <c r="AI93" s="88">
        <v>340288.91</v>
      </c>
      <c r="AJ93" s="89">
        <v>10332.52</v>
      </c>
      <c r="AK93" s="88">
        <v>312874.31</v>
      </c>
      <c r="AL93" s="88">
        <v>5385.87</v>
      </c>
      <c r="AM93" s="88">
        <v>79167.58</v>
      </c>
      <c r="AN93" s="88">
        <v>11275</v>
      </c>
      <c r="AO93" s="88">
        <v>3963.62</v>
      </c>
      <c r="AP93" s="88">
        <v>0</v>
      </c>
      <c r="AQ93" s="88">
        <v>135235.72</v>
      </c>
      <c r="AR93" s="88">
        <v>16128.98</v>
      </c>
      <c r="AS93" s="88">
        <v>0</v>
      </c>
      <c r="AT93" s="88">
        <v>8946.75</v>
      </c>
      <c r="AU93" s="88">
        <v>132964.94</v>
      </c>
      <c r="AV93" s="88">
        <v>98026</v>
      </c>
      <c r="AW93" s="88">
        <v>2638716.14</v>
      </c>
      <c r="AX93" s="88">
        <v>19186.04</v>
      </c>
      <c r="AY93" s="81">
        <f t="shared" ref="AY93:AY101" si="20">AX93/AW93</f>
        <v>7.2709753463667372E-3</v>
      </c>
      <c r="AZ93" s="89">
        <v>0</v>
      </c>
      <c r="BA93" s="81">
        <v>7.7670305187697866E-2</v>
      </c>
      <c r="BB93" s="79">
        <v>1202225.72</v>
      </c>
      <c r="BC93" s="79">
        <v>3423279.29</v>
      </c>
      <c r="BD93" s="80">
        <v>219587</v>
      </c>
      <c r="BE93" s="80">
        <v>0</v>
      </c>
      <c r="BF93" s="80">
        <v>572349.24</v>
      </c>
      <c r="BG93" s="80">
        <v>0</v>
      </c>
      <c r="BH93" s="80">
        <v>0</v>
      </c>
      <c r="BI93" s="80">
        <v>0</v>
      </c>
      <c r="BJ93" s="80">
        <f t="shared" ref="BJ93:BJ102" si="21">SUM(BH93:BI93)</f>
        <v>0</v>
      </c>
      <c r="BK93" s="80">
        <v>0</v>
      </c>
      <c r="BL93" s="80">
        <v>3479</v>
      </c>
      <c r="BM93" s="80">
        <v>1158</v>
      </c>
      <c r="BN93" s="79">
        <v>21</v>
      </c>
      <c r="BO93" s="79">
        <v>0</v>
      </c>
      <c r="BP93" s="79">
        <v>-23</v>
      </c>
      <c r="BQ93" s="79">
        <v>-62</v>
      </c>
      <c r="BR93" s="79">
        <v>-236</v>
      </c>
      <c r="BS93" s="79">
        <v>-273</v>
      </c>
      <c r="BT93" s="79">
        <v>0</v>
      </c>
      <c r="BU93" s="79">
        <v>0</v>
      </c>
      <c r="BV93" s="79">
        <v>-25</v>
      </c>
      <c r="BW93" s="79">
        <v>-516</v>
      </c>
      <c r="BX93" s="79">
        <v>-2</v>
      </c>
      <c r="BY93" s="79">
        <v>3521</v>
      </c>
      <c r="BZ93" s="79">
        <v>37</v>
      </c>
      <c r="CA93" s="79">
        <v>165</v>
      </c>
      <c r="CB93" s="79">
        <v>86</v>
      </c>
      <c r="CC93" s="79">
        <v>224</v>
      </c>
      <c r="CD93" s="79">
        <v>39</v>
      </c>
      <c r="CE93" s="79">
        <v>2</v>
      </c>
    </row>
    <row r="94" spans="1:83" s="58" customFormat="1" ht="15.6" customHeight="1" x14ac:dyDescent="0.25">
      <c r="A94" s="50">
        <v>9</v>
      </c>
      <c r="B94" s="50" t="s">
        <v>317</v>
      </c>
      <c r="C94" s="77" t="s">
        <v>318</v>
      </c>
      <c r="D94" s="50" t="s">
        <v>290</v>
      </c>
      <c r="E94" s="50" t="s">
        <v>109</v>
      </c>
      <c r="F94" s="50" t="s">
        <v>283</v>
      </c>
      <c r="G94" s="88">
        <v>49631963.369999997</v>
      </c>
      <c r="H94" s="88">
        <v>1.4210854715202001E-14</v>
      </c>
      <c r="I94" s="88">
        <v>957763.47</v>
      </c>
      <c r="J94" s="88">
        <v>0</v>
      </c>
      <c r="K94" s="89">
        <v>0</v>
      </c>
      <c r="L94" s="89">
        <v>50589726.840000004</v>
      </c>
      <c r="M94" s="89">
        <v>0</v>
      </c>
      <c r="N94" s="88">
        <v>15512892.27</v>
      </c>
      <c r="O94" s="88">
        <v>2196411.02</v>
      </c>
      <c r="P94" s="90">
        <v>8025886.0199999996</v>
      </c>
      <c r="Q94" s="88">
        <v>2549.79</v>
      </c>
      <c r="R94" s="88">
        <v>2464793.4500000002</v>
      </c>
      <c r="S94" s="88">
        <v>9714243.8499999996</v>
      </c>
      <c r="T94" s="88">
        <v>7143607.21</v>
      </c>
      <c r="U94" s="88">
        <v>0</v>
      </c>
      <c r="V94" s="88">
        <v>0</v>
      </c>
      <c r="W94" s="88">
        <v>1318688.3600000001</v>
      </c>
      <c r="X94" s="89">
        <v>4087837.1799999997</v>
      </c>
      <c r="Y94" s="89">
        <v>50466909.149999999</v>
      </c>
      <c r="Z94" s="81">
        <v>0.14073721238725198</v>
      </c>
      <c r="AA94" s="89">
        <v>3970209.78</v>
      </c>
      <c r="AB94" s="89">
        <v>0</v>
      </c>
      <c r="AC94" s="89">
        <v>0</v>
      </c>
      <c r="AD94" s="89">
        <v>0</v>
      </c>
      <c r="AE94" s="89">
        <v>56.19</v>
      </c>
      <c r="AF94" s="89">
        <f t="shared" si="19"/>
        <v>56.19</v>
      </c>
      <c r="AG94" s="89">
        <v>2052875.58</v>
      </c>
      <c r="AH94" s="88">
        <v>170717.05</v>
      </c>
      <c r="AI94" s="88">
        <v>513829.43</v>
      </c>
      <c r="AJ94" s="89">
        <v>0</v>
      </c>
      <c r="AK94" s="88">
        <v>304044.28999999998</v>
      </c>
      <c r="AL94" s="88">
        <v>6395.65</v>
      </c>
      <c r="AM94" s="88">
        <v>59240.75</v>
      </c>
      <c r="AN94" s="88">
        <v>13325</v>
      </c>
      <c r="AO94" s="88">
        <v>8526</v>
      </c>
      <c r="AP94" s="88">
        <v>0</v>
      </c>
      <c r="AQ94" s="88">
        <v>147501.22999999998</v>
      </c>
      <c r="AR94" s="88">
        <v>33413.56</v>
      </c>
      <c r="AS94" s="88">
        <v>0</v>
      </c>
      <c r="AT94" s="88">
        <v>17607.3</v>
      </c>
      <c r="AU94" s="88">
        <v>51476.68</v>
      </c>
      <c r="AV94" s="88">
        <v>102645.84999999999</v>
      </c>
      <c r="AW94" s="88">
        <v>3481598.37</v>
      </c>
      <c r="AX94" s="88">
        <v>0</v>
      </c>
      <c r="AY94" s="81">
        <f t="shared" si="20"/>
        <v>0</v>
      </c>
      <c r="AZ94" s="89">
        <v>0</v>
      </c>
      <c r="BA94" s="81">
        <v>7.9993002702766144E-2</v>
      </c>
      <c r="BB94" s="79">
        <v>1859240.22</v>
      </c>
      <c r="BC94" s="79">
        <v>5125823.95</v>
      </c>
      <c r="BD94" s="80">
        <v>219587</v>
      </c>
      <c r="BE94" s="80">
        <v>0</v>
      </c>
      <c r="BF94" s="80">
        <v>734865.2</v>
      </c>
      <c r="BG94" s="80">
        <v>0</v>
      </c>
      <c r="BH94" s="80">
        <v>0</v>
      </c>
      <c r="BI94" s="80">
        <v>0</v>
      </c>
      <c r="BJ94" s="80">
        <f t="shared" si="21"/>
        <v>0</v>
      </c>
      <c r="BK94" s="80">
        <v>0</v>
      </c>
      <c r="BL94" s="80">
        <v>5026</v>
      </c>
      <c r="BM94" s="80">
        <v>1662</v>
      </c>
      <c r="BN94" s="79">
        <v>58</v>
      </c>
      <c r="BO94" s="79">
        <v>-52</v>
      </c>
      <c r="BP94" s="79">
        <v>-35</v>
      </c>
      <c r="BQ94" s="79">
        <v>-78</v>
      </c>
      <c r="BR94" s="79">
        <v>-379</v>
      </c>
      <c r="BS94" s="79">
        <v>-422</v>
      </c>
      <c r="BT94" s="79">
        <v>30</v>
      </c>
      <c r="BU94" s="79">
        <v>-8</v>
      </c>
      <c r="BV94" s="79">
        <v>29</v>
      </c>
      <c r="BW94" s="79">
        <v>-710</v>
      </c>
      <c r="BX94" s="79">
        <v>0</v>
      </c>
      <c r="BY94" s="79">
        <v>5121</v>
      </c>
      <c r="BZ94" s="79">
        <v>74</v>
      </c>
      <c r="CA94" s="79">
        <v>189</v>
      </c>
      <c r="CB94" s="79">
        <v>87</v>
      </c>
      <c r="CC94" s="79">
        <v>387</v>
      </c>
      <c r="CD94" s="79">
        <v>40</v>
      </c>
      <c r="CE94" s="79">
        <v>7</v>
      </c>
    </row>
    <row r="95" spans="1:83" s="83" customFormat="1" ht="15.6" customHeight="1" x14ac:dyDescent="0.25">
      <c r="A95" s="34">
        <v>9</v>
      </c>
      <c r="B95" s="34" t="s">
        <v>319</v>
      </c>
      <c r="C95" s="72" t="s">
        <v>320</v>
      </c>
      <c r="D95" s="34" t="s">
        <v>321</v>
      </c>
      <c r="E95" s="34" t="s">
        <v>104</v>
      </c>
      <c r="F95" s="34" t="s">
        <v>287</v>
      </c>
      <c r="G95" s="88">
        <v>9106032.8000000007</v>
      </c>
      <c r="H95" s="88">
        <v>375402.03</v>
      </c>
      <c r="I95" s="88">
        <v>1468.91</v>
      </c>
      <c r="J95" s="88">
        <v>0</v>
      </c>
      <c r="K95" s="89">
        <v>0</v>
      </c>
      <c r="L95" s="89">
        <v>9482903.7400000002</v>
      </c>
      <c r="M95" s="89">
        <v>0</v>
      </c>
      <c r="N95" s="88">
        <v>2264244.2400000002</v>
      </c>
      <c r="O95" s="88">
        <v>831627.24</v>
      </c>
      <c r="P95" s="90">
        <v>934272.32</v>
      </c>
      <c r="Q95" s="88">
        <v>0</v>
      </c>
      <c r="R95" s="88">
        <v>400323.9</v>
      </c>
      <c r="S95" s="88">
        <v>3549341.12</v>
      </c>
      <c r="T95" s="88">
        <v>299199.71000000002</v>
      </c>
      <c r="U95" s="88">
        <v>0</v>
      </c>
      <c r="V95" s="88">
        <v>0</v>
      </c>
      <c r="W95" s="88">
        <v>363276.6</v>
      </c>
      <c r="X95" s="89">
        <v>856551.34</v>
      </c>
      <c r="Y95" s="89">
        <v>9498836.4700000007</v>
      </c>
      <c r="Z95" s="81">
        <v>8.3662466095334537E-2</v>
      </c>
      <c r="AA95" s="89">
        <v>856551.34</v>
      </c>
      <c r="AB95" s="89">
        <v>0</v>
      </c>
      <c r="AC95" s="89">
        <v>0</v>
      </c>
      <c r="AD95" s="89">
        <v>0</v>
      </c>
      <c r="AE95" s="89">
        <v>0</v>
      </c>
      <c r="AF95" s="89">
        <f t="shared" si="19"/>
        <v>0</v>
      </c>
      <c r="AG95" s="89">
        <v>408951.51</v>
      </c>
      <c r="AH95" s="88">
        <v>29812.18</v>
      </c>
      <c r="AI95" s="88">
        <v>107228.72</v>
      </c>
      <c r="AJ95" s="89">
        <v>0</v>
      </c>
      <c r="AK95" s="88">
        <v>31312.39</v>
      </c>
      <c r="AL95" s="88">
        <v>15543.95</v>
      </c>
      <c r="AM95" s="88">
        <v>32290.11</v>
      </c>
      <c r="AN95" s="88">
        <v>11700</v>
      </c>
      <c r="AO95" s="88">
        <v>1238</v>
      </c>
      <c r="AP95" s="88">
        <v>0</v>
      </c>
      <c r="AQ95" s="88">
        <v>24343.58</v>
      </c>
      <c r="AR95" s="88">
        <v>4486.63</v>
      </c>
      <c r="AS95" s="88">
        <v>0</v>
      </c>
      <c r="AT95" s="88">
        <v>1001.51</v>
      </c>
      <c r="AU95" s="88">
        <v>23779.26</v>
      </c>
      <c r="AV95" s="88">
        <v>32386.55</v>
      </c>
      <c r="AW95" s="88">
        <v>724074.39</v>
      </c>
      <c r="AX95" s="88">
        <v>0</v>
      </c>
      <c r="AY95" s="81">
        <f t="shared" si="20"/>
        <v>0</v>
      </c>
      <c r="AZ95" s="89">
        <v>0</v>
      </c>
      <c r="BA95" s="81">
        <v>9.4064161508401314E-2</v>
      </c>
      <c r="BB95" s="79">
        <v>486818.68</v>
      </c>
      <c r="BC95" s="79">
        <v>306421.53999999998</v>
      </c>
      <c r="BD95" s="80">
        <v>216829</v>
      </c>
      <c r="BE95" s="80">
        <v>0</v>
      </c>
      <c r="BF95" s="80">
        <v>67323.410000000295</v>
      </c>
      <c r="BG95" s="80">
        <v>0</v>
      </c>
      <c r="BH95" s="80">
        <v>0</v>
      </c>
      <c r="BI95" s="80">
        <v>0</v>
      </c>
      <c r="BJ95" s="80">
        <f t="shared" si="21"/>
        <v>0</v>
      </c>
      <c r="BK95" s="80">
        <v>0</v>
      </c>
      <c r="BL95" s="80">
        <v>985</v>
      </c>
      <c r="BM95" s="80">
        <v>401</v>
      </c>
      <c r="BN95" s="79">
        <v>6</v>
      </c>
      <c r="BO95" s="79">
        <v>0</v>
      </c>
      <c r="BP95" s="79">
        <v>-25</v>
      </c>
      <c r="BQ95" s="79">
        <v>-11</v>
      </c>
      <c r="BR95" s="79">
        <v>-125</v>
      </c>
      <c r="BS95" s="79">
        <v>-92</v>
      </c>
      <c r="BT95" s="79">
        <v>1</v>
      </c>
      <c r="BU95" s="79">
        <v>-1</v>
      </c>
      <c r="BV95" s="79">
        <v>23</v>
      </c>
      <c r="BW95" s="79">
        <v>-188</v>
      </c>
      <c r="BX95" s="79">
        <v>0</v>
      </c>
      <c r="BY95" s="79">
        <v>974</v>
      </c>
      <c r="BZ95" s="79">
        <v>1</v>
      </c>
      <c r="CA95" s="79">
        <v>103</v>
      </c>
      <c r="CB95" s="79">
        <v>31</v>
      </c>
      <c r="CC95" s="79">
        <v>53</v>
      </c>
      <c r="CD95" s="79">
        <v>1</v>
      </c>
      <c r="CE95" s="79">
        <v>3</v>
      </c>
    </row>
    <row r="96" spans="1:83" s="58" customFormat="1" ht="15.6" customHeight="1" x14ac:dyDescent="0.25">
      <c r="A96" s="43">
        <v>10</v>
      </c>
      <c r="B96" s="59" t="s">
        <v>322</v>
      </c>
      <c r="C96" s="77" t="s">
        <v>144</v>
      </c>
      <c r="D96" s="50" t="s">
        <v>323</v>
      </c>
      <c r="E96" s="50" t="s">
        <v>122</v>
      </c>
      <c r="F96" s="50" t="s">
        <v>324</v>
      </c>
      <c r="G96" s="89">
        <v>22994650.100000001</v>
      </c>
      <c r="H96" s="89">
        <v>0</v>
      </c>
      <c r="I96" s="89">
        <v>445553.93</v>
      </c>
      <c r="J96" s="89">
        <v>0</v>
      </c>
      <c r="K96" s="89">
        <v>0</v>
      </c>
      <c r="L96" s="89">
        <v>23440204.030000001</v>
      </c>
      <c r="M96" s="89">
        <v>0</v>
      </c>
      <c r="N96" s="89">
        <v>6027986.6500000004</v>
      </c>
      <c r="O96" s="89">
        <v>790831.55</v>
      </c>
      <c r="P96" s="89">
        <v>6452386.5300000003</v>
      </c>
      <c r="Q96" s="89">
        <v>0</v>
      </c>
      <c r="R96" s="89">
        <v>615174.36</v>
      </c>
      <c r="S96" s="89">
        <v>4183755.63</v>
      </c>
      <c r="T96" s="89">
        <v>2933079.86</v>
      </c>
      <c r="U96" s="89">
        <v>0</v>
      </c>
      <c r="V96" s="89">
        <v>0</v>
      </c>
      <c r="W96" s="89">
        <v>493884.19</v>
      </c>
      <c r="X96" s="89">
        <v>1935162.1500000001</v>
      </c>
      <c r="Y96" s="89">
        <v>23432260.920000002</v>
      </c>
      <c r="Z96" s="81">
        <v>0.12005630605355459</v>
      </c>
      <c r="AA96" s="89">
        <v>1724568.87</v>
      </c>
      <c r="AB96" s="89">
        <v>0</v>
      </c>
      <c r="AC96" s="89">
        <v>0</v>
      </c>
      <c r="AD96" s="89">
        <v>0</v>
      </c>
      <c r="AE96" s="89">
        <v>0</v>
      </c>
      <c r="AF96" s="89">
        <f t="shared" si="19"/>
        <v>0</v>
      </c>
      <c r="AG96" s="89">
        <v>854138.32</v>
      </c>
      <c r="AH96" s="89">
        <v>74477.61</v>
      </c>
      <c r="AI96" s="89">
        <v>247100.53</v>
      </c>
      <c r="AJ96" s="89">
        <v>0</v>
      </c>
      <c r="AK96" s="89">
        <v>68752.759999999995</v>
      </c>
      <c r="AL96" s="89">
        <v>986.37</v>
      </c>
      <c r="AM96" s="89">
        <v>64159.76</v>
      </c>
      <c r="AN96" s="89">
        <v>10500</v>
      </c>
      <c r="AO96" s="89">
        <v>0</v>
      </c>
      <c r="AP96" s="89">
        <v>21159.55</v>
      </c>
      <c r="AQ96" s="89">
        <v>47509.79</v>
      </c>
      <c r="AR96" s="89">
        <v>13312.42</v>
      </c>
      <c r="AS96" s="89">
        <v>0</v>
      </c>
      <c r="AT96" s="89">
        <v>5308.22</v>
      </c>
      <c r="AU96" s="89">
        <v>23574.29</v>
      </c>
      <c r="AV96" s="89">
        <v>44718.73</v>
      </c>
      <c r="AW96" s="89">
        <v>1475698.35</v>
      </c>
      <c r="AX96" s="89">
        <v>128745.36</v>
      </c>
      <c r="AY96" s="81">
        <f t="shared" si="20"/>
        <v>8.7243683643069739E-2</v>
      </c>
      <c r="AZ96" s="89">
        <v>0</v>
      </c>
      <c r="BA96" s="81">
        <v>7.49987002411487E-2</v>
      </c>
      <c r="BB96" s="80">
        <v>0</v>
      </c>
      <c r="BC96" s="80">
        <v>2760652.75</v>
      </c>
      <c r="BD96" s="80">
        <v>219587</v>
      </c>
      <c r="BE96" s="80">
        <v>0</v>
      </c>
      <c r="BF96" s="80">
        <v>183870.57</v>
      </c>
      <c r="BG96" s="80">
        <v>0</v>
      </c>
      <c r="BH96" s="80">
        <v>0</v>
      </c>
      <c r="BI96" s="80">
        <v>0</v>
      </c>
      <c r="BJ96" s="80">
        <f t="shared" si="21"/>
        <v>0</v>
      </c>
      <c r="BK96" s="80">
        <v>0</v>
      </c>
      <c r="BL96" s="80">
        <v>3802</v>
      </c>
      <c r="BM96" s="80">
        <v>1106</v>
      </c>
      <c r="BN96" s="80">
        <v>6</v>
      </c>
      <c r="BO96" s="80">
        <v>-12</v>
      </c>
      <c r="BP96" s="80">
        <v>-12</v>
      </c>
      <c r="BQ96" s="80">
        <v>-76</v>
      </c>
      <c r="BR96" s="80">
        <v>-175</v>
      </c>
      <c r="BS96" s="80">
        <v>-354</v>
      </c>
      <c r="BT96" s="80">
        <v>1</v>
      </c>
      <c r="BU96" s="80">
        <v>-2</v>
      </c>
      <c r="BV96" s="80">
        <v>0</v>
      </c>
      <c r="BW96" s="80">
        <v>-760</v>
      </c>
      <c r="BX96" s="80">
        <v>-6</v>
      </c>
      <c r="BY96" s="80">
        <v>3518</v>
      </c>
      <c r="BZ96" s="80">
        <v>3</v>
      </c>
      <c r="CA96" s="80">
        <v>138</v>
      </c>
      <c r="CB96" s="80">
        <v>66</v>
      </c>
      <c r="CC96" s="80">
        <v>541</v>
      </c>
      <c r="CD96" s="80">
        <v>16</v>
      </c>
      <c r="CE96" s="80">
        <v>6</v>
      </c>
    </row>
    <row r="97" spans="1:83" s="58" customFormat="1" ht="15.6" customHeight="1" x14ac:dyDescent="0.25">
      <c r="A97" s="43">
        <v>10</v>
      </c>
      <c r="B97" s="59" t="s">
        <v>326</v>
      </c>
      <c r="C97" s="77" t="s">
        <v>327</v>
      </c>
      <c r="D97" s="50" t="s">
        <v>328</v>
      </c>
      <c r="E97" s="50" t="s">
        <v>104</v>
      </c>
      <c r="F97" s="50" t="s">
        <v>324</v>
      </c>
      <c r="G97" s="89">
        <v>63807746.68</v>
      </c>
      <c r="H97" s="89">
        <v>0</v>
      </c>
      <c r="I97" s="89">
        <v>269182.73</v>
      </c>
      <c r="J97" s="89">
        <v>0</v>
      </c>
      <c r="K97" s="89">
        <v>0</v>
      </c>
      <c r="L97" s="89">
        <v>64076929.409999996</v>
      </c>
      <c r="M97" s="89">
        <v>0</v>
      </c>
      <c r="N97" s="89">
        <v>27396968.510000002</v>
      </c>
      <c r="O97" s="89">
        <v>2386186.6</v>
      </c>
      <c r="P97" s="89">
        <v>14583786.199999999</v>
      </c>
      <c r="Q97" s="89">
        <v>23135.17</v>
      </c>
      <c r="R97" s="89">
        <v>2452623.9</v>
      </c>
      <c r="S97" s="89">
        <v>9178395.3499999996</v>
      </c>
      <c r="T97" s="89">
        <v>4292980.33</v>
      </c>
      <c r="U97" s="89">
        <v>0</v>
      </c>
      <c r="V97" s="89">
        <v>255735.14</v>
      </c>
      <c r="W97" s="89">
        <v>1535721.32</v>
      </c>
      <c r="X97" s="89">
        <v>2336586.8199999998</v>
      </c>
      <c r="Y97" s="89">
        <v>64442119.340000004</v>
      </c>
      <c r="Z97" s="81">
        <v>5.9257009167902969E-2</v>
      </c>
      <c r="AA97" s="89">
        <v>2041608.18</v>
      </c>
      <c r="AB97" s="89">
        <v>0</v>
      </c>
      <c r="AC97" s="89">
        <v>0</v>
      </c>
      <c r="AD97" s="89">
        <v>0</v>
      </c>
      <c r="AE97" s="89">
        <v>0</v>
      </c>
      <c r="AF97" s="89">
        <f t="shared" si="19"/>
        <v>0</v>
      </c>
      <c r="AG97" s="89">
        <v>1173817.5900000001</v>
      </c>
      <c r="AH97" s="89">
        <v>91429.11</v>
      </c>
      <c r="AI97" s="89">
        <v>330329.15000000002</v>
      </c>
      <c r="AJ97" s="89">
        <v>0</v>
      </c>
      <c r="AK97" s="89">
        <v>158022.60999999999</v>
      </c>
      <c r="AL97" s="89">
        <v>38400</v>
      </c>
      <c r="AM97" s="89">
        <v>143264.9</v>
      </c>
      <c r="AN97" s="89">
        <v>10500</v>
      </c>
      <c r="AO97" s="89">
        <v>20257.5</v>
      </c>
      <c r="AP97" s="89">
        <v>105501.29</v>
      </c>
      <c r="AQ97" s="89">
        <v>123439.87</v>
      </c>
      <c r="AR97" s="89">
        <v>33326.230000000003</v>
      </c>
      <c r="AS97" s="89">
        <v>2800</v>
      </c>
      <c r="AT97" s="89">
        <v>23555.62</v>
      </c>
      <c r="AU97" s="89">
        <v>54756.46</v>
      </c>
      <c r="AV97" s="89">
        <v>95299.180000000008</v>
      </c>
      <c r="AW97" s="89">
        <v>2404699.5099999998</v>
      </c>
      <c r="AX97" s="89">
        <v>0</v>
      </c>
      <c r="AY97" s="81">
        <f t="shared" si="20"/>
        <v>0</v>
      </c>
      <c r="AZ97" s="89">
        <v>0</v>
      </c>
      <c r="BA97" s="81">
        <v>3.1996243187191638E-2</v>
      </c>
      <c r="BB97" s="80">
        <v>2928817.03</v>
      </c>
      <c r="BC97" s="80">
        <v>852239.2</v>
      </c>
      <c r="BD97" s="80">
        <v>219587</v>
      </c>
      <c r="BE97" s="80">
        <v>0</v>
      </c>
      <c r="BF97" s="80">
        <v>134030.459999999</v>
      </c>
      <c r="BG97" s="80">
        <v>0</v>
      </c>
      <c r="BH97" s="80">
        <v>0</v>
      </c>
      <c r="BI97" s="80">
        <v>0</v>
      </c>
      <c r="BJ97" s="80">
        <f t="shared" si="21"/>
        <v>0</v>
      </c>
      <c r="BK97" s="80">
        <v>0</v>
      </c>
      <c r="BL97" s="80">
        <v>5278</v>
      </c>
      <c r="BM97" s="80">
        <v>1899</v>
      </c>
      <c r="BN97" s="80">
        <v>63</v>
      </c>
      <c r="BO97" s="80">
        <v>-5</v>
      </c>
      <c r="BP97" s="80">
        <v>-76</v>
      </c>
      <c r="BQ97" s="80">
        <v>-202</v>
      </c>
      <c r="BR97" s="80">
        <v>-429</v>
      </c>
      <c r="BS97" s="80">
        <v>-715</v>
      </c>
      <c r="BT97" s="80">
        <v>0</v>
      </c>
      <c r="BU97" s="80">
        <v>0</v>
      </c>
      <c r="BV97" s="80">
        <v>832</v>
      </c>
      <c r="BW97" s="80">
        <v>-1440</v>
      </c>
      <c r="BX97" s="80">
        <v>-6</v>
      </c>
      <c r="BY97" s="80">
        <v>5199</v>
      </c>
      <c r="BZ97" s="80">
        <v>24</v>
      </c>
      <c r="CA97" s="80">
        <v>211</v>
      </c>
      <c r="CB97" s="80">
        <v>57</v>
      </c>
      <c r="CC97" s="80">
        <v>320</v>
      </c>
      <c r="CD97" s="80">
        <v>68</v>
      </c>
      <c r="CE97" s="80">
        <v>11</v>
      </c>
    </row>
    <row r="98" spans="1:83" s="83" customFormat="1" ht="15.6" customHeight="1" x14ac:dyDescent="0.25">
      <c r="A98" s="32">
        <v>10</v>
      </c>
      <c r="B98" s="33" t="s">
        <v>329</v>
      </c>
      <c r="C98" s="75" t="s">
        <v>111</v>
      </c>
      <c r="D98" s="34" t="s">
        <v>330</v>
      </c>
      <c r="E98" s="34" t="s">
        <v>331</v>
      </c>
      <c r="F98" s="34" t="s">
        <v>332</v>
      </c>
      <c r="G98" s="91">
        <v>9042745.7300000004</v>
      </c>
      <c r="H98" s="91">
        <v>51029.11</v>
      </c>
      <c r="I98" s="91">
        <v>0</v>
      </c>
      <c r="J98" s="91">
        <v>0</v>
      </c>
      <c r="K98" s="91">
        <v>0</v>
      </c>
      <c r="L98" s="91">
        <v>9093774.8399999999</v>
      </c>
      <c r="M98" s="91">
        <v>0</v>
      </c>
      <c r="N98" s="91">
        <v>841701.69</v>
      </c>
      <c r="O98" s="91">
        <v>506351.2</v>
      </c>
      <c r="P98" s="91">
        <v>2538818.3199999998</v>
      </c>
      <c r="Q98" s="91">
        <v>117.12</v>
      </c>
      <c r="R98" s="91">
        <v>507732.83</v>
      </c>
      <c r="S98" s="91">
        <v>2585022.35</v>
      </c>
      <c r="T98" s="91">
        <v>1160733.28</v>
      </c>
      <c r="U98" s="91">
        <v>0</v>
      </c>
      <c r="V98" s="91">
        <v>0</v>
      </c>
      <c r="W98" s="91">
        <v>106708.26</v>
      </c>
      <c r="X98" s="91">
        <v>898584.03</v>
      </c>
      <c r="Y98" s="91">
        <v>9145769.0800000001</v>
      </c>
      <c r="Z98" s="93">
        <v>7.4831168791066414E-3</v>
      </c>
      <c r="AA98" s="91">
        <v>898584.03</v>
      </c>
      <c r="AB98" s="91">
        <v>0</v>
      </c>
      <c r="AC98" s="91">
        <v>0</v>
      </c>
      <c r="AD98" s="91">
        <v>0</v>
      </c>
      <c r="AE98" s="91">
        <v>0</v>
      </c>
      <c r="AF98" s="91">
        <f t="shared" si="19"/>
        <v>0</v>
      </c>
      <c r="AG98" s="91">
        <v>333970.83</v>
      </c>
      <c r="AH98" s="91">
        <v>30246.22</v>
      </c>
      <c r="AI98" s="91">
        <v>67581.509999999995</v>
      </c>
      <c r="AJ98" s="91">
        <v>0</v>
      </c>
      <c r="AK98" s="91">
        <v>69885.2</v>
      </c>
      <c r="AL98" s="91">
        <v>17985.650000000001</v>
      </c>
      <c r="AM98" s="91">
        <v>45142.25</v>
      </c>
      <c r="AN98" s="91">
        <v>9225</v>
      </c>
      <c r="AO98" s="91">
        <v>0</v>
      </c>
      <c r="AP98" s="91">
        <v>0</v>
      </c>
      <c r="AQ98" s="91">
        <v>19387.810000000001</v>
      </c>
      <c r="AR98" s="91">
        <v>0</v>
      </c>
      <c r="AS98" s="91">
        <v>0</v>
      </c>
      <c r="AT98" s="91">
        <v>0</v>
      </c>
      <c r="AU98" s="91">
        <v>6024.2</v>
      </c>
      <c r="AV98" s="91">
        <v>21382.55</v>
      </c>
      <c r="AW98" s="91">
        <v>620831.22</v>
      </c>
      <c r="AX98" s="91">
        <v>0</v>
      </c>
      <c r="AY98" s="93">
        <f t="shared" si="20"/>
        <v>0</v>
      </c>
      <c r="AZ98" s="91">
        <v>0</v>
      </c>
      <c r="BA98" s="93">
        <v>9.9370706290997299E-2</v>
      </c>
      <c r="BB98" s="91">
        <v>45506.94</v>
      </c>
      <c r="BC98" s="91">
        <v>22542.84</v>
      </c>
      <c r="BD98" s="91">
        <v>219567.44</v>
      </c>
      <c r="BE98" s="91">
        <v>0</v>
      </c>
      <c r="BF98" s="91">
        <v>146903.37</v>
      </c>
      <c r="BG98" s="91">
        <v>0</v>
      </c>
      <c r="BH98" s="91">
        <v>0</v>
      </c>
      <c r="BI98" s="91">
        <v>0</v>
      </c>
      <c r="BJ98" s="91">
        <f t="shared" si="21"/>
        <v>0</v>
      </c>
      <c r="BK98" s="91">
        <v>0</v>
      </c>
      <c r="BL98" s="91">
        <v>1335</v>
      </c>
      <c r="BM98" s="91">
        <v>420</v>
      </c>
      <c r="BN98" s="91">
        <v>13</v>
      </c>
      <c r="BO98" s="91">
        <v>0</v>
      </c>
      <c r="BP98" s="91">
        <v>-4</v>
      </c>
      <c r="BQ98" s="91">
        <v>-66</v>
      </c>
      <c r="BR98" s="91">
        <v>-33</v>
      </c>
      <c r="BS98" s="91">
        <v>-95</v>
      </c>
      <c r="BT98" s="91">
        <v>0</v>
      </c>
      <c r="BU98" s="91">
        <v>0</v>
      </c>
      <c r="BV98" s="91">
        <v>0</v>
      </c>
      <c r="BW98" s="91">
        <v>-265</v>
      </c>
      <c r="BX98" s="91">
        <v>-2</v>
      </c>
      <c r="BY98" s="91">
        <v>1303</v>
      </c>
      <c r="BZ98" s="91">
        <v>0</v>
      </c>
      <c r="CA98" s="91">
        <v>89</v>
      </c>
      <c r="CB98" s="91">
        <v>21</v>
      </c>
      <c r="CC98" s="91">
        <v>141</v>
      </c>
      <c r="CD98" s="91">
        <v>9</v>
      </c>
      <c r="CE98" s="91">
        <v>5</v>
      </c>
    </row>
    <row r="99" spans="1:83" s="83" customFormat="1" ht="15.6" customHeight="1" x14ac:dyDescent="0.25">
      <c r="A99" s="32">
        <v>10</v>
      </c>
      <c r="B99" s="33" t="s">
        <v>333</v>
      </c>
      <c r="C99" s="72" t="s">
        <v>334</v>
      </c>
      <c r="D99" s="34" t="s">
        <v>335</v>
      </c>
      <c r="E99" s="34" t="s">
        <v>331</v>
      </c>
      <c r="F99" s="34" t="s">
        <v>332</v>
      </c>
      <c r="G99" s="90">
        <v>9385343.3699999992</v>
      </c>
      <c r="H99" s="90">
        <v>0</v>
      </c>
      <c r="I99" s="90">
        <v>2731.22</v>
      </c>
      <c r="J99" s="90">
        <v>0</v>
      </c>
      <c r="K99" s="90">
        <v>292244.21000000002</v>
      </c>
      <c r="L99" s="90">
        <v>9680318.8000000007</v>
      </c>
      <c r="M99" s="90">
        <v>0</v>
      </c>
      <c r="N99" s="90">
        <v>447626.12</v>
      </c>
      <c r="O99" s="90">
        <v>675847.9</v>
      </c>
      <c r="P99" s="90">
        <v>2967152.54</v>
      </c>
      <c r="Q99" s="90">
        <v>5409.57</v>
      </c>
      <c r="R99" s="90">
        <v>423375.78</v>
      </c>
      <c r="S99" s="90">
        <v>3046416.05</v>
      </c>
      <c r="T99" s="90">
        <v>696602.85</v>
      </c>
      <c r="U99" s="90">
        <v>0</v>
      </c>
      <c r="V99" s="90">
        <v>0</v>
      </c>
      <c r="W99" s="90">
        <v>210620.27</v>
      </c>
      <c r="X99" s="90">
        <v>929293.91</v>
      </c>
      <c r="Y99" s="90">
        <v>9402344.9900000002</v>
      </c>
      <c r="Z99" s="93">
        <v>9.310655727239546E-2</v>
      </c>
      <c r="AA99" s="90">
        <v>927060.26</v>
      </c>
      <c r="AB99" s="90">
        <v>0</v>
      </c>
      <c r="AC99" s="90">
        <v>0</v>
      </c>
      <c r="AD99" s="90">
        <v>0</v>
      </c>
      <c r="AE99" s="90">
        <v>0</v>
      </c>
      <c r="AF99" s="90">
        <f t="shared" si="19"/>
        <v>0</v>
      </c>
      <c r="AG99" s="90">
        <v>419343.39</v>
      </c>
      <c r="AH99" s="90">
        <v>38300.410000000003</v>
      </c>
      <c r="AI99" s="90">
        <v>77321.55</v>
      </c>
      <c r="AJ99" s="90">
        <v>0</v>
      </c>
      <c r="AK99" s="90">
        <v>23962.26</v>
      </c>
      <c r="AL99" s="90">
        <v>8380</v>
      </c>
      <c r="AM99" s="90">
        <v>34383.019999999997</v>
      </c>
      <c r="AN99" s="90">
        <v>9225</v>
      </c>
      <c r="AO99" s="90">
        <v>2044.16</v>
      </c>
      <c r="AP99" s="90">
        <v>0</v>
      </c>
      <c r="AQ99" s="90">
        <v>22917.149999999998</v>
      </c>
      <c r="AR99" s="90">
        <v>1762.91</v>
      </c>
      <c r="AS99" s="90">
        <v>0</v>
      </c>
      <c r="AT99" s="90">
        <v>3357.27</v>
      </c>
      <c r="AU99" s="90">
        <v>23149.7</v>
      </c>
      <c r="AV99" s="90">
        <v>67088.06</v>
      </c>
      <c r="AW99" s="90">
        <v>731234.88</v>
      </c>
      <c r="AX99" s="90">
        <v>0</v>
      </c>
      <c r="AY99" s="93">
        <f t="shared" si="20"/>
        <v>0</v>
      </c>
      <c r="AZ99" s="90">
        <v>0</v>
      </c>
      <c r="BA99" s="93">
        <v>9.8777447286939282E-2</v>
      </c>
      <c r="BB99" s="91">
        <v>344885.95</v>
      </c>
      <c r="BC99" s="91">
        <v>528951.06000000006</v>
      </c>
      <c r="BD99" s="91">
        <v>166000</v>
      </c>
      <c r="BE99" s="91">
        <v>0</v>
      </c>
      <c r="BF99" s="91">
        <v>97158.190000000104</v>
      </c>
      <c r="BG99" s="91">
        <v>0</v>
      </c>
      <c r="BH99" s="91">
        <v>0</v>
      </c>
      <c r="BI99" s="91">
        <v>0</v>
      </c>
      <c r="BJ99" s="91">
        <f t="shared" si="21"/>
        <v>0</v>
      </c>
      <c r="BK99" s="91">
        <v>0</v>
      </c>
      <c r="BL99" s="91">
        <v>1013</v>
      </c>
      <c r="BM99" s="91">
        <v>365</v>
      </c>
      <c r="BN99" s="91">
        <v>38</v>
      </c>
      <c r="BO99" s="91">
        <v>0</v>
      </c>
      <c r="BP99" s="91">
        <v>-12</v>
      </c>
      <c r="BQ99" s="91">
        <v>-39</v>
      </c>
      <c r="BR99" s="91">
        <v>-75</v>
      </c>
      <c r="BS99" s="91">
        <v>-118</v>
      </c>
      <c r="BT99" s="91">
        <v>749</v>
      </c>
      <c r="BU99" s="91">
        <v>0</v>
      </c>
      <c r="BV99" s="91">
        <v>30</v>
      </c>
      <c r="BW99" s="91">
        <v>-283</v>
      </c>
      <c r="BX99" s="91">
        <v>0</v>
      </c>
      <c r="BY99" s="91">
        <v>1668</v>
      </c>
      <c r="BZ99" s="91">
        <v>0</v>
      </c>
      <c r="CA99" s="91">
        <v>116</v>
      </c>
      <c r="CB99" s="91">
        <v>29</v>
      </c>
      <c r="CC99" s="91">
        <v>117</v>
      </c>
      <c r="CD99" s="91">
        <v>5</v>
      </c>
      <c r="CE99" s="91">
        <v>3</v>
      </c>
    </row>
    <row r="100" spans="1:83" s="58" customFormat="1" ht="15.6" customHeight="1" x14ac:dyDescent="0.25">
      <c r="A100" s="51">
        <v>10</v>
      </c>
      <c r="B100" s="52" t="s">
        <v>336</v>
      </c>
      <c r="C100" s="77" t="s">
        <v>337</v>
      </c>
      <c r="D100" s="50" t="s">
        <v>338</v>
      </c>
      <c r="E100" s="50" t="s">
        <v>122</v>
      </c>
      <c r="F100" s="50" t="s">
        <v>324</v>
      </c>
      <c r="G100" s="89">
        <v>10186260.4</v>
      </c>
      <c r="H100" s="89">
        <v>0</v>
      </c>
      <c r="I100" s="89">
        <v>7739.78</v>
      </c>
      <c r="J100" s="89">
        <v>0</v>
      </c>
      <c r="K100" s="89">
        <v>0</v>
      </c>
      <c r="L100" s="89">
        <v>10194000.18</v>
      </c>
      <c r="M100" s="89">
        <v>0</v>
      </c>
      <c r="N100" s="89">
        <v>2437017.12</v>
      </c>
      <c r="O100" s="89">
        <v>334857.84000000003</v>
      </c>
      <c r="P100" s="89">
        <v>2980731.7</v>
      </c>
      <c r="Q100" s="89">
        <v>0</v>
      </c>
      <c r="R100" s="89">
        <v>372982.17</v>
      </c>
      <c r="S100" s="89">
        <v>2068821.86</v>
      </c>
      <c r="T100" s="89">
        <v>1026122.03</v>
      </c>
      <c r="U100" s="89">
        <v>0</v>
      </c>
      <c r="V100" s="89">
        <v>0</v>
      </c>
      <c r="W100" s="89">
        <v>142230.14000000001</v>
      </c>
      <c r="X100" s="89">
        <v>895734.4</v>
      </c>
      <c r="Y100" s="89">
        <v>10258497.26</v>
      </c>
      <c r="Z100" s="81">
        <v>1.5815947528692965E-2</v>
      </c>
      <c r="AA100" s="89">
        <v>887602.03</v>
      </c>
      <c r="AB100" s="89">
        <v>0</v>
      </c>
      <c r="AC100" s="89">
        <v>0</v>
      </c>
      <c r="AD100" s="89">
        <v>0</v>
      </c>
      <c r="AE100" s="89">
        <v>76.930000000000007</v>
      </c>
      <c r="AF100" s="89">
        <f t="shared" si="19"/>
        <v>76.930000000000007</v>
      </c>
      <c r="AG100" s="89">
        <v>313770.34999999998</v>
      </c>
      <c r="AH100" s="89">
        <v>26236.45</v>
      </c>
      <c r="AI100" s="89">
        <v>47681.21</v>
      </c>
      <c r="AJ100" s="89">
        <v>0</v>
      </c>
      <c r="AK100" s="89">
        <v>48485.37</v>
      </c>
      <c r="AL100" s="89">
        <v>21600</v>
      </c>
      <c r="AM100" s="89">
        <v>52144.46</v>
      </c>
      <c r="AN100" s="89">
        <v>10500</v>
      </c>
      <c r="AO100" s="89">
        <v>36.869999999999997</v>
      </c>
      <c r="AP100" s="89">
        <v>20354.53</v>
      </c>
      <c r="AQ100" s="89">
        <v>17993.689999999999</v>
      </c>
      <c r="AR100" s="89">
        <v>0</v>
      </c>
      <c r="AS100" s="89">
        <v>0</v>
      </c>
      <c r="AT100" s="89">
        <v>2645.8</v>
      </c>
      <c r="AU100" s="89">
        <v>17072.11</v>
      </c>
      <c r="AV100" s="89">
        <v>29881.34</v>
      </c>
      <c r="AW100" s="89">
        <v>608402.18000000005</v>
      </c>
      <c r="AX100" s="89">
        <v>0</v>
      </c>
      <c r="AY100" s="81">
        <f t="shared" si="20"/>
        <v>0</v>
      </c>
      <c r="AZ100" s="89">
        <v>0</v>
      </c>
      <c r="BA100" s="81">
        <v>8.7137182355950762E-2</v>
      </c>
      <c r="BB100" s="80">
        <v>103463.52</v>
      </c>
      <c r="BC100" s="80">
        <v>57641.84</v>
      </c>
      <c r="BD100" s="80">
        <v>219587</v>
      </c>
      <c r="BE100" s="80">
        <v>0</v>
      </c>
      <c r="BF100" s="80">
        <v>149296.82999999999</v>
      </c>
      <c r="BG100" s="80">
        <v>0</v>
      </c>
      <c r="BH100" s="80">
        <v>0</v>
      </c>
      <c r="BI100" s="80">
        <v>0</v>
      </c>
      <c r="BJ100" s="80">
        <f t="shared" si="21"/>
        <v>0</v>
      </c>
      <c r="BK100" s="80">
        <v>0</v>
      </c>
      <c r="BL100" s="80">
        <v>1274</v>
      </c>
      <c r="BM100" s="80">
        <v>318</v>
      </c>
      <c r="BN100" s="80">
        <v>34</v>
      </c>
      <c r="BO100" s="80">
        <v>0</v>
      </c>
      <c r="BP100" s="80">
        <v>-2</v>
      </c>
      <c r="BQ100" s="80">
        <v>-32</v>
      </c>
      <c r="BR100" s="80">
        <v>-31</v>
      </c>
      <c r="BS100" s="80">
        <v>-86</v>
      </c>
      <c r="BT100" s="80">
        <v>1</v>
      </c>
      <c r="BU100" s="80">
        <v>0</v>
      </c>
      <c r="BV100" s="80">
        <v>134</v>
      </c>
      <c r="BW100" s="80">
        <v>-384</v>
      </c>
      <c r="BX100" s="80">
        <v>-2</v>
      </c>
      <c r="BY100" s="80">
        <v>1224</v>
      </c>
      <c r="BZ100" s="80">
        <v>1</v>
      </c>
      <c r="CA100" s="80">
        <v>64</v>
      </c>
      <c r="CB100" s="80">
        <v>28</v>
      </c>
      <c r="CC100" s="80">
        <v>212</v>
      </c>
      <c r="CD100" s="80">
        <v>2</v>
      </c>
      <c r="CE100" s="80">
        <v>2</v>
      </c>
    </row>
    <row r="101" spans="1:83" s="58" customFormat="1" ht="15.6" customHeight="1" x14ac:dyDescent="0.25">
      <c r="A101" s="51">
        <v>10</v>
      </c>
      <c r="B101" s="52" t="s">
        <v>339</v>
      </c>
      <c r="C101" s="77" t="s">
        <v>340</v>
      </c>
      <c r="D101" s="50" t="s">
        <v>325</v>
      </c>
      <c r="E101" s="50" t="s">
        <v>122</v>
      </c>
      <c r="F101" s="50" t="s">
        <v>324</v>
      </c>
      <c r="G101" s="89">
        <v>32103218.77</v>
      </c>
      <c r="H101" s="89">
        <v>127.04</v>
      </c>
      <c r="I101" s="89">
        <v>464412.85</v>
      </c>
      <c r="J101" s="89">
        <v>0</v>
      </c>
      <c r="K101" s="89">
        <v>0</v>
      </c>
      <c r="L101" s="89">
        <v>32567758.66</v>
      </c>
      <c r="M101" s="89">
        <v>0</v>
      </c>
      <c r="N101" s="89">
        <v>7616280.6399999997</v>
      </c>
      <c r="O101" s="89">
        <v>1602694.18</v>
      </c>
      <c r="P101" s="89">
        <v>6856432.6699999999</v>
      </c>
      <c r="Q101" s="89">
        <v>67253.89</v>
      </c>
      <c r="R101" s="89">
        <v>1720330.24</v>
      </c>
      <c r="S101" s="89">
        <v>7911703.5800000001</v>
      </c>
      <c r="T101" s="89">
        <v>3577087.09</v>
      </c>
      <c r="U101" s="89">
        <v>0</v>
      </c>
      <c r="V101" s="89">
        <v>76411.69</v>
      </c>
      <c r="W101" s="89">
        <v>678633.68</v>
      </c>
      <c r="X101" s="89">
        <v>2117720.21</v>
      </c>
      <c r="Y101" s="89">
        <v>32224547.870000001</v>
      </c>
      <c r="Z101" s="81">
        <v>8.1895222870540726E-2</v>
      </c>
      <c r="AA101" s="89">
        <v>2086014.99</v>
      </c>
      <c r="AB101" s="89">
        <v>0</v>
      </c>
      <c r="AC101" s="89">
        <v>0</v>
      </c>
      <c r="AD101" s="89">
        <v>0</v>
      </c>
      <c r="AE101" s="89">
        <v>186.9</v>
      </c>
      <c r="AF101" s="89">
        <f t="shared" si="19"/>
        <v>186.9</v>
      </c>
      <c r="AG101" s="89">
        <v>1103407.6100000001</v>
      </c>
      <c r="AH101" s="89">
        <v>82596.149999999994</v>
      </c>
      <c r="AI101" s="89">
        <v>306692.71000000002</v>
      </c>
      <c r="AJ101" s="89">
        <v>0</v>
      </c>
      <c r="AK101" s="89">
        <v>108071.83</v>
      </c>
      <c r="AL101" s="89">
        <v>17567.25</v>
      </c>
      <c r="AM101" s="89">
        <v>54000</v>
      </c>
      <c r="AN101" s="89">
        <v>10500</v>
      </c>
      <c r="AO101" s="89">
        <v>0</v>
      </c>
      <c r="AP101" s="89">
        <v>80261.429999999993</v>
      </c>
      <c r="AQ101" s="89">
        <v>67937.919999999998</v>
      </c>
      <c r="AR101" s="89">
        <v>10010.39</v>
      </c>
      <c r="AS101" s="89">
        <v>1312.2</v>
      </c>
      <c r="AT101" s="89">
        <v>14589.37</v>
      </c>
      <c r="AU101" s="89">
        <v>25908.65</v>
      </c>
      <c r="AV101" s="89">
        <v>30133.61</v>
      </c>
      <c r="AW101" s="89">
        <v>1912989.12</v>
      </c>
      <c r="AX101" s="89">
        <v>0</v>
      </c>
      <c r="AY101" s="81">
        <f t="shared" si="20"/>
        <v>0</v>
      </c>
      <c r="AZ101" s="89">
        <v>0</v>
      </c>
      <c r="BA101" s="81">
        <v>6.4978375064040347E-2</v>
      </c>
      <c r="BB101" s="80">
        <v>0</v>
      </c>
      <c r="BC101" s="80">
        <v>2629110.66</v>
      </c>
      <c r="BD101" s="80">
        <v>219587</v>
      </c>
      <c r="BE101" s="80">
        <v>0</v>
      </c>
      <c r="BF101" s="80">
        <v>253018.31999999899</v>
      </c>
      <c r="BG101" s="80">
        <v>0</v>
      </c>
      <c r="BH101" s="80">
        <v>0</v>
      </c>
      <c r="BI101" s="80">
        <v>0</v>
      </c>
      <c r="BJ101" s="80">
        <f t="shared" si="21"/>
        <v>0</v>
      </c>
      <c r="BK101" s="80">
        <v>0</v>
      </c>
      <c r="BL101" s="80">
        <v>4306</v>
      </c>
      <c r="BM101" s="80">
        <v>1223</v>
      </c>
      <c r="BN101" s="80">
        <v>58</v>
      </c>
      <c r="BO101" s="80">
        <v>-36</v>
      </c>
      <c r="BP101" s="80">
        <v>-40</v>
      </c>
      <c r="BQ101" s="80">
        <v>-178</v>
      </c>
      <c r="BR101" s="80">
        <v>-257</v>
      </c>
      <c r="BS101" s="80">
        <v>-302</v>
      </c>
      <c r="BT101" s="80">
        <v>0</v>
      </c>
      <c r="BU101" s="80">
        <v>0</v>
      </c>
      <c r="BV101" s="80">
        <v>162</v>
      </c>
      <c r="BW101" s="80">
        <v>-765</v>
      </c>
      <c r="BX101" s="80">
        <v>-1</v>
      </c>
      <c r="BY101" s="80">
        <v>4170</v>
      </c>
      <c r="BZ101" s="80">
        <v>2</v>
      </c>
      <c r="CA101" s="80">
        <v>315</v>
      </c>
      <c r="CB101" s="80">
        <v>101</v>
      </c>
      <c r="CC101" s="80">
        <v>369</v>
      </c>
      <c r="CD101" s="80">
        <v>17</v>
      </c>
      <c r="CE101" s="80">
        <v>19</v>
      </c>
    </row>
    <row r="102" spans="1:83" s="83" customFormat="1" ht="15.6" customHeight="1" x14ac:dyDescent="0.25">
      <c r="A102" s="32">
        <v>10</v>
      </c>
      <c r="B102" s="33" t="s">
        <v>572</v>
      </c>
      <c r="C102" s="75" t="s">
        <v>89</v>
      </c>
      <c r="D102" s="34" t="s">
        <v>341</v>
      </c>
      <c r="E102" s="34" t="s">
        <v>331</v>
      </c>
      <c r="F102" s="34" t="s">
        <v>332</v>
      </c>
      <c r="G102" s="90">
        <v>4495007</v>
      </c>
      <c r="H102" s="90">
        <v>2056</v>
      </c>
      <c r="I102" s="90">
        <v>0</v>
      </c>
      <c r="J102" s="90">
        <v>0</v>
      </c>
      <c r="K102" s="90">
        <v>0</v>
      </c>
      <c r="L102" s="90">
        <v>4497063</v>
      </c>
      <c r="M102" s="90">
        <v>0</v>
      </c>
      <c r="N102" s="90">
        <v>217870</v>
      </c>
      <c r="O102" s="90">
        <v>237589</v>
      </c>
      <c r="P102" s="90">
        <v>675873</v>
      </c>
      <c r="Q102" s="90">
        <v>0</v>
      </c>
      <c r="R102" s="90">
        <v>258089</v>
      </c>
      <c r="S102" s="90">
        <v>2017298</v>
      </c>
      <c r="T102" s="90">
        <v>397395</v>
      </c>
      <c r="U102" s="90">
        <v>0</v>
      </c>
      <c r="V102" s="90">
        <v>0</v>
      </c>
      <c r="W102" s="90">
        <v>192047</v>
      </c>
      <c r="X102" s="90">
        <v>440453</v>
      </c>
      <c r="Y102" s="90">
        <v>4436615</v>
      </c>
      <c r="Z102" s="93">
        <f>292244/(4495007+2056)</f>
        <v>6.498552499709255E-2</v>
      </c>
      <c r="AA102" s="90">
        <v>440453</v>
      </c>
      <c r="AB102" s="90">
        <v>0</v>
      </c>
      <c r="AC102" s="90">
        <v>0</v>
      </c>
      <c r="AD102" s="90">
        <v>0</v>
      </c>
      <c r="AE102" s="90">
        <v>4</v>
      </c>
      <c r="AF102" s="90">
        <f t="shared" ref="AF102" si="22">SUM(AD102:AE102)</f>
        <v>4</v>
      </c>
      <c r="AG102" s="90">
        <v>213791</v>
      </c>
      <c r="AH102" s="90">
        <v>19007</v>
      </c>
      <c r="AI102" s="90">
        <v>19228</v>
      </c>
      <c r="AJ102" s="90">
        <v>0</v>
      </c>
      <c r="AK102" s="90">
        <v>19027</v>
      </c>
      <c r="AL102" s="90">
        <v>11900</v>
      </c>
      <c r="AM102" s="90">
        <v>11287</v>
      </c>
      <c r="AN102" s="90">
        <v>9225</v>
      </c>
      <c r="AO102" s="90">
        <v>0</v>
      </c>
      <c r="AP102" s="90">
        <v>0</v>
      </c>
      <c r="AQ102" s="90">
        <f>1620+4411+5650</f>
        <v>11681</v>
      </c>
      <c r="AR102" s="90">
        <v>0</v>
      </c>
      <c r="AS102" s="90">
        <v>0</v>
      </c>
      <c r="AT102" s="90">
        <v>0</v>
      </c>
      <c r="AU102" s="90">
        <v>9050</v>
      </c>
      <c r="AV102" s="90">
        <v>41828</v>
      </c>
      <c r="AW102" s="90">
        <v>366024</v>
      </c>
      <c r="AX102" s="90">
        <v>0</v>
      </c>
      <c r="AY102" s="93">
        <f t="shared" ref="AY102" si="23">AX102/AW102</f>
        <v>0</v>
      </c>
      <c r="AZ102" s="90">
        <v>0</v>
      </c>
      <c r="BA102" s="93">
        <f>440453/4495007</f>
        <v>9.7987166649573632E-2</v>
      </c>
      <c r="BB102" s="90">
        <v>161822</v>
      </c>
      <c r="BC102" s="90">
        <v>130422</v>
      </c>
      <c r="BD102" s="90">
        <v>135757</v>
      </c>
      <c r="BE102" s="90">
        <v>0</v>
      </c>
      <c r="BF102" s="90">
        <v>0</v>
      </c>
      <c r="BG102" s="90">
        <v>0</v>
      </c>
      <c r="BH102" s="90">
        <v>0</v>
      </c>
      <c r="BI102" s="90">
        <v>0</v>
      </c>
      <c r="BJ102" s="90">
        <f t="shared" si="21"/>
        <v>0</v>
      </c>
      <c r="BK102" s="90">
        <v>0</v>
      </c>
      <c r="BL102" s="91">
        <v>753</v>
      </c>
      <c r="BM102" s="91">
        <v>227</v>
      </c>
      <c r="BN102" s="91">
        <v>4</v>
      </c>
      <c r="BO102" s="91">
        <v>0</v>
      </c>
      <c r="BP102" s="91">
        <v>-15</v>
      </c>
      <c r="BQ102" s="91">
        <v>-18</v>
      </c>
      <c r="BR102" s="91">
        <v>-60</v>
      </c>
      <c r="BS102" s="91">
        <v>-36</v>
      </c>
      <c r="BT102" s="91">
        <v>0</v>
      </c>
      <c r="BU102" s="91">
        <v>-1</v>
      </c>
      <c r="BV102" s="91">
        <v>70</v>
      </c>
      <c r="BW102" s="91">
        <v>-181</v>
      </c>
      <c r="BX102" s="91">
        <v>-1</v>
      </c>
      <c r="BY102" s="91">
        <v>742</v>
      </c>
      <c r="BZ102" s="91">
        <v>0</v>
      </c>
      <c r="CA102" s="91">
        <v>71</v>
      </c>
      <c r="CB102" s="91">
        <v>18</v>
      </c>
      <c r="CC102" s="91">
        <v>87</v>
      </c>
      <c r="CD102" s="91">
        <v>4</v>
      </c>
      <c r="CE102" s="91">
        <v>1</v>
      </c>
    </row>
    <row r="103" spans="1:83" s="83" customFormat="1" ht="15.6" customHeight="1" x14ac:dyDescent="0.25">
      <c r="A103" s="32">
        <v>10</v>
      </c>
      <c r="B103" s="94" t="s">
        <v>545</v>
      </c>
      <c r="C103" s="75" t="s">
        <v>89</v>
      </c>
      <c r="D103" s="34" t="s">
        <v>325</v>
      </c>
      <c r="E103" s="34" t="s">
        <v>122</v>
      </c>
      <c r="F103" s="34" t="s">
        <v>324</v>
      </c>
      <c r="G103" s="90">
        <v>35783491.759999998</v>
      </c>
      <c r="H103" s="90">
        <v>98761.14</v>
      </c>
      <c r="I103" s="90">
        <v>1800242.4800000002</v>
      </c>
      <c r="J103" s="90">
        <v>0</v>
      </c>
      <c r="K103" s="90">
        <v>0</v>
      </c>
      <c r="L103" s="90">
        <v>37682495.380000003</v>
      </c>
      <c r="M103" s="90">
        <v>0</v>
      </c>
      <c r="N103" s="90">
        <v>9498303.5</v>
      </c>
      <c r="O103" s="90">
        <v>1668298.19</v>
      </c>
      <c r="P103" s="90">
        <v>7332392.6100000003</v>
      </c>
      <c r="Q103" s="90">
        <v>39583.35</v>
      </c>
      <c r="R103" s="90">
        <v>1568896.76</v>
      </c>
      <c r="S103" s="90">
        <v>9473148.3499999996</v>
      </c>
      <c r="T103" s="90">
        <v>3758060.4</v>
      </c>
      <c r="U103" s="90">
        <v>0</v>
      </c>
      <c r="V103" s="90">
        <v>98761.14</v>
      </c>
      <c r="W103" s="90">
        <v>1966488.9</v>
      </c>
      <c r="X103" s="90">
        <v>2537357.7400000002</v>
      </c>
      <c r="Y103" s="90">
        <v>37941290.939999998</v>
      </c>
      <c r="Z103" s="93">
        <v>6.3014555309596515E-2</v>
      </c>
      <c r="AA103" s="90">
        <v>2537357.7400000002</v>
      </c>
      <c r="AB103" s="90">
        <v>0</v>
      </c>
      <c r="AC103" s="90">
        <v>0</v>
      </c>
      <c r="AD103" s="90">
        <v>0</v>
      </c>
      <c r="AE103" s="90">
        <v>155.71</v>
      </c>
      <c r="AF103" s="90">
        <f t="shared" ref="AF103:AF131" si="24">SUM(AD103:AE103)</f>
        <v>155.71</v>
      </c>
      <c r="AG103" s="90">
        <v>1494516.25</v>
      </c>
      <c r="AH103" s="90">
        <v>117227.58</v>
      </c>
      <c r="AI103" s="90">
        <v>402352.99</v>
      </c>
      <c r="AJ103" s="90">
        <v>0</v>
      </c>
      <c r="AK103" s="90">
        <v>157195.96</v>
      </c>
      <c r="AL103" s="90">
        <v>21160.65</v>
      </c>
      <c r="AM103" s="90">
        <v>48300</v>
      </c>
      <c r="AN103" s="90">
        <v>10500</v>
      </c>
      <c r="AO103" s="90">
        <v>4925</v>
      </c>
      <c r="AP103" s="90">
        <v>90369.84</v>
      </c>
      <c r="AQ103" s="90">
        <v>67678.44</v>
      </c>
      <c r="AR103" s="90">
        <v>23219.98</v>
      </c>
      <c r="AS103" s="90">
        <v>0</v>
      </c>
      <c r="AT103" s="90">
        <v>2594.27</v>
      </c>
      <c r="AU103" s="90">
        <v>26814.01</v>
      </c>
      <c r="AV103" s="90">
        <v>51972.56</v>
      </c>
      <c r="AW103" s="90">
        <v>2518827.5299999998</v>
      </c>
      <c r="AX103" s="90">
        <v>0</v>
      </c>
      <c r="AY103" s="93">
        <f t="shared" ref="AY103:AY131" si="25">AX103/AW103</f>
        <v>0</v>
      </c>
      <c r="AZ103" s="90">
        <v>0</v>
      </c>
      <c r="BA103" s="93">
        <v>7.0908612189611545E-2</v>
      </c>
      <c r="BB103" s="91">
        <v>0</v>
      </c>
      <c r="BC103" s="91">
        <v>2261104.21</v>
      </c>
      <c r="BD103" s="91">
        <v>216829</v>
      </c>
      <c r="BE103" s="91">
        <v>0</v>
      </c>
      <c r="BF103" s="91">
        <v>225723.15000000101</v>
      </c>
      <c r="BG103" s="91">
        <v>0</v>
      </c>
      <c r="BH103" s="91">
        <v>0</v>
      </c>
      <c r="BI103" s="91">
        <v>0</v>
      </c>
      <c r="BJ103" s="91">
        <f t="shared" ref="BJ103:BJ131" si="26">SUM(BH103:BI103)</f>
        <v>0</v>
      </c>
      <c r="BK103" s="91">
        <v>0</v>
      </c>
      <c r="BL103" s="91">
        <v>5059</v>
      </c>
      <c r="BM103" s="91">
        <v>1392</v>
      </c>
      <c r="BN103" s="91">
        <v>104</v>
      </c>
      <c r="BO103" s="91">
        <v>-7</v>
      </c>
      <c r="BP103" s="91">
        <v>-55</v>
      </c>
      <c r="BQ103" s="91">
        <v>-156</v>
      </c>
      <c r="BR103" s="91">
        <v>-233</v>
      </c>
      <c r="BS103" s="91">
        <v>-345</v>
      </c>
      <c r="BT103" s="91">
        <v>8</v>
      </c>
      <c r="BU103" s="91">
        <v>0</v>
      </c>
      <c r="BV103" s="91">
        <v>0</v>
      </c>
      <c r="BW103" s="91">
        <v>-959</v>
      </c>
      <c r="BX103" s="91">
        <v>-2</v>
      </c>
      <c r="BY103" s="91">
        <v>4806</v>
      </c>
      <c r="BZ103" s="91">
        <v>12</v>
      </c>
      <c r="CA103" s="91">
        <v>335</v>
      </c>
      <c r="CB103" s="91">
        <v>101</v>
      </c>
      <c r="CC103" s="91">
        <v>509</v>
      </c>
      <c r="CD103" s="91">
        <v>2</v>
      </c>
      <c r="CE103" s="91">
        <v>8</v>
      </c>
    </row>
    <row r="104" spans="1:83" s="58" customFormat="1" ht="15.6" customHeight="1" x14ac:dyDescent="0.25">
      <c r="A104" s="38">
        <v>10</v>
      </c>
      <c r="B104" s="39" t="s">
        <v>147</v>
      </c>
      <c r="C104" s="77" t="s">
        <v>342</v>
      </c>
      <c r="D104" s="50" t="s">
        <v>343</v>
      </c>
      <c r="E104" s="50" t="s">
        <v>104</v>
      </c>
      <c r="F104" s="50" t="s">
        <v>324</v>
      </c>
      <c r="G104" s="89">
        <v>23481071.870000001</v>
      </c>
      <c r="H104" s="89">
        <v>11060.67</v>
      </c>
      <c r="I104" s="89">
        <v>913762.19</v>
      </c>
      <c r="J104" s="89">
        <v>0</v>
      </c>
      <c r="K104" s="89">
        <v>0</v>
      </c>
      <c r="L104" s="89">
        <v>24405894.73</v>
      </c>
      <c r="M104" s="89">
        <v>0</v>
      </c>
      <c r="N104" s="89">
        <v>8807590.5800000001</v>
      </c>
      <c r="O104" s="89">
        <v>1253627.8700000001</v>
      </c>
      <c r="P104" s="89">
        <v>4773087.5199999996</v>
      </c>
      <c r="Q104" s="89">
        <v>33861.279999999999</v>
      </c>
      <c r="R104" s="89">
        <v>562984.93000000005</v>
      </c>
      <c r="S104" s="89">
        <v>5001298.43</v>
      </c>
      <c r="T104" s="89">
        <v>1757922.81</v>
      </c>
      <c r="U104" s="89">
        <v>0</v>
      </c>
      <c r="V104" s="89">
        <v>117109.66</v>
      </c>
      <c r="W104" s="89">
        <v>974377.54</v>
      </c>
      <c r="X104" s="89">
        <v>1511909.2300000002</v>
      </c>
      <c r="Y104" s="89">
        <v>24793769.850000001</v>
      </c>
      <c r="Z104" s="81">
        <v>0.11366544290746668</v>
      </c>
      <c r="AA104" s="89">
        <v>1501242.86</v>
      </c>
      <c r="AB104" s="89">
        <v>0</v>
      </c>
      <c r="AC104" s="89">
        <v>0</v>
      </c>
      <c r="AD104" s="89">
        <v>0</v>
      </c>
      <c r="AE104" s="89">
        <v>0</v>
      </c>
      <c r="AF104" s="89">
        <f t="shared" si="24"/>
        <v>0</v>
      </c>
      <c r="AG104" s="89">
        <v>752355.92</v>
      </c>
      <c r="AH104" s="89">
        <v>59334.1</v>
      </c>
      <c r="AI104" s="89">
        <v>151160.48000000001</v>
      </c>
      <c r="AJ104" s="89">
        <v>0</v>
      </c>
      <c r="AK104" s="89">
        <v>119430.49</v>
      </c>
      <c r="AL104" s="89">
        <v>39973.300000000003</v>
      </c>
      <c r="AM104" s="89">
        <v>63327</v>
      </c>
      <c r="AN104" s="89">
        <v>10500</v>
      </c>
      <c r="AO104" s="89">
        <v>8128.22</v>
      </c>
      <c r="AP104" s="89">
        <v>24692.58</v>
      </c>
      <c r="AQ104" s="89">
        <v>73596.490000000005</v>
      </c>
      <c r="AR104" s="89">
        <v>22814.959999999999</v>
      </c>
      <c r="AS104" s="89">
        <v>1055</v>
      </c>
      <c r="AT104" s="89">
        <v>17729.849999999999</v>
      </c>
      <c r="AU104" s="89">
        <v>8257.17</v>
      </c>
      <c r="AV104" s="89">
        <v>138644.32</v>
      </c>
      <c r="AW104" s="89">
        <v>1490999.88</v>
      </c>
      <c r="AX104" s="89">
        <v>0</v>
      </c>
      <c r="AY104" s="81">
        <f t="shared" si="25"/>
        <v>0</v>
      </c>
      <c r="AZ104" s="89">
        <v>1126</v>
      </c>
      <c r="BA104" s="81">
        <v>6.3934170821138073E-2</v>
      </c>
      <c r="BB104" s="80">
        <v>508432.06</v>
      </c>
      <c r="BC104" s="80">
        <v>2161811.59</v>
      </c>
      <c r="BD104" s="80">
        <v>219548.84</v>
      </c>
      <c r="BE104" s="80">
        <v>0</v>
      </c>
      <c r="BF104" s="80">
        <v>241600.48</v>
      </c>
      <c r="BG104" s="80">
        <v>0</v>
      </c>
      <c r="BH104" s="80">
        <v>0</v>
      </c>
      <c r="BI104" s="80">
        <v>0</v>
      </c>
      <c r="BJ104" s="80">
        <f t="shared" si="26"/>
        <v>0</v>
      </c>
      <c r="BK104" s="80">
        <v>0</v>
      </c>
      <c r="BL104" s="80">
        <v>2062</v>
      </c>
      <c r="BM104" s="80">
        <v>725</v>
      </c>
      <c r="BN104" s="80">
        <v>0</v>
      </c>
      <c r="BO104" s="80">
        <v>0</v>
      </c>
      <c r="BP104" s="80">
        <v>-15</v>
      </c>
      <c r="BQ104" s="80">
        <v>-41</v>
      </c>
      <c r="BR104" s="80">
        <v>-206</v>
      </c>
      <c r="BS104" s="80">
        <v>-230</v>
      </c>
      <c r="BT104" s="80">
        <v>0</v>
      </c>
      <c r="BU104" s="80">
        <v>0</v>
      </c>
      <c r="BV104" s="80">
        <v>0</v>
      </c>
      <c r="BW104" s="80">
        <v>-347</v>
      </c>
      <c r="BX104" s="80">
        <v>-1</v>
      </c>
      <c r="BY104" s="80">
        <v>1947</v>
      </c>
      <c r="BZ104" s="80">
        <v>22</v>
      </c>
      <c r="CA104" s="80">
        <v>201</v>
      </c>
      <c r="CB104" s="80">
        <v>27</v>
      </c>
      <c r="CC104" s="80">
        <v>89</v>
      </c>
      <c r="CD104" s="80">
        <v>19</v>
      </c>
      <c r="CE104" s="80">
        <v>11</v>
      </c>
    </row>
    <row r="105" spans="1:83" s="58" customFormat="1" ht="15.6" customHeight="1" x14ac:dyDescent="0.25">
      <c r="A105" s="51">
        <v>10</v>
      </c>
      <c r="B105" s="52" t="s">
        <v>344</v>
      </c>
      <c r="C105" s="77" t="s">
        <v>241</v>
      </c>
      <c r="D105" s="50" t="s">
        <v>345</v>
      </c>
      <c r="E105" s="50" t="s">
        <v>122</v>
      </c>
      <c r="F105" s="50" t="s">
        <v>324</v>
      </c>
      <c r="G105" s="89">
        <v>13132437.16</v>
      </c>
      <c r="H105" s="89">
        <v>0.08</v>
      </c>
      <c r="I105" s="89">
        <v>72178.680000000008</v>
      </c>
      <c r="J105" s="89">
        <v>0</v>
      </c>
      <c r="K105" s="89">
        <v>0</v>
      </c>
      <c r="L105" s="89">
        <v>13204615.92</v>
      </c>
      <c r="M105" s="89">
        <v>0</v>
      </c>
      <c r="N105" s="89">
        <v>3449786.69</v>
      </c>
      <c r="O105" s="89">
        <v>597409.73</v>
      </c>
      <c r="P105" s="89">
        <v>3205060.44</v>
      </c>
      <c r="Q105" s="89">
        <v>0</v>
      </c>
      <c r="R105" s="89">
        <v>323827.20000000001</v>
      </c>
      <c r="S105" s="89">
        <v>2749455.38</v>
      </c>
      <c r="T105" s="89">
        <v>1501043.43</v>
      </c>
      <c r="U105" s="89">
        <v>0</v>
      </c>
      <c r="V105" s="89">
        <v>0</v>
      </c>
      <c r="W105" s="89">
        <v>257872.73</v>
      </c>
      <c r="X105" s="89">
        <v>1038163.64</v>
      </c>
      <c r="Y105" s="89">
        <v>13122619.24</v>
      </c>
      <c r="Z105" s="81">
        <v>2.3893276949709375E-2</v>
      </c>
      <c r="AA105" s="89">
        <v>1001806.39</v>
      </c>
      <c r="AB105" s="89">
        <v>0</v>
      </c>
      <c r="AC105" s="89">
        <v>0</v>
      </c>
      <c r="AD105" s="89">
        <v>0</v>
      </c>
      <c r="AE105" s="89">
        <v>17.18</v>
      </c>
      <c r="AF105" s="89">
        <f t="shared" si="24"/>
        <v>17.18</v>
      </c>
      <c r="AG105" s="89">
        <v>309572.15999999997</v>
      </c>
      <c r="AH105" s="89">
        <v>25192.82</v>
      </c>
      <c r="AI105" s="89">
        <v>80345.240000000005</v>
      </c>
      <c r="AJ105" s="89">
        <v>9675</v>
      </c>
      <c r="AK105" s="89">
        <v>38871.46</v>
      </c>
      <c r="AL105" s="89">
        <v>22736.51</v>
      </c>
      <c r="AM105" s="89">
        <v>63464.15</v>
      </c>
      <c r="AN105" s="89">
        <v>10500</v>
      </c>
      <c r="AO105" s="89">
        <v>9061.94</v>
      </c>
      <c r="AP105" s="89">
        <v>78712.44</v>
      </c>
      <c r="AQ105" s="89">
        <v>31540.91</v>
      </c>
      <c r="AR105" s="89">
        <v>10613.68</v>
      </c>
      <c r="AS105" s="89">
        <v>660.19</v>
      </c>
      <c r="AT105" s="89">
        <v>33430.6</v>
      </c>
      <c r="AU105" s="89">
        <v>22513.88</v>
      </c>
      <c r="AV105" s="89">
        <v>46026.14</v>
      </c>
      <c r="AW105" s="89">
        <v>792917.12</v>
      </c>
      <c r="AX105" s="89">
        <v>0</v>
      </c>
      <c r="AY105" s="81">
        <f t="shared" si="25"/>
        <v>0</v>
      </c>
      <c r="AZ105" s="89">
        <v>0</v>
      </c>
      <c r="BA105" s="81">
        <v>7.6284879782360218E-2</v>
      </c>
      <c r="BB105" s="80">
        <v>152812.79999999999</v>
      </c>
      <c r="BC105" s="80">
        <v>160964.16</v>
      </c>
      <c r="BD105" s="80">
        <v>219587</v>
      </c>
      <c r="BE105" s="80">
        <v>2.91038304567337E-11</v>
      </c>
      <c r="BF105" s="80">
        <v>161268.53</v>
      </c>
      <c r="BG105" s="80">
        <v>0</v>
      </c>
      <c r="BH105" s="80">
        <v>0</v>
      </c>
      <c r="BI105" s="80">
        <v>0</v>
      </c>
      <c r="BJ105" s="80">
        <f t="shared" si="26"/>
        <v>0</v>
      </c>
      <c r="BK105" s="80">
        <v>0</v>
      </c>
      <c r="BL105" s="80">
        <v>1572</v>
      </c>
      <c r="BM105" s="80">
        <v>464</v>
      </c>
      <c r="BN105" s="80">
        <v>16</v>
      </c>
      <c r="BO105" s="80">
        <v>-19</v>
      </c>
      <c r="BP105" s="80">
        <v>-4</v>
      </c>
      <c r="BQ105" s="80">
        <v>-31</v>
      </c>
      <c r="BR105" s="80">
        <v>-46</v>
      </c>
      <c r="BS105" s="80">
        <v>-129</v>
      </c>
      <c r="BT105" s="80">
        <v>3</v>
      </c>
      <c r="BU105" s="80">
        <v>0</v>
      </c>
      <c r="BV105" s="80">
        <v>147</v>
      </c>
      <c r="BW105" s="80">
        <v>-282</v>
      </c>
      <c r="BX105" s="80">
        <v>-7</v>
      </c>
      <c r="BY105" s="80">
        <f>SUM(BL105:BX105)</f>
        <v>1684</v>
      </c>
      <c r="BZ105" s="80">
        <v>3</v>
      </c>
      <c r="CA105" s="80">
        <v>80</v>
      </c>
      <c r="CB105" s="80">
        <v>32</v>
      </c>
      <c r="CC105" s="80">
        <v>131</v>
      </c>
      <c r="CD105" s="80">
        <v>34</v>
      </c>
      <c r="CE105" s="80">
        <v>3</v>
      </c>
    </row>
    <row r="106" spans="1:83" s="58" customFormat="1" ht="15.6" customHeight="1" x14ac:dyDescent="0.25">
      <c r="A106" s="51">
        <v>10</v>
      </c>
      <c r="B106" s="52" t="s">
        <v>346</v>
      </c>
      <c r="C106" s="77" t="s">
        <v>260</v>
      </c>
      <c r="D106" s="50" t="s">
        <v>222</v>
      </c>
      <c r="E106" s="50" t="s">
        <v>104</v>
      </c>
      <c r="F106" s="50" t="s">
        <v>324</v>
      </c>
      <c r="G106" s="89">
        <v>4206734.9000000004</v>
      </c>
      <c r="H106" s="89">
        <v>127773.63</v>
      </c>
      <c r="I106" s="89">
        <v>0</v>
      </c>
      <c r="J106" s="89">
        <v>0</v>
      </c>
      <c r="K106" s="89">
        <v>0</v>
      </c>
      <c r="L106" s="89">
        <v>4334508.53</v>
      </c>
      <c r="M106" s="89">
        <v>0</v>
      </c>
      <c r="N106" s="89">
        <v>1770987.91</v>
      </c>
      <c r="O106" s="89">
        <v>203999.93</v>
      </c>
      <c r="P106" s="89">
        <v>651209.18000000005</v>
      </c>
      <c r="Q106" s="89">
        <v>0</v>
      </c>
      <c r="R106" s="89">
        <v>85167.85</v>
      </c>
      <c r="S106" s="89">
        <v>910207.01</v>
      </c>
      <c r="T106" s="89">
        <v>229335.62</v>
      </c>
      <c r="U106" s="89">
        <v>0</v>
      </c>
      <c r="V106" s="89">
        <v>16574.87</v>
      </c>
      <c r="W106" s="89">
        <v>160329.07</v>
      </c>
      <c r="X106" s="89">
        <v>291249.37</v>
      </c>
      <c r="Y106" s="89">
        <v>4319060.8099999996</v>
      </c>
      <c r="Z106" s="81">
        <v>8.8818936987995728E-2</v>
      </c>
      <c r="AA106" s="89">
        <v>278475.23</v>
      </c>
      <c r="AB106" s="89">
        <v>0</v>
      </c>
      <c r="AC106" s="89">
        <v>0</v>
      </c>
      <c r="AD106" s="89">
        <v>0</v>
      </c>
      <c r="AE106" s="89">
        <v>24.07</v>
      </c>
      <c r="AF106" s="89">
        <f t="shared" si="24"/>
        <v>24.07</v>
      </c>
      <c r="AG106" s="89">
        <v>11728.7</v>
      </c>
      <c r="AH106" s="89">
        <v>928.42</v>
      </c>
      <c r="AI106" s="89">
        <v>0</v>
      </c>
      <c r="AJ106" s="89">
        <v>7783.66</v>
      </c>
      <c r="AK106" s="89">
        <v>7800</v>
      </c>
      <c r="AL106" s="89">
        <v>8800</v>
      </c>
      <c r="AM106" s="89">
        <v>12802.09</v>
      </c>
      <c r="AN106" s="89">
        <v>10500</v>
      </c>
      <c r="AO106" s="89">
        <v>0</v>
      </c>
      <c r="AP106" s="89">
        <v>7035.49</v>
      </c>
      <c r="AQ106" s="89">
        <v>4619.4399999999996</v>
      </c>
      <c r="AR106" s="89">
        <v>1974.27</v>
      </c>
      <c r="AS106" s="89">
        <v>164.81</v>
      </c>
      <c r="AT106" s="89">
        <v>0</v>
      </c>
      <c r="AU106" s="89">
        <v>7906.25</v>
      </c>
      <c r="AV106" s="89">
        <v>6523.29</v>
      </c>
      <c r="AW106" s="89">
        <v>88566.42</v>
      </c>
      <c r="AX106" s="89">
        <v>0</v>
      </c>
      <c r="AY106" s="81">
        <f t="shared" si="25"/>
        <v>0</v>
      </c>
      <c r="AZ106" s="89">
        <v>0</v>
      </c>
      <c r="BA106" s="81">
        <v>6.6197475386433308E-2</v>
      </c>
      <c r="BB106" s="80">
        <v>44716.67</v>
      </c>
      <c r="BC106" s="80">
        <v>340269.77</v>
      </c>
      <c r="BD106" s="80">
        <v>210983.33</v>
      </c>
      <c r="BE106" s="80">
        <v>0</v>
      </c>
      <c r="BF106" s="80">
        <v>20071.740000000002</v>
      </c>
      <c r="BG106" s="80">
        <v>0</v>
      </c>
      <c r="BH106" s="80">
        <v>0</v>
      </c>
      <c r="BI106" s="80">
        <v>0</v>
      </c>
      <c r="BJ106" s="80">
        <f t="shared" si="26"/>
        <v>0</v>
      </c>
      <c r="BK106" s="80">
        <v>0</v>
      </c>
      <c r="BL106" s="80">
        <v>321</v>
      </c>
      <c r="BM106" s="80">
        <v>117</v>
      </c>
      <c r="BN106" s="80">
        <v>0</v>
      </c>
      <c r="BO106" s="80">
        <v>0</v>
      </c>
      <c r="BP106" s="80">
        <v>-2</v>
      </c>
      <c r="BQ106" s="80">
        <v>-13</v>
      </c>
      <c r="BR106" s="80">
        <v>-20</v>
      </c>
      <c r="BS106" s="80">
        <v>-22</v>
      </c>
      <c r="BT106" s="80">
        <v>1</v>
      </c>
      <c r="BU106" s="80">
        <v>0</v>
      </c>
      <c r="BV106" s="80">
        <v>2</v>
      </c>
      <c r="BW106" s="80">
        <v>-69</v>
      </c>
      <c r="BX106" s="80">
        <v>-1</v>
      </c>
      <c r="BY106" s="80">
        <v>314</v>
      </c>
      <c r="BZ106" s="80">
        <v>2</v>
      </c>
      <c r="CA106" s="80">
        <v>43</v>
      </c>
      <c r="CB106" s="80">
        <v>4</v>
      </c>
      <c r="CC106" s="80">
        <v>19</v>
      </c>
      <c r="CD106" s="80">
        <v>3</v>
      </c>
      <c r="CE106" s="80">
        <v>1</v>
      </c>
    </row>
    <row r="107" spans="1:83" s="58" customFormat="1" ht="15.6" customHeight="1" x14ac:dyDescent="0.25">
      <c r="A107" s="51">
        <v>10</v>
      </c>
      <c r="B107" s="52" t="s">
        <v>347</v>
      </c>
      <c r="C107" s="77" t="s">
        <v>348</v>
      </c>
      <c r="D107" s="50" t="s">
        <v>349</v>
      </c>
      <c r="E107" s="50" t="s">
        <v>122</v>
      </c>
      <c r="F107" s="50" t="s">
        <v>332</v>
      </c>
      <c r="G107" s="89">
        <v>32873714.510000002</v>
      </c>
      <c r="H107" s="89">
        <v>0</v>
      </c>
      <c r="I107" s="89">
        <v>1214637.9100000001</v>
      </c>
      <c r="J107" s="89">
        <v>0</v>
      </c>
      <c r="K107" s="89">
        <v>0</v>
      </c>
      <c r="L107" s="89">
        <v>34088352.420000002</v>
      </c>
      <c r="M107" s="89">
        <v>0</v>
      </c>
      <c r="N107" s="89">
        <v>6651645.6799999997</v>
      </c>
      <c r="O107" s="89">
        <v>1401186.51</v>
      </c>
      <c r="P107" s="89">
        <v>9834153.4299999997</v>
      </c>
      <c r="Q107" s="89">
        <v>0</v>
      </c>
      <c r="R107" s="89">
        <v>1232633.26</v>
      </c>
      <c r="S107" s="89">
        <v>7920807.1399999997</v>
      </c>
      <c r="T107" s="89">
        <v>3562226.63</v>
      </c>
      <c r="U107" s="89">
        <v>0</v>
      </c>
      <c r="V107" s="89">
        <v>98934.95</v>
      </c>
      <c r="W107" s="89">
        <v>1467293.33</v>
      </c>
      <c r="X107" s="89">
        <v>2017961.25</v>
      </c>
      <c r="Y107" s="89">
        <v>34186842.18</v>
      </c>
      <c r="Z107" s="81">
        <v>5.0498925075686554E-2</v>
      </c>
      <c r="AA107" s="89">
        <v>1986303.97</v>
      </c>
      <c r="AB107" s="89">
        <v>0</v>
      </c>
      <c r="AC107" s="89">
        <v>0</v>
      </c>
      <c r="AD107" s="89">
        <v>0</v>
      </c>
      <c r="AE107" s="89">
        <v>0</v>
      </c>
      <c r="AF107" s="89">
        <f t="shared" si="24"/>
        <v>0</v>
      </c>
      <c r="AG107" s="89">
        <v>1033285.69</v>
      </c>
      <c r="AH107" s="89">
        <v>98014.82</v>
      </c>
      <c r="AI107" s="89">
        <v>284655.32</v>
      </c>
      <c r="AJ107" s="89">
        <v>0</v>
      </c>
      <c r="AK107" s="89">
        <v>109849.25</v>
      </c>
      <c r="AL107" s="89">
        <v>35393.5</v>
      </c>
      <c r="AM107" s="89">
        <v>59586.49</v>
      </c>
      <c r="AN107" s="89">
        <v>9795</v>
      </c>
      <c r="AO107" s="89">
        <v>15493.42</v>
      </c>
      <c r="AP107" s="89">
        <v>22977.57</v>
      </c>
      <c r="AQ107" s="89">
        <v>44451.71</v>
      </c>
      <c r="AR107" s="89">
        <v>31667.42</v>
      </c>
      <c r="AS107" s="89">
        <v>815</v>
      </c>
      <c r="AT107" s="89">
        <v>4565.96</v>
      </c>
      <c r="AU107" s="89">
        <v>65210.34</v>
      </c>
      <c r="AV107" s="89">
        <v>76471.64</v>
      </c>
      <c r="AW107" s="89">
        <v>1892233.13</v>
      </c>
      <c r="AX107" s="89">
        <v>0</v>
      </c>
      <c r="AY107" s="81">
        <f t="shared" si="25"/>
        <v>0</v>
      </c>
      <c r="AZ107" s="89">
        <v>0</v>
      </c>
      <c r="BA107" s="81">
        <v>6.0422255276195734E-2</v>
      </c>
      <c r="BB107" s="80">
        <v>277093.53999999998</v>
      </c>
      <c r="BC107" s="80">
        <v>1382993.71</v>
      </c>
      <c r="BD107" s="80">
        <v>219587</v>
      </c>
      <c r="BE107" s="80">
        <v>0</v>
      </c>
      <c r="BF107" s="80">
        <v>409102.76</v>
      </c>
      <c r="BG107" s="80">
        <v>0</v>
      </c>
      <c r="BH107" s="80">
        <v>0</v>
      </c>
      <c r="BI107" s="80">
        <v>0</v>
      </c>
      <c r="BJ107" s="80">
        <f t="shared" si="26"/>
        <v>0</v>
      </c>
      <c r="BK107" s="80">
        <v>0</v>
      </c>
      <c r="BL107" s="80">
        <v>3693</v>
      </c>
      <c r="BM107" s="80">
        <v>1182</v>
      </c>
      <c r="BN107" s="80">
        <v>0</v>
      </c>
      <c r="BO107" s="80">
        <v>0</v>
      </c>
      <c r="BP107" s="80">
        <v>-35</v>
      </c>
      <c r="BQ107" s="80">
        <v>-140</v>
      </c>
      <c r="BR107" s="80">
        <v>-158</v>
      </c>
      <c r="BS107" s="80">
        <v>-382</v>
      </c>
      <c r="BT107" s="80">
        <v>0</v>
      </c>
      <c r="BU107" s="80">
        <v>-1</v>
      </c>
      <c r="BV107" s="80">
        <v>0</v>
      </c>
      <c r="BW107" s="80">
        <v>-693</v>
      </c>
      <c r="BX107" s="80">
        <v>-1</v>
      </c>
      <c r="BY107" s="80">
        <v>3465</v>
      </c>
      <c r="BZ107" s="80">
        <v>3</v>
      </c>
      <c r="CA107" s="80">
        <v>247</v>
      </c>
      <c r="CB107" s="80">
        <v>71</v>
      </c>
      <c r="CC107" s="80">
        <v>342</v>
      </c>
      <c r="CD107" s="80">
        <v>1</v>
      </c>
      <c r="CE107" s="80">
        <v>8</v>
      </c>
    </row>
    <row r="108" spans="1:83" s="58" customFormat="1" ht="15.6" customHeight="1" x14ac:dyDescent="0.25">
      <c r="A108" s="43">
        <v>11</v>
      </c>
      <c r="B108" s="55" t="s">
        <v>546</v>
      </c>
      <c r="C108" s="77" t="s">
        <v>128</v>
      </c>
      <c r="D108" s="50" t="s">
        <v>539</v>
      </c>
      <c r="E108" s="50" t="s">
        <v>109</v>
      </c>
      <c r="F108" s="50" t="s">
        <v>350</v>
      </c>
      <c r="G108" s="88">
        <v>27440108.469999999</v>
      </c>
      <c r="H108" s="88">
        <v>0</v>
      </c>
      <c r="I108" s="88">
        <v>561257.19999999995</v>
      </c>
      <c r="J108" s="88">
        <v>0</v>
      </c>
      <c r="K108" s="80">
        <v>-5591.96</v>
      </c>
      <c r="L108" s="89">
        <v>27995773.710000001</v>
      </c>
      <c r="M108" s="89">
        <v>0</v>
      </c>
      <c r="N108" s="88">
        <v>288567.59999999998</v>
      </c>
      <c r="O108" s="88">
        <v>2035605.97</v>
      </c>
      <c r="P108" s="90">
        <v>11077060.01</v>
      </c>
      <c r="Q108" s="88">
        <v>0</v>
      </c>
      <c r="R108" s="88">
        <v>1953828.91</v>
      </c>
      <c r="S108" s="88">
        <v>7028955.8300000001</v>
      </c>
      <c r="T108" s="88">
        <v>3574920.42</v>
      </c>
      <c r="U108" s="88">
        <v>0</v>
      </c>
      <c r="V108" s="88">
        <v>0</v>
      </c>
      <c r="W108" s="88">
        <v>921180.59</v>
      </c>
      <c r="X108" s="89">
        <v>1647088.2</v>
      </c>
      <c r="Y108" s="89">
        <v>28527207.530000001</v>
      </c>
      <c r="Z108" s="81">
        <v>7.2674829918410677E-2</v>
      </c>
      <c r="AA108" s="89">
        <v>1647088.2</v>
      </c>
      <c r="AB108" s="89">
        <v>0</v>
      </c>
      <c r="AC108" s="89">
        <v>0</v>
      </c>
      <c r="AD108" s="89">
        <v>0</v>
      </c>
      <c r="AE108" s="89">
        <v>0</v>
      </c>
      <c r="AF108" s="89">
        <f t="shared" si="24"/>
        <v>0</v>
      </c>
      <c r="AG108" s="89">
        <v>759775.54</v>
      </c>
      <c r="AH108" s="88">
        <v>52252.81</v>
      </c>
      <c r="AI108" s="88">
        <v>141533.16</v>
      </c>
      <c r="AJ108" s="89">
        <v>27094.58</v>
      </c>
      <c r="AK108" s="88">
        <v>65839.649999999994</v>
      </c>
      <c r="AL108" s="88">
        <v>0</v>
      </c>
      <c r="AM108" s="88">
        <v>75039.320000000007</v>
      </c>
      <c r="AN108" s="88">
        <v>10250</v>
      </c>
      <c r="AO108" s="88">
        <v>3955.5</v>
      </c>
      <c r="AP108" s="88">
        <v>5342.27</v>
      </c>
      <c r="AQ108" s="88">
        <v>34677.74</v>
      </c>
      <c r="AR108" s="88">
        <v>25655.1</v>
      </c>
      <c r="AS108" s="88">
        <v>0</v>
      </c>
      <c r="AT108" s="88">
        <v>26746.34</v>
      </c>
      <c r="AU108" s="88">
        <v>32415.99</v>
      </c>
      <c r="AV108" s="88">
        <v>79333.19</v>
      </c>
      <c r="AW108" s="88">
        <v>1339911.19</v>
      </c>
      <c r="AX108" s="88">
        <v>2915.45</v>
      </c>
      <c r="AY108" s="81">
        <f t="shared" si="25"/>
        <v>2.1758531623278705E-3</v>
      </c>
      <c r="AZ108" s="89">
        <v>0</v>
      </c>
      <c r="BA108" s="81">
        <v>6.0024842897423138E-2</v>
      </c>
      <c r="BB108" s="79">
        <v>589879.72</v>
      </c>
      <c r="BC108" s="79">
        <v>1404325.5</v>
      </c>
      <c r="BD108" s="80">
        <v>216828.96</v>
      </c>
      <c r="BE108" s="80">
        <v>0</v>
      </c>
      <c r="BF108" s="80">
        <v>301609.15000000002</v>
      </c>
      <c r="BG108" s="80">
        <v>0</v>
      </c>
      <c r="BH108" s="80">
        <v>0</v>
      </c>
      <c r="BI108" s="80">
        <v>0</v>
      </c>
      <c r="BJ108" s="80">
        <f t="shared" si="26"/>
        <v>0</v>
      </c>
      <c r="BK108" s="80">
        <v>0</v>
      </c>
      <c r="BL108" s="80">
        <v>4233</v>
      </c>
      <c r="BM108" s="80">
        <v>1392</v>
      </c>
      <c r="BN108" s="79">
        <v>0</v>
      </c>
      <c r="BO108" s="79">
        <v>-1</v>
      </c>
      <c r="BP108" s="79">
        <v>-38</v>
      </c>
      <c r="BQ108" s="79">
        <v>-116</v>
      </c>
      <c r="BR108" s="79">
        <v>-298</v>
      </c>
      <c r="BS108" s="79">
        <v>-445</v>
      </c>
      <c r="BT108" s="79">
        <v>4</v>
      </c>
      <c r="BU108" s="79">
        <v>-4</v>
      </c>
      <c r="BV108" s="79">
        <v>0</v>
      </c>
      <c r="BW108" s="79">
        <v>-692</v>
      </c>
      <c r="BX108" s="79">
        <v>-4</v>
      </c>
      <c r="BY108" s="79">
        <v>4031</v>
      </c>
      <c r="BZ108" s="79">
        <v>29</v>
      </c>
      <c r="CA108" s="79">
        <v>268</v>
      </c>
      <c r="CB108" s="79">
        <v>77</v>
      </c>
      <c r="CC108" s="79">
        <v>322</v>
      </c>
      <c r="CD108" s="79">
        <v>25</v>
      </c>
      <c r="CE108" s="79">
        <v>0</v>
      </c>
    </row>
    <row r="109" spans="1:83" s="58" customFormat="1" ht="15.6" customHeight="1" x14ac:dyDescent="0.25">
      <c r="A109" s="43">
        <v>11</v>
      </c>
      <c r="B109" s="59" t="s">
        <v>352</v>
      </c>
      <c r="C109" s="77" t="s">
        <v>128</v>
      </c>
      <c r="D109" s="50" t="s">
        <v>353</v>
      </c>
      <c r="E109" s="50" t="s">
        <v>116</v>
      </c>
      <c r="F109" s="50" t="s">
        <v>350</v>
      </c>
      <c r="G109" s="88">
        <v>17397160.260000002</v>
      </c>
      <c r="H109" s="88">
        <v>231899.06</v>
      </c>
      <c r="I109" s="88">
        <v>13100.42</v>
      </c>
      <c r="J109" s="88">
        <v>0</v>
      </c>
      <c r="K109" s="89">
        <v>0</v>
      </c>
      <c r="L109" s="89">
        <v>17642159.739999998</v>
      </c>
      <c r="M109" s="89">
        <v>0</v>
      </c>
      <c r="N109" s="88">
        <v>750684.18</v>
      </c>
      <c r="O109" s="88">
        <v>1949751.22</v>
      </c>
      <c r="P109" s="90">
        <v>6496704.0499999998</v>
      </c>
      <c r="Q109" s="88">
        <v>48570.68</v>
      </c>
      <c r="R109" s="88">
        <v>1318290.96</v>
      </c>
      <c r="S109" s="88">
        <v>3761821.45</v>
      </c>
      <c r="T109" s="88">
        <v>1687708.01</v>
      </c>
      <c r="U109" s="88">
        <v>0</v>
      </c>
      <c r="V109" s="88">
        <v>79.63</v>
      </c>
      <c r="W109" s="88">
        <v>446295.6</v>
      </c>
      <c r="X109" s="89">
        <v>1212380.54</v>
      </c>
      <c r="Y109" s="89">
        <v>17672286.32</v>
      </c>
      <c r="Z109" s="81">
        <v>1.3253515446222571E-2</v>
      </c>
      <c r="AA109" s="89">
        <v>1113432.8500000001</v>
      </c>
      <c r="AB109" s="89">
        <v>0</v>
      </c>
      <c r="AC109" s="89">
        <v>0</v>
      </c>
      <c r="AD109" s="89">
        <v>0</v>
      </c>
      <c r="AE109" s="89">
        <v>0</v>
      </c>
      <c r="AF109" s="89">
        <f t="shared" si="24"/>
        <v>0</v>
      </c>
      <c r="AG109" s="89">
        <v>398291.12</v>
      </c>
      <c r="AH109" s="88">
        <v>32493.360000000001</v>
      </c>
      <c r="AI109" s="88">
        <v>91689.919999999998</v>
      </c>
      <c r="AJ109" s="89">
        <v>0</v>
      </c>
      <c r="AK109" s="88">
        <v>112146.02</v>
      </c>
      <c r="AL109" s="88">
        <v>11057.6</v>
      </c>
      <c r="AM109" s="88">
        <v>7494.29</v>
      </c>
      <c r="AN109" s="88">
        <v>8750</v>
      </c>
      <c r="AO109" s="88">
        <v>18660</v>
      </c>
      <c r="AP109" s="88">
        <v>0</v>
      </c>
      <c r="AQ109" s="88">
        <v>38191.68</v>
      </c>
      <c r="AR109" s="88">
        <v>7515.74</v>
      </c>
      <c r="AS109" s="88">
        <v>0</v>
      </c>
      <c r="AT109" s="88">
        <v>11139.15</v>
      </c>
      <c r="AU109" s="88">
        <v>68181.179999999993</v>
      </c>
      <c r="AV109" s="88">
        <v>25750.02</v>
      </c>
      <c r="AW109" s="88">
        <v>831360.08</v>
      </c>
      <c r="AX109" s="88">
        <v>0</v>
      </c>
      <c r="AY109" s="81">
        <f t="shared" si="25"/>
        <v>0</v>
      </c>
      <c r="AZ109" s="89">
        <v>0</v>
      </c>
      <c r="BA109" s="81">
        <v>6.4000838835751458E-2</v>
      </c>
      <c r="BB109" s="79">
        <v>82159.210000000006</v>
      </c>
      <c r="BC109" s="79">
        <v>151487.79999999999</v>
      </c>
      <c r="BD109" s="80">
        <v>216829</v>
      </c>
      <c r="BE109" s="80">
        <v>0</v>
      </c>
      <c r="BF109" s="80">
        <v>184127.78999999899</v>
      </c>
      <c r="BG109" s="80">
        <v>0</v>
      </c>
      <c r="BH109" s="80">
        <v>0</v>
      </c>
      <c r="BI109" s="80">
        <v>0</v>
      </c>
      <c r="BJ109" s="80">
        <f t="shared" si="26"/>
        <v>0</v>
      </c>
      <c r="BK109" s="80">
        <v>0</v>
      </c>
      <c r="BL109" s="80">
        <v>2263</v>
      </c>
      <c r="BM109" s="80">
        <v>782</v>
      </c>
      <c r="BN109" s="79">
        <v>0</v>
      </c>
      <c r="BO109" s="79">
        <v>0</v>
      </c>
      <c r="BP109" s="79">
        <v>-20</v>
      </c>
      <c r="BQ109" s="79">
        <v>-66</v>
      </c>
      <c r="BR109" s="79">
        <v>-105</v>
      </c>
      <c r="BS109" s="79">
        <v>-206</v>
      </c>
      <c r="BT109" s="79">
        <v>0</v>
      </c>
      <c r="BU109" s="79">
        <v>0</v>
      </c>
      <c r="BV109" s="79">
        <v>0</v>
      </c>
      <c r="BW109" s="79">
        <v>-454</v>
      </c>
      <c r="BX109" s="79">
        <v>-3</v>
      </c>
      <c r="BY109" s="79">
        <v>2191</v>
      </c>
      <c r="BZ109" s="79">
        <v>0</v>
      </c>
      <c r="CA109" s="79">
        <v>156</v>
      </c>
      <c r="CB109" s="79">
        <v>118</v>
      </c>
      <c r="CC109" s="79">
        <v>182</v>
      </c>
      <c r="CD109" s="79">
        <v>1</v>
      </c>
      <c r="CE109" s="79">
        <v>0</v>
      </c>
    </row>
    <row r="110" spans="1:83" s="58" customFormat="1" ht="15.6" customHeight="1" x14ac:dyDescent="0.25">
      <c r="A110" s="43">
        <v>11</v>
      </c>
      <c r="B110" s="59" t="s">
        <v>579</v>
      </c>
      <c r="C110" s="77" t="s">
        <v>559</v>
      </c>
      <c r="D110" s="50" t="s">
        <v>351</v>
      </c>
      <c r="E110" s="50" t="s">
        <v>109</v>
      </c>
      <c r="F110" s="50" t="s">
        <v>350</v>
      </c>
      <c r="G110" s="88">
        <v>47117730.490000002</v>
      </c>
      <c r="H110" s="88">
        <v>0</v>
      </c>
      <c r="I110" s="88">
        <v>958231.38</v>
      </c>
      <c r="J110" s="88">
        <v>0</v>
      </c>
      <c r="K110" s="89">
        <v>0</v>
      </c>
      <c r="L110" s="89">
        <v>48075961.869999997</v>
      </c>
      <c r="M110" s="89">
        <v>0</v>
      </c>
      <c r="N110" s="88">
        <v>0</v>
      </c>
      <c r="O110" s="88">
        <v>5358226.29</v>
      </c>
      <c r="P110" s="90">
        <v>17100304.379999999</v>
      </c>
      <c r="Q110" s="88">
        <v>0</v>
      </c>
      <c r="R110" s="88">
        <v>4081496.74</v>
      </c>
      <c r="S110" s="88">
        <v>11103250.539999999</v>
      </c>
      <c r="T110" s="88">
        <v>7729983.79</v>
      </c>
      <c r="U110" s="88">
        <v>0</v>
      </c>
      <c r="V110" s="88">
        <v>0</v>
      </c>
      <c r="W110" s="88">
        <v>1721349.08</v>
      </c>
      <c r="X110" s="89">
        <v>2390968.9300000002</v>
      </c>
      <c r="Y110" s="89">
        <v>49485579.75</v>
      </c>
      <c r="Z110" s="81">
        <v>7.6684923327681481E-2</v>
      </c>
      <c r="AA110" s="89">
        <v>2389468.9300000002</v>
      </c>
      <c r="AB110" s="89">
        <v>0</v>
      </c>
      <c r="AC110" s="89">
        <v>0</v>
      </c>
      <c r="AD110" s="89">
        <v>0</v>
      </c>
      <c r="AE110" s="89">
        <v>0</v>
      </c>
      <c r="AF110" s="89">
        <f t="shared" si="24"/>
        <v>0</v>
      </c>
      <c r="AG110" s="89">
        <v>1225071.3400000001</v>
      </c>
      <c r="AH110" s="88">
        <v>94052.67</v>
      </c>
      <c r="AI110" s="88">
        <v>298664.46999999997</v>
      </c>
      <c r="AJ110" s="89">
        <v>0</v>
      </c>
      <c r="AK110" s="88">
        <v>105606.29</v>
      </c>
      <c r="AL110" s="88">
        <v>15287.5</v>
      </c>
      <c r="AM110" s="88">
        <v>112152.69</v>
      </c>
      <c r="AN110" s="88">
        <v>10250</v>
      </c>
      <c r="AO110" s="88">
        <v>7367.1</v>
      </c>
      <c r="AP110" s="88">
        <v>0</v>
      </c>
      <c r="AQ110" s="88">
        <v>96328.23</v>
      </c>
      <c r="AR110" s="88">
        <v>29071.68</v>
      </c>
      <c r="AS110" s="88">
        <v>0</v>
      </c>
      <c r="AT110" s="88">
        <v>14185.98</v>
      </c>
      <c r="AU110" s="88">
        <v>121704.57</v>
      </c>
      <c r="AV110" s="88">
        <v>70786.73</v>
      </c>
      <c r="AW110" s="88">
        <v>2200529.25</v>
      </c>
      <c r="AX110" s="88">
        <v>0</v>
      </c>
      <c r="AY110" s="81">
        <f t="shared" si="25"/>
        <v>0</v>
      </c>
      <c r="AZ110" s="89">
        <v>830.98</v>
      </c>
      <c r="BA110" s="81">
        <v>5.0712733935840297E-2</v>
      </c>
      <c r="BB110" s="79">
        <v>2084178.37</v>
      </c>
      <c r="BC110" s="79">
        <v>1529041.18</v>
      </c>
      <c r="BD110" s="80">
        <v>216829</v>
      </c>
      <c r="BE110" s="80">
        <v>0</v>
      </c>
      <c r="BF110" s="80">
        <v>478965.92</v>
      </c>
      <c r="BG110" s="80">
        <v>0</v>
      </c>
      <c r="BH110" s="80">
        <v>0</v>
      </c>
      <c r="BI110" s="80">
        <v>0</v>
      </c>
      <c r="BJ110" s="80">
        <f t="shared" si="26"/>
        <v>0</v>
      </c>
      <c r="BK110" s="80">
        <v>0</v>
      </c>
      <c r="BL110" s="80">
        <v>8113</v>
      </c>
      <c r="BM110" s="80">
        <v>2625</v>
      </c>
      <c r="BN110" s="79">
        <v>7</v>
      </c>
      <c r="BO110" s="79">
        <v>-1</v>
      </c>
      <c r="BP110" s="79">
        <v>-42</v>
      </c>
      <c r="BQ110" s="79">
        <v>-128</v>
      </c>
      <c r="BR110" s="79">
        <v>-603</v>
      </c>
      <c r="BS110" s="79">
        <v>-884</v>
      </c>
      <c r="BT110" s="79">
        <v>22</v>
      </c>
      <c r="BU110" s="79">
        <v>-5</v>
      </c>
      <c r="BV110" s="79">
        <v>2</v>
      </c>
      <c r="BW110" s="79">
        <v>-1182</v>
      </c>
      <c r="BX110" s="79">
        <v>-5</v>
      </c>
      <c r="BY110" s="79">
        <v>7919</v>
      </c>
      <c r="BZ110" s="79">
        <v>14</v>
      </c>
      <c r="CA110" s="79">
        <v>359</v>
      </c>
      <c r="CB110" s="79">
        <v>92</v>
      </c>
      <c r="CC110" s="79">
        <v>537</v>
      </c>
      <c r="CD110" s="79">
        <v>170</v>
      </c>
      <c r="CE110" s="79">
        <v>17</v>
      </c>
    </row>
    <row r="111" spans="1:83" s="58" customFormat="1" ht="15.6" customHeight="1" x14ac:dyDescent="0.25">
      <c r="A111" s="43">
        <v>11</v>
      </c>
      <c r="B111" s="59" t="s">
        <v>354</v>
      </c>
      <c r="C111" s="77" t="s">
        <v>355</v>
      </c>
      <c r="D111" s="50" t="s">
        <v>356</v>
      </c>
      <c r="E111" s="50" t="s">
        <v>104</v>
      </c>
      <c r="F111" s="50" t="s">
        <v>332</v>
      </c>
      <c r="G111" s="88">
        <v>73963349.780000001</v>
      </c>
      <c r="H111" s="88">
        <v>0</v>
      </c>
      <c r="I111" s="88">
        <v>4868007.12</v>
      </c>
      <c r="J111" s="88">
        <v>0</v>
      </c>
      <c r="K111" s="89">
        <v>8507.86</v>
      </c>
      <c r="L111" s="89">
        <v>78839864.760000005</v>
      </c>
      <c r="M111" s="89">
        <v>0</v>
      </c>
      <c r="N111" s="88">
        <v>614281.93000000005</v>
      </c>
      <c r="O111" s="88">
        <v>5158624.41</v>
      </c>
      <c r="P111" s="90">
        <v>24629227.780000001</v>
      </c>
      <c r="Q111" s="88">
        <v>0</v>
      </c>
      <c r="R111" s="88">
        <v>3960450.12</v>
      </c>
      <c r="S111" s="88">
        <v>21271359.579999998</v>
      </c>
      <c r="T111" s="88">
        <v>15338534.630000001</v>
      </c>
      <c r="U111" s="88">
        <v>0</v>
      </c>
      <c r="V111" s="88">
        <v>0</v>
      </c>
      <c r="W111" s="88">
        <v>5497528.4299999997</v>
      </c>
      <c r="X111" s="89">
        <v>3340156.6579999998</v>
      </c>
      <c r="Y111" s="89">
        <v>79810163.538000003</v>
      </c>
      <c r="Z111" s="81">
        <v>0.10590238468509748</v>
      </c>
      <c r="AA111" s="89">
        <v>3331648.798</v>
      </c>
      <c r="AB111" s="89">
        <v>0</v>
      </c>
      <c r="AC111" s="89">
        <v>0</v>
      </c>
      <c r="AD111" s="89">
        <v>8507.86</v>
      </c>
      <c r="AE111" s="89">
        <v>0</v>
      </c>
      <c r="AF111" s="89">
        <f t="shared" si="24"/>
        <v>8507.86</v>
      </c>
      <c r="AG111" s="89">
        <v>1559490.7</v>
      </c>
      <c r="AH111" s="88">
        <v>137650.76</v>
      </c>
      <c r="AI111" s="88">
        <v>332834.75</v>
      </c>
      <c r="AJ111" s="89">
        <v>49055.78</v>
      </c>
      <c r="AK111" s="88">
        <v>630230.39</v>
      </c>
      <c r="AL111" s="88">
        <v>11135.74</v>
      </c>
      <c r="AM111" s="88">
        <v>109167.76</v>
      </c>
      <c r="AN111" s="88">
        <v>12750</v>
      </c>
      <c r="AO111" s="88">
        <v>3542</v>
      </c>
      <c r="AP111" s="88">
        <v>0</v>
      </c>
      <c r="AQ111" s="88">
        <v>89952.54</v>
      </c>
      <c r="AR111" s="88">
        <v>26259.18</v>
      </c>
      <c r="AS111" s="88">
        <v>1595</v>
      </c>
      <c r="AT111" s="88">
        <v>51053.4</v>
      </c>
      <c r="AU111" s="88">
        <v>156000</v>
      </c>
      <c r="AV111" s="88">
        <v>73451.195000000007</v>
      </c>
      <c r="AW111" s="88">
        <v>3244169.1949999998</v>
      </c>
      <c r="AX111" s="88">
        <v>0</v>
      </c>
      <c r="AY111" s="81">
        <f t="shared" si="25"/>
        <v>0</v>
      </c>
      <c r="AZ111" s="89">
        <v>0</v>
      </c>
      <c r="BA111" s="81">
        <v>4.5044590434449083E-2</v>
      </c>
      <c r="BB111" s="79">
        <v>1273394.46</v>
      </c>
      <c r="BC111" s="79">
        <v>6559500.6600000104</v>
      </c>
      <c r="BD111" s="80">
        <v>219587</v>
      </c>
      <c r="BE111" s="80">
        <v>0</v>
      </c>
      <c r="BF111" s="80">
        <v>541711.68900000001</v>
      </c>
      <c r="BG111" s="80">
        <v>0</v>
      </c>
      <c r="BH111" s="80">
        <v>0</v>
      </c>
      <c r="BI111" s="80">
        <v>0</v>
      </c>
      <c r="BJ111" s="80">
        <f t="shared" si="26"/>
        <v>0</v>
      </c>
      <c r="BK111" s="80">
        <v>0</v>
      </c>
      <c r="BL111" s="80">
        <v>17558</v>
      </c>
      <c r="BM111" s="80">
        <v>6815</v>
      </c>
      <c r="BN111" s="79">
        <v>302</v>
      </c>
      <c r="BO111" s="79">
        <v>-211</v>
      </c>
      <c r="BP111" s="79">
        <v>-97</v>
      </c>
      <c r="BQ111" s="79">
        <v>-407</v>
      </c>
      <c r="BR111" s="79">
        <v>-2118</v>
      </c>
      <c r="BS111" s="79">
        <v>-4979</v>
      </c>
      <c r="BT111" s="79">
        <v>0</v>
      </c>
      <c r="BU111" s="79">
        <v>-16</v>
      </c>
      <c r="BV111" s="79">
        <v>0</v>
      </c>
      <c r="BW111" s="79">
        <v>-1803</v>
      </c>
      <c r="BX111" s="79">
        <v>0</v>
      </c>
      <c r="BY111" s="79">
        <v>15044</v>
      </c>
      <c r="BZ111" s="79">
        <v>119</v>
      </c>
      <c r="CA111" s="79">
        <v>691</v>
      </c>
      <c r="CB111" s="79">
        <v>204</v>
      </c>
      <c r="CC111" s="79">
        <v>899</v>
      </c>
      <c r="CD111" s="79">
        <v>11</v>
      </c>
      <c r="CE111" s="79">
        <v>17</v>
      </c>
    </row>
    <row r="112" spans="1:83" s="58" customFormat="1" ht="15.6" customHeight="1" x14ac:dyDescent="0.25">
      <c r="A112" s="43">
        <v>11</v>
      </c>
      <c r="B112" s="59" t="s">
        <v>357</v>
      </c>
      <c r="C112" s="77" t="s">
        <v>358</v>
      </c>
      <c r="D112" s="50" t="s">
        <v>359</v>
      </c>
      <c r="E112" s="50" t="s">
        <v>104</v>
      </c>
      <c r="F112" s="50" t="s">
        <v>332</v>
      </c>
      <c r="G112" s="79">
        <v>11788736.609999999</v>
      </c>
      <c r="H112" s="79">
        <v>0</v>
      </c>
      <c r="I112" s="79">
        <v>242400.18</v>
      </c>
      <c r="J112" s="79">
        <v>0</v>
      </c>
      <c r="K112" s="80">
        <v>-23065.01</v>
      </c>
      <c r="L112" s="80">
        <v>12008071.779999999</v>
      </c>
      <c r="M112" s="80">
        <v>0</v>
      </c>
      <c r="N112" s="79">
        <v>103580.85</v>
      </c>
      <c r="O112" s="79">
        <v>958315.5</v>
      </c>
      <c r="P112" s="91">
        <v>2832924.86</v>
      </c>
      <c r="Q112" s="79">
        <v>0</v>
      </c>
      <c r="R112" s="79">
        <v>473659.85</v>
      </c>
      <c r="S112" s="79">
        <v>4841752.4400000004</v>
      </c>
      <c r="T112" s="79">
        <v>1696067.91</v>
      </c>
      <c r="U112" s="79">
        <v>0</v>
      </c>
      <c r="V112" s="79">
        <v>0</v>
      </c>
      <c r="W112" s="79">
        <v>309274.36</v>
      </c>
      <c r="X112" s="80">
        <v>972234</v>
      </c>
      <c r="Y112" s="80">
        <v>12187809.77</v>
      </c>
      <c r="Z112" s="81">
        <v>7.5514395600700251E-2</v>
      </c>
      <c r="AA112" s="80">
        <v>970953</v>
      </c>
      <c r="AB112" s="80">
        <v>0</v>
      </c>
      <c r="AC112" s="80">
        <v>0</v>
      </c>
      <c r="AD112" s="80">
        <v>0</v>
      </c>
      <c r="AE112" s="80">
        <v>167.57</v>
      </c>
      <c r="AF112" s="80">
        <f t="shared" si="24"/>
        <v>167.57</v>
      </c>
      <c r="AG112" s="80">
        <v>378629.06</v>
      </c>
      <c r="AH112" s="79">
        <v>33182.75</v>
      </c>
      <c r="AI112" s="79">
        <v>107055.76</v>
      </c>
      <c r="AJ112" s="80">
        <v>0</v>
      </c>
      <c r="AK112" s="79">
        <v>35229</v>
      </c>
      <c r="AL112" s="79">
        <v>12798</v>
      </c>
      <c r="AM112" s="79">
        <v>68068.7</v>
      </c>
      <c r="AN112" s="79">
        <v>8750</v>
      </c>
      <c r="AO112" s="79">
        <v>3500</v>
      </c>
      <c r="AP112" s="79">
        <v>6300</v>
      </c>
      <c r="AQ112" s="79">
        <v>39167.339999999997</v>
      </c>
      <c r="AR112" s="79">
        <v>280.17</v>
      </c>
      <c r="AS112" s="79">
        <v>0</v>
      </c>
      <c r="AT112" s="79">
        <v>4514.4399999999996</v>
      </c>
      <c r="AU112" s="79">
        <v>14744.73</v>
      </c>
      <c r="AV112" s="79">
        <v>26531.4</v>
      </c>
      <c r="AW112" s="79">
        <v>738751.35</v>
      </c>
      <c r="AX112" s="79">
        <v>0</v>
      </c>
      <c r="AY112" s="81">
        <f t="shared" si="25"/>
        <v>0</v>
      </c>
      <c r="AZ112" s="80">
        <v>0</v>
      </c>
      <c r="BA112" s="81">
        <v>8.2362769830345711E-2</v>
      </c>
      <c r="BB112" s="79">
        <v>183213.48</v>
      </c>
      <c r="BC112" s="79">
        <v>707005.84</v>
      </c>
      <c r="BD112" s="80">
        <v>219586.92</v>
      </c>
      <c r="BE112" s="80">
        <v>0</v>
      </c>
      <c r="BF112" s="80">
        <v>158449.71</v>
      </c>
      <c r="BG112" s="80">
        <v>0</v>
      </c>
      <c r="BH112" s="80">
        <v>0</v>
      </c>
      <c r="BI112" s="80">
        <v>0</v>
      </c>
      <c r="BJ112" s="80">
        <f t="shared" si="26"/>
        <v>0</v>
      </c>
      <c r="BK112" s="80">
        <v>0</v>
      </c>
      <c r="BL112" s="80">
        <v>1710</v>
      </c>
      <c r="BM112" s="80">
        <v>716</v>
      </c>
      <c r="BN112" s="79">
        <v>5</v>
      </c>
      <c r="BO112" s="79">
        <v>0</v>
      </c>
      <c r="BP112" s="79">
        <v>-13</v>
      </c>
      <c r="BQ112" s="79">
        <v>-33</v>
      </c>
      <c r="BR112" s="79">
        <v>-132</v>
      </c>
      <c r="BS112" s="79">
        <v>-159</v>
      </c>
      <c r="BT112" s="79">
        <v>8</v>
      </c>
      <c r="BU112" s="79">
        <v>0</v>
      </c>
      <c r="BV112" s="79">
        <v>0</v>
      </c>
      <c r="BW112" s="79">
        <v>-340</v>
      </c>
      <c r="BX112" s="79">
        <v>0</v>
      </c>
      <c r="BY112" s="79">
        <v>1762</v>
      </c>
      <c r="BZ112" s="79">
        <v>4</v>
      </c>
      <c r="CA112" s="79">
        <v>161</v>
      </c>
      <c r="CB112" s="79">
        <v>23</v>
      </c>
      <c r="CC112" s="79">
        <v>113</v>
      </c>
      <c r="CD112" s="79">
        <v>34</v>
      </c>
      <c r="CE112" s="79">
        <v>7</v>
      </c>
    </row>
    <row r="113" spans="1:83" s="58" customFormat="1" ht="15.6" customHeight="1" x14ac:dyDescent="0.25">
      <c r="A113" s="43">
        <v>11</v>
      </c>
      <c r="B113" s="59" t="s">
        <v>360</v>
      </c>
      <c r="C113" s="77" t="s">
        <v>361</v>
      </c>
      <c r="D113" s="50" t="s">
        <v>362</v>
      </c>
      <c r="E113" s="50" t="s">
        <v>104</v>
      </c>
      <c r="F113" s="50" t="s">
        <v>332</v>
      </c>
      <c r="G113" s="88">
        <v>59648600.009999998</v>
      </c>
      <c r="H113" s="88">
        <v>0</v>
      </c>
      <c r="I113" s="88">
        <v>1445130.41</v>
      </c>
      <c r="J113" s="88">
        <v>0</v>
      </c>
      <c r="K113" s="89">
        <v>0</v>
      </c>
      <c r="L113" s="89">
        <v>61093730.420000002</v>
      </c>
      <c r="M113" s="89">
        <v>0</v>
      </c>
      <c r="N113" s="88">
        <v>2107113.6</v>
      </c>
      <c r="O113" s="88">
        <v>6559399.25</v>
      </c>
      <c r="P113" s="90">
        <v>12867130.619999999</v>
      </c>
      <c r="Q113" s="88">
        <v>0</v>
      </c>
      <c r="R113" s="88">
        <v>3767965.83</v>
      </c>
      <c r="S113" s="88">
        <v>23886585.960000001</v>
      </c>
      <c r="T113" s="88">
        <v>7964672.6900000004</v>
      </c>
      <c r="U113" s="88">
        <v>0</v>
      </c>
      <c r="V113" s="88">
        <v>0</v>
      </c>
      <c r="W113" s="88">
        <v>1807455.87</v>
      </c>
      <c r="X113" s="89">
        <v>3406848.41</v>
      </c>
      <c r="Y113" s="89">
        <v>62367172.229999997</v>
      </c>
      <c r="Z113" s="81">
        <v>6.6529820806099427E-2</v>
      </c>
      <c r="AA113" s="89">
        <v>3400362.22</v>
      </c>
      <c r="AB113" s="89">
        <v>0</v>
      </c>
      <c r="AC113" s="89">
        <v>0</v>
      </c>
      <c r="AD113" s="89">
        <v>0</v>
      </c>
      <c r="AE113" s="89">
        <v>0</v>
      </c>
      <c r="AF113" s="89">
        <f t="shared" si="24"/>
        <v>0</v>
      </c>
      <c r="AG113" s="89">
        <v>1736440.18</v>
      </c>
      <c r="AH113" s="88">
        <v>141272.26999999999</v>
      </c>
      <c r="AI113" s="88">
        <v>497420.41</v>
      </c>
      <c r="AJ113" s="89">
        <v>0</v>
      </c>
      <c r="AK113" s="88">
        <v>288689.03999999998</v>
      </c>
      <c r="AL113" s="88">
        <v>4448.8100000000004</v>
      </c>
      <c r="AM113" s="88">
        <v>76074.929999999993</v>
      </c>
      <c r="AN113" s="88">
        <v>12500</v>
      </c>
      <c r="AO113" s="88">
        <v>1401.03</v>
      </c>
      <c r="AP113" s="88">
        <v>3428.08</v>
      </c>
      <c r="AQ113" s="88">
        <v>71882.820000000007</v>
      </c>
      <c r="AR113" s="88">
        <v>37377.019999999997</v>
      </c>
      <c r="AS113" s="88">
        <v>19432.87</v>
      </c>
      <c r="AT113" s="88">
        <v>20057.77</v>
      </c>
      <c r="AU113" s="88">
        <v>47320.98</v>
      </c>
      <c r="AV113" s="88">
        <v>82542.320000000007</v>
      </c>
      <c r="AW113" s="88">
        <v>3040288.53</v>
      </c>
      <c r="AX113" s="88">
        <v>0</v>
      </c>
      <c r="AY113" s="81">
        <f t="shared" si="25"/>
        <v>0</v>
      </c>
      <c r="AZ113" s="89">
        <v>0</v>
      </c>
      <c r="BA113" s="81">
        <v>5.7006572148045963E-2</v>
      </c>
      <c r="BB113" s="79">
        <v>1278273.0900000001</v>
      </c>
      <c r="BC113" s="79">
        <v>2690137.58</v>
      </c>
      <c r="BD113" s="80">
        <v>219587</v>
      </c>
      <c r="BE113" s="80">
        <v>0</v>
      </c>
      <c r="BF113" s="80">
        <v>672701.38</v>
      </c>
      <c r="BG113" s="80">
        <v>0</v>
      </c>
      <c r="BH113" s="80">
        <v>0</v>
      </c>
      <c r="BI113" s="80">
        <v>0</v>
      </c>
      <c r="BJ113" s="80">
        <f t="shared" si="26"/>
        <v>0</v>
      </c>
      <c r="BK113" s="80">
        <v>0</v>
      </c>
      <c r="BL113" s="80">
        <v>8296</v>
      </c>
      <c r="BM113" s="80">
        <v>3081</v>
      </c>
      <c r="BN113" s="79">
        <v>0</v>
      </c>
      <c r="BO113" s="79">
        <v>0</v>
      </c>
      <c r="BP113" s="79">
        <v>-49</v>
      </c>
      <c r="BQ113" s="79">
        <v>-138</v>
      </c>
      <c r="BR113" s="79">
        <v>-575</v>
      </c>
      <c r="BS113" s="79">
        <v>-924</v>
      </c>
      <c r="BT113" s="79">
        <v>22</v>
      </c>
      <c r="BU113" s="79">
        <v>-7</v>
      </c>
      <c r="BV113" s="79">
        <v>0</v>
      </c>
      <c r="BW113" s="79">
        <v>-1604</v>
      </c>
      <c r="BX113" s="79">
        <v>-4</v>
      </c>
      <c r="BY113" s="79">
        <v>8098</v>
      </c>
      <c r="BZ113" s="79">
        <v>9</v>
      </c>
      <c r="CA113" s="79">
        <v>603</v>
      </c>
      <c r="CB113" s="79">
        <v>208</v>
      </c>
      <c r="CC113" s="79">
        <v>769</v>
      </c>
      <c r="CD113" s="79">
        <v>4</v>
      </c>
      <c r="CE113" s="79">
        <v>20</v>
      </c>
    </row>
    <row r="114" spans="1:83" s="58" customFormat="1" ht="15.6" customHeight="1" x14ac:dyDescent="0.25">
      <c r="A114" s="43">
        <v>11</v>
      </c>
      <c r="B114" s="59" t="s">
        <v>363</v>
      </c>
      <c r="C114" s="77" t="s">
        <v>174</v>
      </c>
      <c r="D114" s="50" t="s">
        <v>356</v>
      </c>
      <c r="E114" s="50" t="s">
        <v>104</v>
      </c>
      <c r="F114" s="50" t="s">
        <v>332</v>
      </c>
      <c r="G114" s="88">
        <v>88877949.599999994</v>
      </c>
      <c r="H114" s="88">
        <v>0</v>
      </c>
      <c r="I114" s="88">
        <v>3842012.76</v>
      </c>
      <c r="J114" s="88">
        <v>0</v>
      </c>
      <c r="K114" s="89">
        <v>0</v>
      </c>
      <c r="L114" s="89">
        <v>92719962.359999999</v>
      </c>
      <c r="M114" s="89">
        <v>0</v>
      </c>
      <c r="N114" s="88">
        <v>6318078.7199999997</v>
      </c>
      <c r="O114" s="88">
        <v>5729670.0700000003</v>
      </c>
      <c r="P114" s="90">
        <v>26802241.09</v>
      </c>
      <c r="Q114" s="88">
        <v>0</v>
      </c>
      <c r="R114" s="88">
        <v>5561892.8700000001</v>
      </c>
      <c r="S114" s="88">
        <v>22694357.850000001</v>
      </c>
      <c r="T114" s="88">
        <v>16683808.199999999</v>
      </c>
      <c r="U114" s="88">
        <v>0</v>
      </c>
      <c r="V114" s="88">
        <v>0</v>
      </c>
      <c r="W114" s="88">
        <v>4234678.2</v>
      </c>
      <c r="X114" s="89">
        <v>3943995.54</v>
      </c>
      <c r="Y114" s="89">
        <v>91968722.540000007</v>
      </c>
      <c r="Z114" s="81">
        <v>3.8278611683904104E-2</v>
      </c>
      <c r="AA114" s="89">
        <v>3943995.54</v>
      </c>
      <c r="AB114" s="89">
        <v>0</v>
      </c>
      <c r="AC114" s="89">
        <v>0</v>
      </c>
      <c r="AD114" s="89">
        <v>0</v>
      </c>
      <c r="AE114" s="89">
        <v>0</v>
      </c>
      <c r="AF114" s="89">
        <f t="shared" si="24"/>
        <v>0</v>
      </c>
      <c r="AG114" s="89">
        <v>1923772.04</v>
      </c>
      <c r="AH114" s="88">
        <v>157205.71</v>
      </c>
      <c r="AI114" s="88">
        <v>412613.18</v>
      </c>
      <c r="AJ114" s="89">
        <v>500</v>
      </c>
      <c r="AK114" s="88">
        <v>630335.84</v>
      </c>
      <c r="AL114" s="88">
        <v>4697.34</v>
      </c>
      <c r="AM114" s="88">
        <v>85006.68</v>
      </c>
      <c r="AN114" s="88">
        <v>12750</v>
      </c>
      <c r="AO114" s="88">
        <v>2500</v>
      </c>
      <c r="AP114" s="88">
        <v>0</v>
      </c>
      <c r="AQ114" s="88">
        <v>109422.66</v>
      </c>
      <c r="AR114" s="88">
        <v>45555.7</v>
      </c>
      <c r="AS114" s="88">
        <v>42200</v>
      </c>
      <c r="AT114" s="88">
        <v>26439.200000000001</v>
      </c>
      <c r="AU114" s="88">
        <v>158996.38</v>
      </c>
      <c r="AV114" s="88">
        <v>154406.19</v>
      </c>
      <c r="AW114" s="88">
        <v>3766400.92</v>
      </c>
      <c r="AX114" s="88">
        <v>0</v>
      </c>
      <c r="AY114" s="81">
        <f t="shared" si="25"/>
        <v>0</v>
      </c>
      <c r="AZ114" s="89">
        <v>284</v>
      </c>
      <c r="BA114" s="81">
        <v>4.4375410973702303E-2</v>
      </c>
      <c r="BB114" s="79">
        <v>1971021.73</v>
      </c>
      <c r="BC114" s="79">
        <v>1431102.79</v>
      </c>
      <c r="BD114" s="80">
        <v>219587</v>
      </c>
      <c r="BE114" s="80">
        <v>0</v>
      </c>
      <c r="BF114" s="80">
        <v>877154.30999999901</v>
      </c>
      <c r="BG114" s="80">
        <v>0</v>
      </c>
      <c r="BH114" s="80">
        <v>0</v>
      </c>
      <c r="BI114" s="80">
        <v>0</v>
      </c>
      <c r="BJ114" s="80">
        <f t="shared" si="26"/>
        <v>0</v>
      </c>
      <c r="BK114" s="80">
        <v>0</v>
      </c>
      <c r="BL114" s="80">
        <v>17393</v>
      </c>
      <c r="BM114" s="80">
        <v>7103</v>
      </c>
      <c r="BN114" s="79">
        <v>0</v>
      </c>
      <c r="BO114" s="79">
        <v>0</v>
      </c>
      <c r="BP114" s="79">
        <v>-62</v>
      </c>
      <c r="BQ114" s="79">
        <v>-281</v>
      </c>
      <c r="BR114" s="79">
        <v>-1545</v>
      </c>
      <c r="BS114" s="79">
        <v>-3462</v>
      </c>
      <c r="BT114" s="79">
        <v>20</v>
      </c>
      <c r="BU114" s="79">
        <v>-10</v>
      </c>
      <c r="BV114" s="79">
        <v>0</v>
      </c>
      <c r="BW114" s="79">
        <v>-2551</v>
      </c>
      <c r="BX114" s="79">
        <v>-7</v>
      </c>
      <c r="BY114" s="79">
        <v>16598</v>
      </c>
      <c r="BZ114" s="79">
        <v>56</v>
      </c>
      <c r="CA114" s="79">
        <v>718</v>
      </c>
      <c r="CB114" s="79">
        <v>195</v>
      </c>
      <c r="CC114" s="79">
        <v>1589</v>
      </c>
      <c r="CD114" s="79">
        <v>8</v>
      </c>
      <c r="CE114" s="79">
        <v>38</v>
      </c>
    </row>
    <row r="115" spans="1:83" s="58" customFormat="1" ht="15.6" customHeight="1" x14ac:dyDescent="0.25">
      <c r="A115" s="43">
        <v>12</v>
      </c>
      <c r="B115" s="59" t="s">
        <v>364</v>
      </c>
      <c r="C115" s="77" t="s">
        <v>365</v>
      </c>
      <c r="D115" s="50" t="s">
        <v>366</v>
      </c>
      <c r="E115" s="41" t="s">
        <v>86</v>
      </c>
      <c r="F115" s="50" t="s">
        <v>367</v>
      </c>
      <c r="G115" s="88">
        <v>27740544.620000001</v>
      </c>
      <c r="H115" s="88">
        <v>0</v>
      </c>
      <c r="I115" s="88">
        <v>158531.62999999998</v>
      </c>
      <c r="J115" s="88">
        <v>0</v>
      </c>
      <c r="K115" s="89">
        <v>931.96</v>
      </c>
      <c r="L115" s="89">
        <v>27900008.210000001</v>
      </c>
      <c r="M115" s="89">
        <v>0</v>
      </c>
      <c r="N115" s="88">
        <v>0</v>
      </c>
      <c r="O115" s="88">
        <v>2380645.4</v>
      </c>
      <c r="P115" s="90">
        <v>3302755.33</v>
      </c>
      <c r="Q115" s="88">
        <v>32110.49</v>
      </c>
      <c r="R115" s="88">
        <v>3575142.04</v>
      </c>
      <c r="S115" s="88">
        <v>12726965.41</v>
      </c>
      <c r="T115" s="88">
        <v>3558932.77</v>
      </c>
      <c r="U115" s="88">
        <v>0</v>
      </c>
      <c r="V115" s="88">
        <v>0</v>
      </c>
      <c r="W115" s="88">
        <v>325565.26</v>
      </c>
      <c r="X115" s="89">
        <v>2105600.7399999998</v>
      </c>
      <c r="Y115" s="89">
        <v>28007717.440000001</v>
      </c>
      <c r="Z115" s="81">
        <v>7.9131490750090391E-2</v>
      </c>
      <c r="AA115" s="89">
        <v>2104668.7799999998</v>
      </c>
      <c r="AB115" s="89">
        <v>0</v>
      </c>
      <c r="AC115" s="89">
        <v>0</v>
      </c>
      <c r="AD115" s="89">
        <v>931.96</v>
      </c>
      <c r="AE115" s="89">
        <v>0</v>
      </c>
      <c r="AF115" s="89">
        <f t="shared" si="24"/>
        <v>931.96</v>
      </c>
      <c r="AG115" s="89">
        <v>1031417.74</v>
      </c>
      <c r="AH115" s="88">
        <v>78051.100000000006</v>
      </c>
      <c r="AI115" s="88">
        <v>223549.13</v>
      </c>
      <c r="AJ115" s="89">
        <v>0</v>
      </c>
      <c r="AK115" s="88">
        <v>136212.26999999999</v>
      </c>
      <c r="AL115" s="88">
        <v>44259.41</v>
      </c>
      <c r="AM115" s="88">
        <v>63434.5</v>
      </c>
      <c r="AN115" s="88">
        <v>21959</v>
      </c>
      <c r="AO115" s="88">
        <v>0</v>
      </c>
      <c r="AP115" s="88">
        <v>0</v>
      </c>
      <c r="AQ115" s="88">
        <v>75397.59</v>
      </c>
      <c r="AR115" s="88">
        <v>30027.58</v>
      </c>
      <c r="AS115" s="88">
        <v>0</v>
      </c>
      <c r="AT115" s="88">
        <v>6706.75</v>
      </c>
      <c r="AU115" s="88">
        <v>76427.33</v>
      </c>
      <c r="AV115" s="88">
        <v>69360.19</v>
      </c>
      <c r="AW115" s="88">
        <v>1856802.59</v>
      </c>
      <c r="AX115" s="88">
        <v>0</v>
      </c>
      <c r="AY115" s="81">
        <f t="shared" si="25"/>
        <v>0</v>
      </c>
      <c r="AZ115" s="89">
        <v>3686.44</v>
      </c>
      <c r="BA115" s="81">
        <v>7.5869771442144088E-2</v>
      </c>
      <c r="BB115" s="79">
        <v>692488.4</v>
      </c>
      <c r="BC115" s="79">
        <v>1502662.25</v>
      </c>
      <c r="BD115" s="80">
        <v>216829</v>
      </c>
      <c r="BE115" s="80">
        <v>5.8207660913467401E-11</v>
      </c>
      <c r="BF115" s="80">
        <v>374005.5</v>
      </c>
      <c r="BG115" s="80">
        <v>0</v>
      </c>
      <c r="BH115" s="80">
        <v>0</v>
      </c>
      <c r="BI115" s="80">
        <v>0</v>
      </c>
      <c r="BJ115" s="80">
        <f t="shared" si="26"/>
        <v>0</v>
      </c>
      <c r="BK115" s="80">
        <v>0</v>
      </c>
      <c r="BL115" s="80">
        <v>4570</v>
      </c>
      <c r="BM115" s="80">
        <v>1349</v>
      </c>
      <c r="BN115" s="79">
        <v>0</v>
      </c>
      <c r="BO115" s="79">
        <v>0</v>
      </c>
      <c r="BP115" s="79">
        <v>-18</v>
      </c>
      <c r="BQ115" s="79">
        <v>-85</v>
      </c>
      <c r="BR115" s="79">
        <v>-152</v>
      </c>
      <c r="BS115" s="79">
        <v>-248</v>
      </c>
      <c r="BT115" s="79">
        <v>33</v>
      </c>
      <c r="BU115" s="79">
        <v>0</v>
      </c>
      <c r="BV115" s="79">
        <v>-17</v>
      </c>
      <c r="BW115" s="79">
        <v>-1103</v>
      </c>
      <c r="BX115" s="79">
        <v>-3</v>
      </c>
      <c r="BY115" s="79">
        <v>4326</v>
      </c>
      <c r="BZ115" s="79">
        <v>0</v>
      </c>
      <c r="CA115" s="79">
        <v>214</v>
      </c>
      <c r="CB115" s="79">
        <v>148</v>
      </c>
      <c r="CC115" s="79">
        <v>729</v>
      </c>
      <c r="CD115" s="79">
        <v>12</v>
      </c>
      <c r="CE115" s="79">
        <v>3</v>
      </c>
    </row>
    <row r="116" spans="1:83" s="58" customFormat="1" ht="15.6" customHeight="1" x14ac:dyDescent="0.25">
      <c r="A116" s="43">
        <v>12</v>
      </c>
      <c r="B116" s="59" t="s">
        <v>368</v>
      </c>
      <c r="C116" s="78" t="s">
        <v>369</v>
      </c>
      <c r="D116" s="50" t="s">
        <v>370</v>
      </c>
      <c r="E116" s="41" t="s">
        <v>86</v>
      </c>
      <c r="F116" s="50" t="s">
        <v>371</v>
      </c>
      <c r="G116" s="88">
        <v>12465852.289999999</v>
      </c>
      <c r="H116" s="88">
        <v>0</v>
      </c>
      <c r="I116" s="88">
        <v>24902.27</v>
      </c>
      <c r="J116" s="88">
        <v>0</v>
      </c>
      <c r="K116" s="89">
        <v>81000</v>
      </c>
      <c r="L116" s="89">
        <v>12571754.560000001</v>
      </c>
      <c r="M116" s="89">
        <v>0</v>
      </c>
      <c r="N116" s="88">
        <v>0</v>
      </c>
      <c r="O116" s="88">
        <v>699761.61</v>
      </c>
      <c r="P116" s="90">
        <v>2775059.63</v>
      </c>
      <c r="Q116" s="88">
        <v>0</v>
      </c>
      <c r="R116" s="88">
        <v>1187684.72</v>
      </c>
      <c r="S116" s="88">
        <v>5141448.7699999996</v>
      </c>
      <c r="T116" s="88">
        <v>1393093.74</v>
      </c>
      <c r="U116" s="88">
        <v>5533.89</v>
      </c>
      <c r="V116" s="88">
        <v>0</v>
      </c>
      <c r="W116" s="88">
        <v>116814.15</v>
      </c>
      <c r="X116" s="89">
        <v>1133149.49</v>
      </c>
      <c r="Y116" s="89">
        <v>12452546</v>
      </c>
      <c r="Z116" s="81">
        <v>8.7122371157183048E-2</v>
      </c>
      <c r="AA116" s="89">
        <v>1052149.49</v>
      </c>
      <c r="AB116" s="89">
        <v>0</v>
      </c>
      <c r="AC116" s="89">
        <v>0</v>
      </c>
      <c r="AD116" s="89">
        <v>0</v>
      </c>
      <c r="AE116" s="89">
        <v>0</v>
      </c>
      <c r="AF116" s="89">
        <f t="shared" si="24"/>
        <v>0</v>
      </c>
      <c r="AG116" s="89">
        <v>440779.3</v>
      </c>
      <c r="AH116" s="88">
        <v>36083.42</v>
      </c>
      <c r="AI116" s="88">
        <v>110889.13</v>
      </c>
      <c r="AJ116" s="89">
        <v>0</v>
      </c>
      <c r="AK116" s="88">
        <v>31995</v>
      </c>
      <c r="AL116" s="88">
        <v>0</v>
      </c>
      <c r="AM116" s="88">
        <v>56721.89</v>
      </c>
      <c r="AN116" s="88">
        <v>11064</v>
      </c>
      <c r="AO116" s="88">
        <v>26738.25</v>
      </c>
      <c r="AP116" s="88">
        <v>1085.5899999999999</v>
      </c>
      <c r="AQ116" s="88">
        <v>31088.32</v>
      </c>
      <c r="AR116" s="88">
        <v>11713.76</v>
      </c>
      <c r="AS116" s="88">
        <v>0</v>
      </c>
      <c r="AT116" s="88">
        <v>15062.99</v>
      </c>
      <c r="AU116" s="88">
        <v>13953.1</v>
      </c>
      <c r="AV116" s="88">
        <v>54845.07</v>
      </c>
      <c r="AW116" s="88">
        <v>842019.82</v>
      </c>
      <c r="AX116" s="88">
        <v>0</v>
      </c>
      <c r="AY116" s="81">
        <f t="shared" si="25"/>
        <v>0</v>
      </c>
      <c r="AZ116" s="89">
        <v>0</v>
      </c>
      <c r="BA116" s="81">
        <v>8.44025314533869E-2</v>
      </c>
      <c r="BB116" s="79">
        <v>158965.59</v>
      </c>
      <c r="BC116" s="79">
        <v>927089.02</v>
      </c>
      <c r="BD116" s="80">
        <v>219587</v>
      </c>
      <c r="BE116" s="80">
        <v>0</v>
      </c>
      <c r="BF116" s="80">
        <v>201333.29</v>
      </c>
      <c r="BG116" s="80">
        <v>0</v>
      </c>
      <c r="BH116" s="80">
        <v>0</v>
      </c>
      <c r="BI116" s="80">
        <v>0</v>
      </c>
      <c r="BJ116" s="80">
        <f t="shared" si="26"/>
        <v>0</v>
      </c>
      <c r="BK116" s="80">
        <v>0</v>
      </c>
      <c r="BL116" s="80">
        <v>1855</v>
      </c>
      <c r="BM116" s="80">
        <v>563</v>
      </c>
      <c r="BN116" s="79">
        <v>0</v>
      </c>
      <c r="BO116" s="79">
        <v>0</v>
      </c>
      <c r="BP116" s="79">
        <v>-13</v>
      </c>
      <c r="BQ116" s="79">
        <v>-36</v>
      </c>
      <c r="BR116" s="79">
        <v>-71</v>
      </c>
      <c r="BS116" s="79">
        <v>-148</v>
      </c>
      <c r="BT116" s="79">
        <v>0</v>
      </c>
      <c r="BU116" s="79">
        <v>0</v>
      </c>
      <c r="BV116" s="79">
        <v>46</v>
      </c>
      <c r="BW116" s="79">
        <v>-458</v>
      </c>
      <c r="BX116" s="79">
        <v>-1</v>
      </c>
      <c r="BY116" s="79">
        <v>1737</v>
      </c>
      <c r="BZ116" s="79">
        <v>0</v>
      </c>
      <c r="CA116" s="79">
        <v>109</v>
      </c>
      <c r="CB116" s="79">
        <v>65</v>
      </c>
      <c r="CC116" s="79">
        <v>273</v>
      </c>
      <c r="CD116" s="79">
        <v>5</v>
      </c>
      <c r="CE116" s="79">
        <v>6</v>
      </c>
    </row>
    <row r="117" spans="1:83" s="58" customFormat="1" ht="15.6" customHeight="1" x14ac:dyDescent="0.25">
      <c r="A117" s="43">
        <v>12</v>
      </c>
      <c r="B117" s="59" t="s">
        <v>372</v>
      </c>
      <c r="C117" s="77" t="s">
        <v>373</v>
      </c>
      <c r="D117" s="50" t="s">
        <v>374</v>
      </c>
      <c r="E117" s="50" t="s">
        <v>104</v>
      </c>
      <c r="F117" s="50" t="s">
        <v>375</v>
      </c>
      <c r="G117" s="88">
        <v>2238400.7200000002</v>
      </c>
      <c r="H117" s="88">
        <v>0</v>
      </c>
      <c r="I117" s="88">
        <v>0</v>
      </c>
      <c r="J117" s="88">
        <v>0</v>
      </c>
      <c r="K117" s="89">
        <v>5735</v>
      </c>
      <c r="L117" s="89">
        <v>2244135.7200000002</v>
      </c>
      <c r="M117" s="89">
        <v>0</v>
      </c>
      <c r="N117" s="88">
        <v>61412.84</v>
      </c>
      <c r="O117" s="88">
        <v>389590.09</v>
      </c>
      <c r="P117" s="90">
        <v>285953.99</v>
      </c>
      <c r="Q117" s="88">
        <v>4332.04</v>
      </c>
      <c r="R117" s="88">
        <v>134607.93</v>
      </c>
      <c r="S117" s="88">
        <v>843159.76</v>
      </c>
      <c r="T117" s="88">
        <v>232957.3</v>
      </c>
      <c r="U117" s="88">
        <v>0</v>
      </c>
      <c r="V117" s="88">
        <v>0</v>
      </c>
      <c r="W117" s="88">
        <v>84737.29</v>
      </c>
      <c r="X117" s="89">
        <v>204052</v>
      </c>
      <c r="Y117" s="89">
        <v>2240803.2400000002</v>
      </c>
      <c r="Z117" s="81">
        <v>4.0629932427827219E-2</v>
      </c>
      <c r="AA117" s="89">
        <v>199794.27</v>
      </c>
      <c r="AB117" s="89">
        <v>0</v>
      </c>
      <c r="AC117" s="89">
        <v>0</v>
      </c>
      <c r="AD117" s="89">
        <v>0</v>
      </c>
      <c r="AE117" s="89">
        <v>0</v>
      </c>
      <c r="AF117" s="89">
        <f t="shared" si="24"/>
        <v>0</v>
      </c>
      <c r="AG117" s="89">
        <v>80139.740000000005</v>
      </c>
      <c r="AH117" s="88">
        <v>6206.99</v>
      </c>
      <c r="AI117" s="88">
        <v>4595.49</v>
      </c>
      <c r="AJ117" s="89">
        <v>0</v>
      </c>
      <c r="AK117" s="88">
        <v>16857.27</v>
      </c>
      <c r="AL117" s="88">
        <v>0</v>
      </c>
      <c r="AM117" s="88">
        <v>9645.15</v>
      </c>
      <c r="AN117" s="88">
        <v>4315</v>
      </c>
      <c r="AO117" s="88">
        <v>0</v>
      </c>
      <c r="AP117" s="88">
        <v>2704.65</v>
      </c>
      <c r="AQ117" s="88">
        <v>8950.99</v>
      </c>
      <c r="AR117" s="88">
        <v>5705.58</v>
      </c>
      <c r="AS117" s="88">
        <v>0</v>
      </c>
      <c r="AT117" s="88">
        <v>0</v>
      </c>
      <c r="AU117" s="88">
        <v>6000</v>
      </c>
      <c r="AV117" s="88">
        <v>11576.59</v>
      </c>
      <c r="AW117" s="88">
        <v>156697.45000000001</v>
      </c>
      <c r="AX117" s="88">
        <v>127279.74</v>
      </c>
      <c r="AY117" s="81">
        <f t="shared" si="25"/>
        <v>0.81226427105227295</v>
      </c>
      <c r="AZ117" s="89">
        <v>0</v>
      </c>
      <c r="BA117" s="81">
        <v>8.9257597272395434E-2</v>
      </c>
      <c r="BB117" s="79">
        <v>48458.98</v>
      </c>
      <c r="BC117" s="79">
        <v>42487.09</v>
      </c>
      <c r="BD117" s="80">
        <v>50897.3</v>
      </c>
      <c r="BE117" s="80">
        <v>0</v>
      </c>
      <c r="BF117" s="80">
        <v>6.1900000000896398</v>
      </c>
      <c r="BG117" s="80">
        <v>0</v>
      </c>
      <c r="BH117" s="80">
        <v>0</v>
      </c>
      <c r="BI117" s="80">
        <v>0</v>
      </c>
      <c r="BJ117" s="80">
        <f t="shared" si="26"/>
        <v>0</v>
      </c>
      <c r="BK117" s="80">
        <v>0</v>
      </c>
      <c r="BL117" s="80">
        <v>349</v>
      </c>
      <c r="BM117" s="80">
        <v>175</v>
      </c>
      <c r="BN117" s="79">
        <v>3</v>
      </c>
      <c r="BO117" s="79">
        <v>0</v>
      </c>
      <c r="BP117" s="79">
        <v>-6</v>
      </c>
      <c r="BQ117" s="79">
        <v>-17</v>
      </c>
      <c r="BR117" s="79">
        <v>-43</v>
      </c>
      <c r="BS117" s="79">
        <v>-33</v>
      </c>
      <c r="BT117" s="79">
        <v>0</v>
      </c>
      <c r="BU117" s="79">
        <v>0</v>
      </c>
      <c r="BV117" s="79">
        <v>0</v>
      </c>
      <c r="BW117" s="79">
        <v>-43</v>
      </c>
      <c r="BX117" s="79">
        <v>0</v>
      </c>
      <c r="BY117" s="79">
        <v>385</v>
      </c>
      <c r="BZ117" s="79">
        <v>0</v>
      </c>
      <c r="CA117" s="79">
        <v>15</v>
      </c>
      <c r="CB117" s="79">
        <v>3</v>
      </c>
      <c r="CC117" s="79">
        <v>17</v>
      </c>
      <c r="CD117" s="79">
        <v>1</v>
      </c>
      <c r="CE117" s="79">
        <v>3</v>
      </c>
    </row>
    <row r="118" spans="1:83" s="58" customFormat="1" ht="15.6" customHeight="1" x14ac:dyDescent="0.25">
      <c r="A118" s="43">
        <v>12</v>
      </c>
      <c r="B118" s="59" t="s">
        <v>566</v>
      </c>
      <c r="C118" s="77" t="s">
        <v>373</v>
      </c>
      <c r="D118" s="50" t="s">
        <v>376</v>
      </c>
      <c r="E118" s="50" t="s">
        <v>122</v>
      </c>
      <c r="F118" s="50" t="s">
        <v>375</v>
      </c>
      <c r="G118" s="88">
        <v>6661555.1399999997</v>
      </c>
      <c r="H118" s="88">
        <v>0</v>
      </c>
      <c r="I118" s="88">
        <v>0</v>
      </c>
      <c r="J118" s="88">
        <v>0</v>
      </c>
      <c r="K118" s="89">
        <v>3876.88</v>
      </c>
      <c r="L118" s="89">
        <v>6665432.0199999996</v>
      </c>
      <c r="M118" s="89">
        <v>0</v>
      </c>
      <c r="N118" s="88">
        <v>0</v>
      </c>
      <c r="O118" s="88">
        <v>834052.88</v>
      </c>
      <c r="P118" s="90">
        <v>1902203.68</v>
      </c>
      <c r="Q118" s="88">
        <v>0</v>
      </c>
      <c r="R118" s="88">
        <v>365522.75</v>
      </c>
      <c r="S118" s="88">
        <v>2379500.14</v>
      </c>
      <c r="T118" s="88">
        <v>460920.69</v>
      </c>
      <c r="U118" s="88">
        <v>0</v>
      </c>
      <c r="V118" s="88">
        <v>0</v>
      </c>
      <c r="W118" s="88">
        <v>79668.08</v>
      </c>
      <c r="X118" s="89">
        <v>607265.81000000006</v>
      </c>
      <c r="Y118" s="89">
        <v>6629134.0300000003</v>
      </c>
      <c r="Z118" s="81">
        <v>2.2250774313939105E-2</v>
      </c>
      <c r="AA118" s="89">
        <v>603388.93000000005</v>
      </c>
      <c r="AB118" s="89">
        <v>0</v>
      </c>
      <c r="AC118" s="89">
        <v>0</v>
      </c>
      <c r="AD118" s="89">
        <v>0</v>
      </c>
      <c r="AE118" s="89">
        <v>0</v>
      </c>
      <c r="AF118" s="89">
        <f t="shared" si="24"/>
        <v>0</v>
      </c>
      <c r="AG118" s="89">
        <v>282759.93</v>
      </c>
      <c r="AH118" s="88">
        <v>23295.78</v>
      </c>
      <c r="AI118" s="88">
        <v>66092.25</v>
      </c>
      <c r="AJ118" s="89">
        <v>0</v>
      </c>
      <c r="AK118" s="88">
        <v>28977.81</v>
      </c>
      <c r="AL118" s="88">
        <v>0</v>
      </c>
      <c r="AM118" s="88">
        <v>23439.17</v>
      </c>
      <c r="AN118" s="88">
        <v>7542</v>
      </c>
      <c r="AO118" s="88">
        <v>0</v>
      </c>
      <c r="AP118" s="88">
        <v>3890.73</v>
      </c>
      <c r="AQ118" s="88">
        <v>11236.89</v>
      </c>
      <c r="AR118" s="88">
        <v>9708.61</v>
      </c>
      <c r="AS118" s="88">
        <v>0</v>
      </c>
      <c r="AT118" s="88">
        <v>5113.1099999999997</v>
      </c>
      <c r="AU118" s="88">
        <v>7083.06</v>
      </c>
      <c r="AV118" s="88">
        <v>27894.920000000002</v>
      </c>
      <c r="AW118" s="88">
        <v>497034.26</v>
      </c>
      <c r="AX118" s="88">
        <v>0</v>
      </c>
      <c r="AY118" s="81">
        <f t="shared" si="25"/>
        <v>0</v>
      </c>
      <c r="AZ118" s="89">
        <v>0</v>
      </c>
      <c r="BA118" s="81">
        <v>9.0577788116905103E-2</v>
      </c>
      <c r="BB118" s="79">
        <v>110852.39</v>
      </c>
      <c r="BC118" s="79">
        <v>37372.370000000003</v>
      </c>
      <c r="BD118" s="80">
        <v>152969.44</v>
      </c>
      <c r="BE118" s="80">
        <v>1.16415321826935E-10</v>
      </c>
      <c r="BF118" s="80">
        <v>0</v>
      </c>
      <c r="BG118" s="80">
        <v>0</v>
      </c>
      <c r="BH118" s="80">
        <v>0</v>
      </c>
      <c r="BI118" s="80">
        <v>0</v>
      </c>
      <c r="BJ118" s="80">
        <f t="shared" si="26"/>
        <v>0</v>
      </c>
      <c r="BK118" s="80">
        <v>0</v>
      </c>
      <c r="BL118" s="80">
        <v>825</v>
      </c>
      <c r="BM118" s="80">
        <v>341</v>
      </c>
      <c r="BN118" s="79">
        <v>0</v>
      </c>
      <c r="BO118" s="79">
        <v>0</v>
      </c>
      <c r="BP118" s="79">
        <v>-4</v>
      </c>
      <c r="BQ118" s="79">
        <v>-26</v>
      </c>
      <c r="BR118" s="79">
        <v>-68</v>
      </c>
      <c r="BS118" s="79">
        <v>-86</v>
      </c>
      <c r="BT118" s="79">
        <v>0</v>
      </c>
      <c r="BU118" s="79">
        <v>0</v>
      </c>
      <c r="BV118" s="79">
        <v>7</v>
      </c>
      <c r="BW118" s="79">
        <v>-153</v>
      </c>
      <c r="BX118" s="79">
        <v>-1</v>
      </c>
      <c r="BY118" s="79">
        <v>835</v>
      </c>
      <c r="BZ118" s="79">
        <v>0</v>
      </c>
      <c r="CA118" s="79">
        <v>68</v>
      </c>
      <c r="CB118" s="79">
        <v>20</v>
      </c>
      <c r="CC118" s="79">
        <v>59</v>
      </c>
      <c r="CD118" s="79">
        <v>5</v>
      </c>
      <c r="CE118" s="79">
        <v>1</v>
      </c>
    </row>
    <row r="119" spans="1:83" s="58" customFormat="1" ht="15.6" customHeight="1" x14ac:dyDescent="0.25">
      <c r="A119" s="43">
        <v>12</v>
      </c>
      <c r="B119" s="59" t="s">
        <v>377</v>
      </c>
      <c r="C119" s="77" t="s">
        <v>378</v>
      </c>
      <c r="D119" s="50" t="s">
        <v>379</v>
      </c>
      <c r="E119" s="41" t="s">
        <v>86</v>
      </c>
      <c r="F119" s="50" t="s">
        <v>380</v>
      </c>
      <c r="G119" s="89">
        <v>2816211.04</v>
      </c>
      <c r="H119" s="89">
        <v>120000</v>
      </c>
      <c r="I119" s="89">
        <v>30117.040000000001</v>
      </c>
      <c r="J119" s="89">
        <v>0</v>
      </c>
      <c r="K119" s="89">
        <v>0</v>
      </c>
      <c r="L119" s="89">
        <v>2966328.08</v>
      </c>
      <c r="M119" s="89">
        <v>0</v>
      </c>
      <c r="N119" s="89">
        <v>0</v>
      </c>
      <c r="O119" s="89">
        <v>107924.7</v>
      </c>
      <c r="P119" s="89">
        <v>527946.29</v>
      </c>
      <c r="Q119" s="89">
        <v>0</v>
      </c>
      <c r="R119" s="89">
        <v>371934.91</v>
      </c>
      <c r="S119" s="89">
        <v>1423021.76</v>
      </c>
      <c r="T119" s="89">
        <v>343900.99</v>
      </c>
      <c r="U119" s="89">
        <v>0</v>
      </c>
      <c r="V119" s="89">
        <v>0</v>
      </c>
      <c r="W119" s="89">
        <v>47708.08</v>
      </c>
      <c r="X119" s="89">
        <v>255994.38</v>
      </c>
      <c r="Y119" s="89">
        <v>3078431.11</v>
      </c>
      <c r="Z119" s="81">
        <v>9.6163172930512505E-2</v>
      </c>
      <c r="AA119" s="89">
        <v>255994.38</v>
      </c>
      <c r="AB119" s="89">
        <v>0</v>
      </c>
      <c r="AC119" s="89">
        <v>0</v>
      </c>
      <c r="AD119" s="89">
        <v>0</v>
      </c>
      <c r="AE119" s="89">
        <v>0</v>
      </c>
      <c r="AF119" s="89">
        <f t="shared" si="24"/>
        <v>0</v>
      </c>
      <c r="AG119" s="89">
        <v>65749.3</v>
      </c>
      <c r="AH119" s="89">
        <v>5436.87</v>
      </c>
      <c r="AI119" s="89">
        <v>16992.599999999999</v>
      </c>
      <c r="AJ119" s="89">
        <v>0</v>
      </c>
      <c r="AK119" s="89">
        <v>24360</v>
      </c>
      <c r="AL119" s="89">
        <v>11898.51</v>
      </c>
      <c r="AM119" s="89">
        <v>11617</v>
      </c>
      <c r="AN119" s="89">
        <v>4570</v>
      </c>
      <c r="AO119" s="89">
        <v>0</v>
      </c>
      <c r="AP119" s="89">
        <v>0</v>
      </c>
      <c r="AQ119" s="89">
        <v>9482.02</v>
      </c>
      <c r="AR119" s="89">
        <v>0</v>
      </c>
      <c r="AS119" s="89">
        <v>0</v>
      </c>
      <c r="AT119" s="89">
        <v>1015</v>
      </c>
      <c r="AU119" s="89">
        <v>2100</v>
      </c>
      <c r="AV119" s="89">
        <v>8111.9400000000005</v>
      </c>
      <c r="AW119" s="89">
        <v>161332.91</v>
      </c>
      <c r="AX119" s="89">
        <v>0</v>
      </c>
      <c r="AY119" s="81">
        <f t="shared" si="25"/>
        <v>0</v>
      </c>
      <c r="AZ119" s="89">
        <v>0</v>
      </c>
      <c r="BA119" s="81">
        <v>9.0900282814032285E-2</v>
      </c>
      <c r="BB119" s="80">
        <v>54662.78</v>
      </c>
      <c r="BC119" s="80">
        <v>227692.59</v>
      </c>
      <c r="BD119" s="80">
        <v>95095.42</v>
      </c>
      <c r="BE119" s="80">
        <v>0</v>
      </c>
      <c r="BF119" s="80">
        <v>0</v>
      </c>
      <c r="BG119" s="80">
        <v>0</v>
      </c>
      <c r="BH119" s="80">
        <v>0</v>
      </c>
      <c r="BI119" s="80">
        <v>0</v>
      </c>
      <c r="BJ119" s="80">
        <f t="shared" si="26"/>
        <v>0</v>
      </c>
      <c r="BK119" s="80">
        <v>0</v>
      </c>
      <c r="BL119" s="80">
        <v>415</v>
      </c>
      <c r="BM119" s="80">
        <v>95</v>
      </c>
      <c r="BN119" s="80">
        <v>0</v>
      </c>
      <c r="BO119" s="80">
        <v>0</v>
      </c>
      <c r="BP119" s="80">
        <v>-3</v>
      </c>
      <c r="BQ119" s="80">
        <v>-1</v>
      </c>
      <c r="BR119" s="80">
        <v>-16</v>
      </c>
      <c r="BS119" s="80">
        <v>-23</v>
      </c>
      <c r="BT119" s="80">
        <v>0</v>
      </c>
      <c r="BU119" s="80">
        <v>0</v>
      </c>
      <c r="BV119" s="80">
        <v>0</v>
      </c>
      <c r="BW119" s="80">
        <v>-60</v>
      </c>
      <c r="BX119" s="80">
        <v>0</v>
      </c>
      <c r="BY119" s="80">
        <v>407</v>
      </c>
      <c r="BZ119" s="80">
        <v>17</v>
      </c>
      <c r="CA119" s="80">
        <v>14</v>
      </c>
      <c r="CB119" s="80">
        <v>8</v>
      </c>
      <c r="CC119" s="80">
        <v>25</v>
      </c>
      <c r="CD119" s="80">
        <v>0</v>
      </c>
      <c r="CE119" s="80">
        <v>1</v>
      </c>
    </row>
    <row r="120" spans="1:83" s="58" customFormat="1" ht="15.6" customHeight="1" x14ac:dyDescent="0.25">
      <c r="A120" s="50">
        <v>13</v>
      </c>
      <c r="B120" s="50" t="s">
        <v>381</v>
      </c>
      <c r="C120" s="77" t="s">
        <v>382</v>
      </c>
      <c r="D120" s="50" t="s">
        <v>383</v>
      </c>
      <c r="E120" s="50" t="s">
        <v>384</v>
      </c>
      <c r="F120" s="50" t="s">
        <v>385</v>
      </c>
      <c r="G120" s="88">
        <v>36479019.189999998</v>
      </c>
      <c r="H120" s="88">
        <v>0</v>
      </c>
      <c r="I120" s="88">
        <v>1420898.93</v>
      </c>
      <c r="J120" s="88">
        <v>0</v>
      </c>
      <c r="K120" s="89">
        <v>0</v>
      </c>
      <c r="L120" s="89">
        <v>37899918.119999997</v>
      </c>
      <c r="M120" s="89">
        <v>0</v>
      </c>
      <c r="N120" s="88">
        <v>9394637.5700000003</v>
      </c>
      <c r="O120" s="88">
        <v>1155273.31</v>
      </c>
      <c r="P120" s="90">
        <v>12793466.869999999</v>
      </c>
      <c r="Q120" s="88">
        <v>2625</v>
      </c>
      <c r="R120" s="88">
        <v>1603804.54</v>
      </c>
      <c r="S120" s="88">
        <v>4745759.91</v>
      </c>
      <c r="T120" s="88">
        <v>3430250.28</v>
      </c>
      <c r="U120" s="88">
        <v>0</v>
      </c>
      <c r="V120" s="88">
        <v>0</v>
      </c>
      <c r="W120" s="88">
        <v>1452011.68</v>
      </c>
      <c r="X120" s="89">
        <v>2779404.5</v>
      </c>
      <c r="Y120" s="89">
        <v>37357233.659999996</v>
      </c>
      <c r="Z120" s="81">
        <v>0.15000123335278742</v>
      </c>
      <c r="AA120" s="89">
        <v>2779404.5</v>
      </c>
      <c r="AB120" s="89">
        <v>0</v>
      </c>
      <c r="AC120" s="89">
        <v>0</v>
      </c>
      <c r="AD120" s="89">
        <v>0</v>
      </c>
      <c r="AE120" s="89">
        <v>0</v>
      </c>
      <c r="AF120" s="89">
        <f t="shared" si="24"/>
        <v>0</v>
      </c>
      <c r="AG120" s="89">
        <v>1449664.94</v>
      </c>
      <c r="AH120" s="88">
        <v>104778.05</v>
      </c>
      <c r="AI120" s="88">
        <v>268969.14</v>
      </c>
      <c r="AJ120" s="89">
        <v>9205</v>
      </c>
      <c r="AK120" s="88">
        <v>169368.68</v>
      </c>
      <c r="AL120" s="88">
        <v>4555.2</v>
      </c>
      <c r="AM120" s="88">
        <v>85101.47</v>
      </c>
      <c r="AN120" s="88">
        <v>11100</v>
      </c>
      <c r="AO120" s="88">
        <v>6605.03</v>
      </c>
      <c r="AP120" s="88">
        <v>0</v>
      </c>
      <c r="AQ120" s="88">
        <v>70354.759999999995</v>
      </c>
      <c r="AR120" s="88">
        <v>36215.96</v>
      </c>
      <c r="AS120" s="88">
        <v>3508.53</v>
      </c>
      <c r="AT120" s="88">
        <v>42094.53</v>
      </c>
      <c r="AU120" s="88">
        <v>20733.099999999999</v>
      </c>
      <c r="AV120" s="88">
        <v>110461.57999999999</v>
      </c>
      <c r="AW120" s="88">
        <v>2392715.9700000002</v>
      </c>
      <c r="AX120" s="88">
        <v>0</v>
      </c>
      <c r="AY120" s="81">
        <f t="shared" si="25"/>
        <v>0</v>
      </c>
      <c r="AZ120" s="89">
        <v>995.91</v>
      </c>
      <c r="BA120" s="81">
        <v>7.6191864850410199E-2</v>
      </c>
      <c r="BB120" s="79">
        <v>2117587.08</v>
      </c>
      <c r="BC120" s="79">
        <v>3354310.79</v>
      </c>
      <c r="BD120" s="80">
        <v>219587</v>
      </c>
      <c r="BE120" s="80">
        <v>0</v>
      </c>
      <c r="BF120" s="80">
        <v>553380.69000000099</v>
      </c>
      <c r="BG120" s="80">
        <v>0</v>
      </c>
      <c r="BH120" s="80">
        <v>0</v>
      </c>
      <c r="BI120" s="80">
        <v>0</v>
      </c>
      <c r="BJ120" s="80">
        <f t="shared" si="26"/>
        <v>0</v>
      </c>
      <c r="BK120" s="80">
        <v>0</v>
      </c>
      <c r="BL120" s="80">
        <v>4691</v>
      </c>
      <c r="BM120" s="80">
        <v>1801</v>
      </c>
      <c r="BN120" s="79">
        <v>8</v>
      </c>
      <c r="BO120" s="79">
        <v>-3</v>
      </c>
      <c r="BP120" s="79">
        <v>-66</v>
      </c>
      <c r="BQ120" s="79">
        <v>-92</v>
      </c>
      <c r="BR120" s="79">
        <v>-377</v>
      </c>
      <c r="BS120" s="79">
        <v>-514</v>
      </c>
      <c r="BT120" s="79">
        <v>0</v>
      </c>
      <c r="BU120" s="79">
        <v>0</v>
      </c>
      <c r="BV120" s="79">
        <v>17</v>
      </c>
      <c r="BW120" s="79">
        <v>-758</v>
      </c>
      <c r="BX120" s="79">
        <v>-1</v>
      </c>
      <c r="BY120" s="79">
        <v>4706</v>
      </c>
      <c r="BZ120" s="79">
        <v>53</v>
      </c>
      <c r="CA120" s="79">
        <v>126</v>
      </c>
      <c r="CB120" s="79">
        <v>53</v>
      </c>
      <c r="CC120" s="79">
        <v>446</v>
      </c>
      <c r="CD120" s="79">
        <v>131</v>
      </c>
      <c r="CE120" s="79">
        <v>1</v>
      </c>
    </row>
    <row r="121" spans="1:83" s="58" customFormat="1" ht="15.6" customHeight="1" x14ac:dyDescent="0.25">
      <c r="A121" s="50">
        <v>13</v>
      </c>
      <c r="B121" s="50" t="s">
        <v>575</v>
      </c>
      <c r="C121" s="77" t="s">
        <v>560</v>
      </c>
      <c r="D121" s="50" t="s">
        <v>392</v>
      </c>
      <c r="E121" s="50" t="s">
        <v>109</v>
      </c>
      <c r="F121" s="50" t="s">
        <v>389</v>
      </c>
      <c r="G121" s="88">
        <v>61839719.229999997</v>
      </c>
      <c r="H121" s="88">
        <v>0</v>
      </c>
      <c r="I121" s="88">
        <v>1090791.54</v>
      </c>
      <c r="J121" s="88">
        <v>0</v>
      </c>
      <c r="K121" s="89">
        <v>0</v>
      </c>
      <c r="L121" s="89">
        <v>62930510.770000003</v>
      </c>
      <c r="M121" s="89">
        <v>0</v>
      </c>
      <c r="N121" s="88">
        <v>3598429.84</v>
      </c>
      <c r="O121" s="88">
        <v>4204472.88</v>
      </c>
      <c r="P121" s="90">
        <v>25147964.789999999</v>
      </c>
      <c r="Q121" s="88">
        <v>9798.73</v>
      </c>
      <c r="R121" s="88">
        <v>4129598.39</v>
      </c>
      <c r="S121" s="88">
        <v>12517098.300000001</v>
      </c>
      <c r="T121" s="88">
        <v>7966977.6299999999</v>
      </c>
      <c r="U121" s="88">
        <v>0</v>
      </c>
      <c r="V121" s="88">
        <v>0</v>
      </c>
      <c r="W121" s="88">
        <v>1523658.34</v>
      </c>
      <c r="X121" s="89">
        <v>3632332.31</v>
      </c>
      <c r="Y121" s="89">
        <v>62730331.210000001</v>
      </c>
      <c r="Z121" s="81">
        <v>5.9255506422518735E-2</v>
      </c>
      <c r="AA121" s="89">
        <v>3588811.94</v>
      </c>
      <c r="AB121" s="89">
        <v>0</v>
      </c>
      <c r="AC121" s="89">
        <v>0</v>
      </c>
      <c r="AD121" s="89">
        <v>0</v>
      </c>
      <c r="AE121" s="89">
        <v>0</v>
      </c>
      <c r="AF121" s="89">
        <f t="shared" si="24"/>
        <v>0</v>
      </c>
      <c r="AG121" s="89">
        <v>1912880.2</v>
      </c>
      <c r="AH121" s="88">
        <v>140667.88</v>
      </c>
      <c r="AI121" s="88">
        <v>676862.29</v>
      </c>
      <c r="AJ121" s="89">
        <v>0</v>
      </c>
      <c r="AK121" s="88">
        <v>170966.64</v>
      </c>
      <c r="AL121" s="88">
        <v>7871.35</v>
      </c>
      <c r="AM121" s="88">
        <v>50536.66</v>
      </c>
      <c r="AN121" s="88">
        <v>11700</v>
      </c>
      <c r="AO121" s="88">
        <v>32604.33</v>
      </c>
      <c r="AP121" s="88">
        <v>0</v>
      </c>
      <c r="AQ121" s="88">
        <v>138448.46000000002</v>
      </c>
      <c r="AR121" s="88">
        <v>17706.490000000002</v>
      </c>
      <c r="AS121" s="88">
        <v>1310</v>
      </c>
      <c r="AT121" s="88">
        <v>42585.47</v>
      </c>
      <c r="AU121" s="88">
        <v>35896.449999999997</v>
      </c>
      <c r="AV121" s="88">
        <v>76134.62000000001</v>
      </c>
      <c r="AW121" s="88">
        <v>3316170.84</v>
      </c>
      <c r="AX121" s="88">
        <v>0</v>
      </c>
      <c r="AY121" s="81">
        <f t="shared" si="25"/>
        <v>0</v>
      </c>
      <c r="AZ121" s="89">
        <v>0</v>
      </c>
      <c r="BA121" s="81">
        <v>5.8034091756661424E-2</v>
      </c>
      <c r="BB121" s="79">
        <v>1224793.6000000001</v>
      </c>
      <c r="BC121" s="79">
        <v>2439550.2799999998</v>
      </c>
      <c r="BD121" s="80">
        <v>216827.22</v>
      </c>
      <c r="BE121" s="80">
        <v>0</v>
      </c>
      <c r="BF121" s="80">
        <v>748462.22</v>
      </c>
      <c r="BG121" s="80">
        <v>0</v>
      </c>
      <c r="BH121" s="80">
        <v>0</v>
      </c>
      <c r="BI121" s="80">
        <v>0</v>
      </c>
      <c r="BJ121" s="80">
        <f t="shared" si="26"/>
        <v>0</v>
      </c>
      <c r="BK121" s="80">
        <v>0</v>
      </c>
      <c r="BL121" s="80">
        <v>9900</v>
      </c>
      <c r="BM121" s="80">
        <v>3444</v>
      </c>
      <c r="BN121" s="79">
        <v>0</v>
      </c>
      <c r="BO121" s="79">
        <v>0</v>
      </c>
      <c r="BP121" s="79">
        <v>-66</v>
      </c>
      <c r="BQ121" s="79">
        <v>-320</v>
      </c>
      <c r="BR121" s="79">
        <v>-652</v>
      </c>
      <c r="BS121" s="79">
        <v>-1410</v>
      </c>
      <c r="BT121" s="79">
        <v>2</v>
      </c>
      <c r="BU121" s="79">
        <v>-1</v>
      </c>
      <c r="BV121" s="79">
        <v>0</v>
      </c>
      <c r="BW121" s="79">
        <v>-1330</v>
      </c>
      <c r="BX121" s="79">
        <v>-6</v>
      </c>
      <c r="BY121" s="79">
        <v>9561</v>
      </c>
      <c r="BZ121" s="79">
        <v>38</v>
      </c>
      <c r="CA121" s="79">
        <v>307</v>
      </c>
      <c r="CB121" s="79">
        <v>120</v>
      </c>
      <c r="CC121" s="79">
        <v>885</v>
      </c>
      <c r="CD121" s="79">
        <v>7</v>
      </c>
      <c r="CE121" s="79">
        <v>11</v>
      </c>
    </row>
    <row r="122" spans="1:83" s="58" customFormat="1" ht="15.6" customHeight="1" x14ac:dyDescent="0.25">
      <c r="A122" s="50">
        <v>13</v>
      </c>
      <c r="B122" s="50" t="s">
        <v>386</v>
      </c>
      <c r="C122" s="78" t="s">
        <v>387</v>
      </c>
      <c r="D122" s="50" t="s">
        <v>388</v>
      </c>
      <c r="E122" s="50" t="s">
        <v>116</v>
      </c>
      <c r="F122" s="50" t="s">
        <v>389</v>
      </c>
      <c r="G122" s="88">
        <v>66136847.32</v>
      </c>
      <c r="H122" s="88">
        <v>0</v>
      </c>
      <c r="I122" s="88">
        <v>1542625.32</v>
      </c>
      <c r="J122" s="88">
        <v>6488.58</v>
      </c>
      <c r="K122" s="89">
        <v>0</v>
      </c>
      <c r="L122" s="89">
        <v>67685961.219999999</v>
      </c>
      <c r="M122" s="89">
        <v>83701</v>
      </c>
      <c r="N122" s="88">
        <v>16191017.48</v>
      </c>
      <c r="O122" s="88">
        <v>2264100.63</v>
      </c>
      <c r="P122" s="90">
        <v>20598954.140000001</v>
      </c>
      <c r="Q122" s="88">
        <v>0</v>
      </c>
      <c r="R122" s="88">
        <v>4454494.92</v>
      </c>
      <c r="S122" s="88">
        <v>11544284.960000001</v>
      </c>
      <c r="T122" s="88">
        <v>6512487.5300000003</v>
      </c>
      <c r="U122" s="88">
        <v>0</v>
      </c>
      <c r="V122" s="88">
        <v>0</v>
      </c>
      <c r="W122" s="88">
        <v>1535778.85</v>
      </c>
      <c r="X122" s="89">
        <v>4489322.8099999996</v>
      </c>
      <c r="Y122" s="89">
        <v>67590441.319999993</v>
      </c>
      <c r="Z122" s="81">
        <v>0.14235646393070284</v>
      </c>
      <c r="AA122" s="89">
        <v>4482476.34</v>
      </c>
      <c r="AB122" s="89">
        <v>0</v>
      </c>
      <c r="AC122" s="89">
        <v>0</v>
      </c>
      <c r="AD122" s="89">
        <v>0</v>
      </c>
      <c r="AE122" s="89">
        <v>0</v>
      </c>
      <c r="AF122" s="89">
        <f t="shared" si="24"/>
        <v>0</v>
      </c>
      <c r="AG122" s="89">
        <v>2233007.96</v>
      </c>
      <c r="AH122" s="88">
        <v>163606.1</v>
      </c>
      <c r="AI122" s="88">
        <v>676388.88</v>
      </c>
      <c r="AJ122" s="89">
        <v>42706.05</v>
      </c>
      <c r="AK122" s="88">
        <v>297144.15999999997</v>
      </c>
      <c r="AL122" s="88">
        <v>18152.28</v>
      </c>
      <c r="AM122" s="88">
        <v>73260.61</v>
      </c>
      <c r="AN122" s="88">
        <v>12600</v>
      </c>
      <c r="AO122" s="88">
        <v>10644.8</v>
      </c>
      <c r="AP122" s="88">
        <v>365485.1</v>
      </c>
      <c r="AQ122" s="88">
        <v>68017.760000000009</v>
      </c>
      <c r="AR122" s="88">
        <v>33918.01</v>
      </c>
      <c r="AS122" s="88">
        <v>4680</v>
      </c>
      <c r="AT122" s="88">
        <v>107248.21</v>
      </c>
      <c r="AU122" s="88">
        <v>63359.839999999997</v>
      </c>
      <c r="AV122" s="88">
        <v>157086.85</v>
      </c>
      <c r="AW122" s="88">
        <v>4327306.6100000003</v>
      </c>
      <c r="AX122" s="88">
        <v>193151.79</v>
      </c>
      <c r="AY122" s="81">
        <f t="shared" si="25"/>
        <v>4.4635568358767162E-2</v>
      </c>
      <c r="AZ122" s="89">
        <v>0</v>
      </c>
      <c r="BA122" s="81">
        <v>6.7690112113526518E-2</v>
      </c>
      <c r="BB122" s="79">
        <v>1014309.58</v>
      </c>
      <c r="BC122" s="79">
        <v>8400698.1400000006</v>
      </c>
      <c r="BD122" s="80">
        <v>219587</v>
      </c>
      <c r="BE122" s="80">
        <v>0</v>
      </c>
      <c r="BF122" s="80">
        <v>881883.88</v>
      </c>
      <c r="BG122" s="80">
        <v>0</v>
      </c>
      <c r="BH122" s="80">
        <v>0</v>
      </c>
      <c r="BI122" s="80">
        <v>0</v>
      </c>
      <c r="BJ122" s="80">
        <f t="shared" si="26"/>
        <v>0</v>
      </c>
      <c r="BK122" s="80">
        <v>0</v>
      </c>
      <c r="BL122" s="80">
        <v>7760</v>
      </c>
      <c r="BM122" s="80">
        <v>2488</v>
      </c>
      <c r="BN122" s="79">
        <v>0</v>
      </c>
      <c r="BO122" s="79">
        <v>0</v>
      </c>
      <c r="BP122" s="79">
        <v>-30</v>
      </c>
      <c r="BQ122" s="79">
        <v>-101</v>
      </c>
      <c r="BR122" s="79">
        <v>-418</v>
      </c>
      <c r="BS122" s="79">
        <v>-608</v>
      </c>
      <c r="BT122" s="79">
        <v>46</v>
      </c>
      <c r="BU122" s="79">
        <v>-5</v>
      </c>
      <c r="BV122" s="79">
        <v>4</v>
      </c>
      <c r="BW122" s="79">
        <v>-1450</v>
      </c>
      <c r="BX122" s="79">
        <v>-13</v>
      </c>
      <c r="BY122" s="79">
        <v>7673</v>
      </c>
      <c r="BZ122" s="79">
        <v>5</v>
      </c>
      <c r="CA122" s="79">
        <v>278</v>
      </c>
      <c r="CB122" s="79">
        <v>120</v>
      </c>
      <c r="CC122" s="79">
        <v>561</v>
      </c>
      <c r="CD122" s="79">
        <v>484</v>
      </c>
      <c r="CE122" s="79">
        <v>7</v>
      </c>
    </row>
    <row r="123" spans="1:83" s="58" customFormat="1" ht="15.6" customHeight="1" x14ac:dyDescent="0.25">
      <c r="A123" s="50">
        <v>13</v>
      </c>
      <c r="B123" s="50" t="s">
        <v>390</v>
      </c>
      <c r="C123" s="76" t="s">
        <v>391</v>
      </c>
      <c r="D123" s="50" t="s">
        <v>383</v>
      </c>
      <c r="E123" s="50" t="s">
        <v>384</v>
      </c>
      <c r="F123" s="50" t="s">
        <v>385</v>
      </c>
      <c r="G123" s="88">
        <v>43760638.710000001</v>
      </c>
      <c r="H123" s="88">
        <v>0</v>
      </c>
      <c r="I123" s="88">
        <v>1782897.53</v>
      </c>
      <c r="J123" s="88">
        <v>0</v>
      </c>
      <c r="K123" s="89">
        <v>0</v>
      </c>
      <c r="L123" s="89">
        <v>45543536.240000002</v>
      </c>
      <c r="M123" s="89">
        <v>0</v>
      </c>
      <c r="N123" s="88">
        <v>10243461.880000001</v>
      </c>
      <c r="O123" s="88">
        <v>1172464.8700000001</v>
      </c>
      <c r="P123" s="90">
        <v>18545324.969999999</v>
      </c>
      <c r="Q123" s="88">
        <v>5722.68</v>
      </c>
      <c r="R123" s="88">
        <v>2011316.94</v>
      </c>
      <c r="S123" s="88">
        <v>4425309.32</v>
      </c>
      <c r="T123" s="88">
        <v>5392740.79</v>
      </c>
      <c r="U123" s="88">
        <v>0</v>
      </c>
      <c r="V123" s="88">
        <v>0</v>
      </c>
      <c r="W123" s="88">
        <v>1859431.1</v>
      </c>
      <c r="X123" s="89">
        <v>2602124.67</v>
      </c>
      <c r="Y123" s="89">
        <v>46257897.219999999</v>
      </c>
      <c r="Z123" s="81">
        <v>0.12711564830814143</v>
      </c>
      <c r="AA123" s="89">
        <v>2602124.67</v>
      </c>
      <c r="AB123" s="89">
        <v>0</v>
      </c>
      <c r="AC123" s="89">
        <v>0</v>
      </c>
      <c r="AD123" s="89">
        <v>0</v>
      </c>
      <c r="AE123" s="89">
        <v>0</v>
      </c>
      <c r="AF123" s="89">
        <f t="shared" si="24"/>
        <v>0</v>
      </c>
      <c r="AG123" s="89">
        <v>1406025.87</v>
      </c>
      <c r="AH123" s="88">
        <v>108520.1</v>
      </c>
      <c r="AI123" s="88">
        <v>325866.69</v>
      </c>
      <c r="AJ123" s="89">
        <v>0</v>
      </c>
      <c r="AK123" s="88">
        <v>193349.04</v>
      </c>
      <c r="AL123" s="88">
        <v>9007.65</v>
      </c>
      <c r="AM123" s="88">
        <v>66780.55</v>
      </c>
      <c r="AN123" s="88">
        <v>11100</v>
      </c>
      <c r="AO123" s="88">
        <v>7450</v>
      </c>
      <c r="AP123" s="88">
        <v>0</v>
      </c>
      <c r="AQ123" s="88">
        <v>67708.83</v>
      </c>
      <c r="AR123" s="88">
        <v>31160.639999999999</v>
      </c>
      <c r="AS123" s="88">
        <v>0</v>
      </c>
      <c r="AT123" s="88">
        <v>65105.62</v>
      </c>
      <c r="AU123" s="88">
        <v>27659.8</v>
      </c>
      <c r="AV123" s="88">
        <v>89907.97</v>
      </c>
      <c r="AW123" s="88">
        <v>2409642.7599999998</v>
      </c>
      <c r="AX123" s="88">
        <v>0</v>
      </c>
      <c r="AY123" s="81">
        <f t="shared" si="25"/>
        <v>0</v>
      </c>
      <c r="AZ123" s="89">
        <v>0</v>
      </c>
      <c r="BA123" s="81">
        <v>5.9462675744844033E-2</v>
      </c>
      <c r="BB123" s="79">
        <v>1629531.38</v>
      </c>
      <c r="BC123" s="79">
        <v>3933130.58</v>
      </c>
      <c r="BD123" s="80">
        <v>219587</v>
      </c>
      <c r="BE123" s="80">
        <v>0</v>
      </c>
      <c r="BF123" s="80">
        <v>570416.15</v>
      </c>
      <c r="BG123" s="80">
        <v>0</v>
      </c>
      <c r="BH123" s="80">
        <v>0</v>
      </c>
      <c r="BI123" s="80">
        <v>0</v>
      </c>
      <c r="BJ123" s="80">
        <f t="shared" si="26"/>
        <v>0</v>
      </c>
      <c r="BK123" s="80">
        <v>0</v>
      </c>
      <c r="BL123" s="80">
        <v>6403</v>
      </c>
      <c r="BM123" s="80">
        <v>2019</v>
      </c>
      <c r="BN123" s="79">
        <v>28</v>
      </c>
      <c r="BO123" s="79">
        <v>-14</v>
      </c>
      <c r="BP123" s="79">
        <v>-45</v>
      </c>
      <c r="BQ123" s="79">
        <v>-161</v>
      </c>
      <c r="BR123" s="79">
        <v>-516</v>
      </c>
      <c r="BS123" s="79">
        <v>-782</v>
      </c>
      <c r="BT123" s="79">
        <v>0</v>
      </c>
      <c r="BU123" s="79">
        <v>0</v>
      </c>
      <c r="BV123" s="79">
        <v>-1</v>
      </c>
      <c r="BW123" s="79">
        <v>-795</v>
      </c>
      <c r="BX123" s="79">
        <v>-5</v>
      </c>
      <c r="BY123" s="79">
        <v>6131</v>
      </c>
      <c r="BZ123" s="79">
        <v>46</v>
      </c>
      <c r="CA123" s="79">
        <v>174</v>
      </c>
      <c r="CB123" s="79">
        <v>51</v>
      </c>
      <c r="CC123" s="79">
        <v>464</v>
      </c>
      <c r="CD123" s="79">
        <v>110</v>
      </c>
      <c r="CE123" s="79">
        <v>1</v>
      </c>
    </row>
    <row r="124" spans="1:83" s="58" customFormat="1" ht="15.6" customHeight="1" x14ac:dyDescent="0.25">
      <c r="A124" s="50">
        <v>13</v>
      </c>
      <c r="B124" s="50" t="s">
        <v>393</v>
      </c>
      <c r="C124" s="77" t="s">
        <v>394</v>
      </c>
      <c r="D124" s="50" t="s">
        <v>395</v>
      </c>
      <c r="E124" s="41" t="s">
        <v>86</v>
      </c>
      <c r="F124" s="50" t="s">
        <v>396</v>
      </c>
      <c r="G124" s="88">
        <v>26863314.59</v>
      </c>
      <c r="H124" s="88">
        <v>0</v>
      </c>
      <c r="I124" s="88">
        <v>1715.2</v>
      </c>
      <c r="J124" s="88">
        <v>0</v>
      </c>
      <c r="K124" s="89">
        <v>473284.02999999997</v>
      </c>
      <c r="L124" s="89">
        <v>27338313.82</v>
      </c>
      <c r="M124" s="89">
        <v>0</v>
      </c>
      <c r="N124" s="88">
        <v>299062.07</v>
      </c>
      <c r="O124" s="88">
        <v>1621535.89</v>
      </c>
      <c r="P124" s="90">
        <v>10603956.970000001</v>
      </c>
      <c r="Q124" s="88">
        <v>0</v>
      </c>
      <c r="R124" s="88">
        <v>1675136.31</v>
      </c>
      <c r="S124" s="88">
        <v>6526080.1799999997</v>
      </c>
      <c r="T124" s="88">
        <v>4308911.18</v>
      </c>
      <c r="U124" s="88">
        <v>6961.95</v>
      </c>
      <c r="V124" s="88">
        <v>0</v>
      </c>
      <c r="W124" s="88">
        <v>472130.86</v>
      </c>
      <c r="X124" s="89">
        <v>2220706.1</v>
      </c>
      <c r="Y124" s="89">
        <v>27734481.510000002</v>
      </c>
      <c r="Z124" s="81">
        <v>4.4161825824785533E-2</v>
      </c>
      <c r="AA124" s="89">
        <v>2217837.73</v>
      </c>
      <c r="AB124" s="89">
        <v>0</v>
      </c>
      <c r="AC124" s="89">
        <v>0</v>
      </c>
      <c r="AD124" s="89">
        <v>1153.17</v>
      </c>
      <c r="AE124" s="89">
        <v>114.37</v>
      </c>
      <c r="AF124" s="89">
        <f t="shared" si="24"/>
        <v>1267.54</v>
      </c>
      <c r="AG124" s="89">
        <v>1001404.69</v>
      </c>
      <c r="AH124" s="88">
        <v>78110.710000000006</v>
      </c>
      <c r="AI124" s="88">
        <v>313842.09000000003</v>
      </c>
      <c r="AJ124" s="89">
        <v>749.37</v>
      </c>
      <c r="AK124" s="88">
        <v>84068.93</v>
      </c>
      <c r="AL124" s="88">
        <v>20119</v>
      </c>
      <c r="AM124" s="88">
        <v>86011.199999999997</v>
      </c>
      <c r="AN124" s="88">
        <v>11100</v>
      </c>
      <c r="AO124" s="88">
        <v>13452.5</v>
      </c>
      <c r="AP124" s="88">
        <v>0</v>
      </c>
      <c r="AQ124" s="88">
        <v>66903.009999999995</v>
      </c>
      <c r="AR124" s="88">
        <v>27613.759999999998</v>
      </c>
      <c r="AS124" s="88">
        <v>0</v>
      </c>
      <c r="AT124" s="88">
        <v>42883.81</v>
      </c>
      <c r="AU124" s="88">
        <v>77318.78</v>
      </c>
      <c r="AV124" s="88">
        <v>82837.350000000006</v>
      </c>
      <c r="AW124" s="88">
        <v>1906415.2</v>
      </c>
      <c r="AX124" s="88">
        <v>0</v>
      </c>
      <c r="AY124" s="81">
        <f t="shared" si="25"/>
        <v>0</v>
      </c>
      <c r="AZ124" s="89">
        <v>0</v>
      </c>
      <c r="BA124" s="81">
        <v>8.2560092224270826E-2</v>
      </c>
      <c r="BB124" s="79">
        <v>428406.61</v>
      </c>
      <c r="BC124" s="79">
        <v>757926.41</v>
      </c>
      <c r="BD124" s="80">
        <v>219587</v>
      </c>
      <c r="BE124" s="80">
        <v>2.91038304567337E-11</v>
      </c>
      <c r="BF124" s="80">
        <v>320734.30000000098</v>
      </c>
      <c r="BG124" s="80">
        <v>0</v>
      </c>
      <c r="BH124" s="80">
        <v>0</v>
      </c>
      <c r="BI124" s="80">
        <v>0</v>
      </c>
      <c r="BJ124" s="80">
        <f t="shared" si="26"/>
        <v>0</v>
      </c>
      <c r="BK124" s="80">
        <v>0</v>
      </c>
      <c r="BL124" s="80">
        <v>4767</v>
      </c>
      <c r="BM124" s="80">
        <v>1221</v>
      </c>
      <c r="BN124" s="79">
        <v>4</v>
      </c>
      <c r="BO124" s="79">
        <v>-5</v>
      </c>
      <c r="BP124" s="79">
        <v>-24</v>
      </c>
      <c r="BQ124" s="79">
        <v>-96</v>
      </c>
      <c r="BR124" s="79">
        <v>-135</v>
      </c>
      <c r="BS124" s="79">
        <v>-338</v>
      </c>
      <c r="BT124" s="79">
        <v>0</v>
      </c>
      <c r="BU124" s="79">
        <v>0</v>
      </c>
      <c r="BV124" s="79">
        <v>24</v>
      </c>
      <c r="BW124" s="79">
        <v>-972</v>
      </c>
      <c r="BX124" s="79">
        <v>-1</v>
      </c>
      <c r="BY124" s="79">
        <v>4445</v>
      </c>
      <c r="BZ124" s="79">
        <v>6</v>
      </c>
      <c r="CA124" s="79">
        <v>262</v>
      </c>
      <c r="CB124" s="79">
        <v>94</v>
      </c>
      <c r="CC124" s="79">
        <v>597</v>
      </c>
      <c r="CD124" s="79">
        <v>10</v>
      </c>
      <c r="CE124" s="79">
        <v>13</v>
      </c>
    </row>
    <row r="125" spans="1:83" s="58" customFormat="1" ht="15.6" customHeight="1" x14ac:dyDescent="0.25">
      <c r="A125" s="50">
        <v>13</v>
      </c>
      <c r="B125" s="50" t="s">
        <v>397</v>
      </c>
      <c r="C125" s="78" t="s">
        <v>128</v>
      </c>
      <c r="D125" s="50" t="s">
        <v>383</v>
      </c>
      <c r="E125" s="50" t="s">
        <v>384</v>
      </c>
      <c r="F125" s="50" t="s">
        <v>385</v>
      </c>
      <c r="G125" s="88">
        <v>33920786.969999999</v>
      </c>
      <c r="H125" s="88">
        <v>0</v>
      </c>
      <c r="I125" s="88">
        <v>1031395.86</v>
      </c>
      <c r="J125" s="88">
        <v>0</v>
      </c>
      <c r="K125" s="89">
        <v>0</v>
      </c>
      <c r="L125" s="89">
        <v>34952182.829999998</v>
      </c>
      <c r="M125" s="89">
        <v>0</v>
      </c>
      <c r="N125" s="88">
        <v>9880734.5999999996</v>
      </c>
      <c r="O125" s="88">
        <v>1264641.6499999999</v>
      </c>
      <c r="P125" s="90">
        <v>11061629.51</v>
      </c>
      <c r="Q125" s="88">
        <v>28366.48</v>
      </c>
      <c r="R125" s="88">
        <v>1576075.39</v>
      </c>
      <c r="S125" s="88">
        <v>4301544.9400000004</v>
      </c>
      <c r="T125" s="88">
        <v>3248474.03</v>
      </c>
      <c r="U125" s="88">
        <v>0</v>
      </c>
      <c r="V125" s="88">
        <v>0</v>
      </c>
      <c r="W125" s="88">
        <v>1059133.47</v>
      </c>
      <c r="X125" s="89">
        <v>2596844.64</v>
      </c>
      <c r="Y125" s="89">
        <v>35017444.710000001</v>
      </c>
      <c r="Z125" s="81">
        <v>0.12836238775506187</v>
      </c>
      <c r="AA125" s="89">
        <v>2596844.64</v>
      </c>
      <c r="AB125" s="89">
        <v>0</v>
      </c>
      <c r="AC125" s="89">
        <v>0</v>
      </c>
      <c r="AD125" s="89">
        <v>0</v>
      </c>
      <c r="AE125" s="89">
        <v>0</v>
      </c>
      <c r="AF125" s="89">
        <f t="shared" si="24"/>
        <v>0</v>
      </c>
      <c r="AG125" s="89">
        <v>1316721.584</v>
      </c>
      <c r="AH125" s="88">
        <v>96429.89</v>
      </c>
      <c r="AI125" s="88">
        <v>264722.11</v>
      </c>
      <c r="AJ125" s="89">
        <v>4025</v>
      </c>
      <c r="AK125" s="88">
        <v>165610.71</v>
      </c>
      <c r="AL125" s="88">
        <v>5281.61</v>
      </c>
      <c r="AM125" s="88">
        <v>92047.63</v>
      </c>
      <c r="AN125" s="88">
        <v>11100</v>
      </c>
      <c r="AO125" s="88">
        <v>32395.21</v>
      </c>
      <c r="AP125" s="88">
        <v>0</v>
      </c>
      <c r="AQ125" s="88">
        <v>84450.59</v>
      </c>
      <c r="AR125" s="88">
        <v>36984.83</v>
      </c>
      <c r="AS125" s="88">
        <v>2112.38</v>
      </c>
      <c r="AT125" s="88">
        <v>97111.35</v>
      </c>
      <c r="AU125" s="88">
        <v>22512.83</v>
      </c>
      <c r="AV125" s="88">
        <v>103523.67</v>
      </c>
      <c r="AW125" s="88">
        <v>2335029.3939999999</v>
      </c>
      <c r="AX125" s="88">
        <v>0</v>
      </c>
      <c r="AY125" s="81">
        <f t="shared" si="25"/>
        <v>0</v>
      </c>
      <c r="AZ125" s="89">
        <v>0</v>
      </c>
      <c r="BA125" s="81">
        <v>7.6556143650107072E-2</v>
      </c>
      <c r="BB125" s="79">
        <v>1383317.27</v>
      </c>
      <c r="BC125" s="79">
        <v>2970835.94</v>
      </c>
      <c r="BD125" s="80">
        <v>219587</v>
      </c>
      <c r="BE125" s="80">
        <v>0</v>
      </c>
      <c r="BF125" s="80">
        <v>580336.946</v>
      </c>
      <c r="BG125" s="80">
        <v>0</v>
      </c>
      <c r="BH125" s="80">
        <v>0</v>
      </c>
      <c r="BI125" s="80">
        <v>0</v>
      </c>
      <c r="BJ125" s="80">
        <f t="shared" si="26"/>
        <v>0</v>
      </c>
      <c r="BK125" s="80">
        <v>0</v>
      </c>
      <c r="BL125" s="80">
        <v>4128</v>
      </c>
      <c r="BM125" s="80">
        <v>1535</v>
      </c>
      <c r="BN125" s="79">
        <v>25</v>
      </c>
      <c r="BO125" s="79">
        <v>-12</v>
      </c>
      <c r="BP125" s="79">
        <v>-68</v>
      </c>
      <c r="BQ125" s="79">
        <v>-93</v>
      </c>
      <c r="BR125" s="79">
        <v>-375</v>
      </c>
      <c r="BS125" s="79">
        <v>-501</v>
      </c>
      <c r="BT125" s="79">
        <v>0</v>
      </c>
      <c r="BU125" s="79">
        <v>0</v>
      </c>
      <c r="BV125" s="79">
        <v>16</v>
      </c>
      <c r="BW125" s="79">
        <v>-683</v>
      </c>
      <c r="BX125" s="79">
        <v>-1</v>
      </c>
      <c r="BY125" s="79">
        <v>3971</v>
      </c>
      <c r="BZ125" s="79">
        <v>28</v>
      </c>
      <c r="CA125" s="79">
        <v>141</v>
      </c>
      <c r="CB125" s="79">
        <v>63</v>
      </c>
      <c r="CC125" s="79">
        <v>337</v>
      </c>
      <c r="CD125" s="79">
        <v>139</v>
      </c>
      <c r="CE125" s="79">
        <v>2</v>
      </c>
    </row>
    <row r="126" spans="1:83" s="58" customFormat="1" ht="15.6" customHeight="1" x14ac:dyDescent="0.25">
      <c r="A126" s="60">
        <v>14</v>
      </c>
      <c r="B126" s="61" t="s">
        <v>264</v>
      </c>
      <c r="C126" s="77" t="s">
        <v>348</v>
      </c>
      <c r="D126" s="50" t="s">
        <v>398</v>
      </c>
      <c r="E126" s="41" t="s">
        <v>86</v>
      </c>
      <c r="F126" s="50" t="s">
        <v>399</v>
      </c>
      <c r="G126" s="89">
        <v>21809627.379999999</v>
      </c>
      <c r="H126" s="89">
        <v>286681.71000000002</v>
      </c>
      <c r="I126" s="89">
        <v>0</v>
      </c>
      <c r="J126" s="89">
        <v>0</v>
      </c>
      <c r="K126" s="89">
        <v>0</v>
      </c>
      <c r="L126" s="89">
        <v>22096309.09</v>
      </c>
      <c r="M126" s="89">
        <v>0</v>
      </c>
      <c r="N126" s="89">
        <v>1076373.29</v>
      </c>
      <c r="O126" s="89">
        <v>1541727.92</v>
      </c>
      <c r="P126" s="89">
        <v>7148452.4400000004</v>
      </c>
      <c r="Q126" s="89">
        <v>0</v>
      </c>
      <c r="R126" s="89">
        <v>1702135.69</v>
      </c>
      <c r="S126" s="89">
        <v>5720859.6900000004</v>
      </c>
      <c r="T126" s="89">
        <v>2278347.0499999998</v>
      </c>
      <c r="U126" s="89">
        <v>0</v>
      </c>
      <c r="V126" s="89">
        <v>0</v>
      </c>
      <c r="W126" s="89">
        <v>691317.93</v>
      </c>
      <c r="X126" s="89">
        <v>1473587.6500000001</v>
      </c>
      <c r="Y126" s="89">
        <v>21632801.66</v>
      </c>
      <c r="Z126" s="81">
        <v>0.1177830256356176</v>
      </c>
      <c r="AA126" s="89">
        <v>1400767.84</v>
      </c>
      <c r="AB126" s="89">
        <v>0</v>
      </c>
      <c r="AC126" s="89">
        <v>0</v>
      </c>
      <c r="AD126" s="89">
        <v>0</v>
      </c>
      <c r="AE126" s="89">
        <v>0</v>
      </c>
      <c r="AF126" s="89">
        <f t="shared" si="24"/>
        <v>0</v>
      </c>
      <c r="AG126" s="89">
        <v>608176.88</v>
      </c>
      <c r="AH126" s="89">
        <v>47603.519999999997</v>
      </c>
      <c r="AI126" s="89">
        <v>122472.41</v>
      </c>
      <c r="AJ126" s="89">
        <v>0</v>
      </c>
      <c r="AK126" s="89">
        <v>113844.88</v>
      </c>
      <c r="AL126" s="89">
        <v>11903.46</v>
      </c>
      <c r="AM126" s="89">
        <v>112088.49</v>
      </c>
      <c r="AN126" s="89">
        <v>7950</v>
      </c>
      <c r="AO126" s="89">
        <v>1375</v>
      </c>
      <c r="AP126" s="89">
        <v>0</v>
      </c>
      <c r="AQ126" s="89">
        <v>39486.99</v>
      </c>
      <c r="AR126" s="89">
        <v>17945.669999999998</v>
      </c>
      <c r="AS126" s="89">
        <v>2565</v>
      </c>
      <c r="AT126" s="89">
        <v>1842.93</v>
      </c>
      <c r="AU126" s="89">
        <v>19325</v>
      </c>
      <c r="AV126" s="89">
        <v>86585.41</v>
      </c>
      <c r="AW126" s="89">
        <v>1194425.22</v>
      </c>
      <c r="AX126" s="89">
        <v>0</v>
      </c>
      <c r="AY126" s="81">
        <f t="shared" si="25"/>
        <v>0</v>
      </c>
      <c r="AZ126" s="89">
        <v>0</v>
      </c>
      <c r="BA126" s="81">
        <v>6.4227041370020888E-2</v>
      </c>
      <c r="BB126" s="80">
        <v>2090437.36</v>
      </c>
      <c r="BC126" s="80">
        <v>512132.78</v>
      </c>
      <c r="BD126" s="80">
        <v>219587</v>
      </c>
      <c r="BE126" s="80">
        <v>0</v>
      </c>
      <c r="BF126" s="80">
        <v>268089.11</v>
      </c>
      <c r="BG126" s="80">
        <v>0</v>
      </c>
      <c r="BH126" s="80">
        <v>0</v>
      </c>
      <c r="BI126" s="80">
        <v>0</v>
      </c>
      <c r="BJ126" s="80">
        <f t="shared" si="26"/>
        <v>0</v>
      </c>
      <c r="BK126" s="80">
        <v>0</v>
      </c>
      <c r="BL126" s="80">
        <v>2510</v>
      </c>
      <c r="BM126" s="80">
        <v>1027</v>
      </c>
      <c r="BN126" s="80">
        <v>0</v>
      </c>
      <c r="BO126" s="80">
        <v>0</v>
      </c>
      <c r="BP126" s="80">
        <v>-64</v>
      </c>
      <c r="BQ126" s="80">
        <v>-60</v>
      </c>
      <c r="BR126" s="80">
        <v>-352</v>
      </c>
      <c r="BS126" s="80">
        <v>-147</v>
      </c>
      <c r="BT126" s="80">
        <v>15</v>
      </c>
      <c r="BU126" s="80">
        <v>0</v>
      </c>
      <c r="BV126" s="80">
        <v>0</v>
      </c>
      <c r="BW126" s="80">
        <v>-367</v>
      </c>
      <c r="BX126" s="80">
        <v>-1</v>
      </c>
      <c r="BY126" s="80">
        <v>2561</v>
      </c>
      <c r="BZ126" s="80">
        <v>3</v>
      </c>
      <c r="CA126" s="80">
        <v>94</v>
      </c>
      <c r="CB126" s="80">
        <v>34</v>
      </c>
      <c r="CC126" s="80">
        <v>220</v>
      </c>
      <c r="CD126" s="80">
        <v>11</v>
      </c>
      <c r="CE126" s="80">
        <v>6</v>
      </c>
    </row>
    <row r="127" spans="1:83" s="58" customFormat="1" ht="15.6" customHeight="1" x14ac:dyDescent="0.25">
      <c r="A127" s="51">
        <v>14</v>
      </c>
      <c r="B127" s="52" t="s">
        <v>400</v>
      </c>
      <c r="C127" s="77" t="s">
        <v>401</v>
      </c>
      <c r="D127" s="50" t="s">
        <v>402</v>
      </c>
      <c r="E127" s="41" t="s">
        <v>86</v>
      </c>
      <c r="F127" s="50" t="s">
        <v>399</v>
      </c>
      <c r="G127" s="88">
        <v>18634920.690000001</v>
      </c>
      <c r="H127" s="88">
        <v>0</v>
      </c>
      <c r="I127" s="88">
        <v>323660.51999999996</v>
      </c>
      <c r="J127" s="88">
        <v>665.14</v>
      </c>
      <c r="K127" s="89">
        <v>0</v>
      </c>
      <c r="L127" s="89">
        <v>18959246.350000001</v>
      </c>
      <c r="M127" s="89">
        <v>13562.61</v>
      </c>
      <c r="N127" s="88">
        <v>4281756.78</v>
      </c>
      <c r="O127" s="88">
        <v>773790.2</v>
      </c>
      <c r="P127" s="90">
        <v>4973039.5199999996</v>
      </c>
      <c r="Q127" s="88">
        <v>0</v>
      </c>
      <c r="R127" s="88">
        <v>985401.08</v>
      </c>
      <c r="S127" s="88">
        <v>3815147.57</v>
      </c>
      <c r="T127" s="88">
        <v>1957644.85</v>
      </c>
      <c r="U127" s="88">
        <v>0</v>
      </c>
      <c r="V127" s="88">
        <v>0</v>
      </c>
      <c r="W127" s="88">
        <v>469786.2</v>
      </c>
      <c r="X127" s="89">
        <v>1357938.6</v>
      </c>
      <c r="Y127" s="89">
        <v>18614504.800000001</v>
      </c>
      <c r="Z127" s="81">
        <v>0.18638009561606561</v>
      </c>
      <c r="AA127" s="89">
        <v>1348527.48</v>
      </c>
      <c r="AB127" s="89">
        <v>0</v>
      </c>
      <c r="AC127" s="89">
        <v>0</v>
      </c>
      <c r="AD127" s="89">
        <v>0</v>
      </c>
      <c r="AE127" s="89">
        <v>257.14</v>
      </c>
      <c r="AF127" s="89">
        <f t="shared" si="24"/>
        <v>257.14</v>
      </c>
      <c r="AG127" s="89">
        <v>608623.49</v>
      </c>
      <c r="AH127" s="88">
        <v>50959.96</v>
      </c>
      <c r="AI127" s="88">
        <v>107425.39</v>
      </c>
      <c r="AJ127" s="89">
        <v>0</v>
      </c>
      <c r="AK127" s="88">
        <v>74487.199999999997</v>
      </c>
      <c r="AL127" s="88">
        <v>54386.06</v>
      </c>
      <c r="AM127" s="88">
        <v>73899.600000000006</v>
      </c>
      <c r="AN127" s="88">
        <v>7950</v>
      </c>
      <c r="AO127" s="88">
        <v>4500</v>
      </c>
      <c r="AP127" s="88">
        <v>0</v>
      </c>
      <c r="AQ127" s="88">
        <v>27961.1</v>
      </c>
      <c r="AR127" s="88">
        <v>19310.14</v>
      </c>
      <c r="AS127" s="88">
        <v>0</v>
      </c>
      <c r="AT127" s="88">
        <v>9898.49</v>
      </c>
      <c r="AU127" s="88">
        <v>1851.83</v>
      </c>
      <c r="AV127" s="88">
        <v>66759.009999999995</v>
      </c>
      <c r="AW127" s="88">
        <v>1108012.27</v>
      </c>
      <c r="AX127" s="88">
        <v>0</v>
      </c>
      <c r="AY127" s="81">
        <f t="shared" si="25"/>
        <v>0</v>
      </c>
      <c r="AZ127" s="89">
        <v>0</v>
      </c>
      <c r="BA127" s="81">
        <v>7.2312984295082053E-2</v>
      </c>
      <c r="BB127" s="79">
        <v>2201922.1800000002</v>
      </c>
      <c r="BC127" s="79">
        <v>1271256.1200000001</v>
      </c>
      <c r="BD127" s="80">
        <v>219587</v>
      </c>
      <c r="BE127" s="80">
        <v>0</v>
      </c>
      <c r="BF127" s="80">
        <v>258260.20699999999</v>
      </c>
      <c r="BG127" s="80">
        <v>0</v>
      </c>
      <c r="BH127" s="80">
        <v>0</v>
      </c>
      <c r="BI127" s="80">
        <v>0</v>
      </c>
      <c r="BJ127" s="80">
        <f t="shared" si="26"/>
        <v>0</v>
      </c>
      <c r="BK127" s="80">
        <v>0</v>
      </c>
      <c r="BL127" s="80">
        <v>2029</v>
      </c>
      <c r="BM127" s="80">
        <v>898</v>
      </c>
      <c r="BN127" s="79">
        <v>17</v>
      </c>
      <c r="BO127" s="79">
        <v>-4</v>
      </c>
      <c r="BP127" s="79">
        <v>-42</v>
      </c>
      <c r="BQ127" s="79">
        <v>-37</v>
      </c>
      <c r="BR127" s="79">
        <v>-303</v>
      </c>
      <c r="BS127" s="79">
        <v>-75</v>
      </c>
      <c r="BT127" s="79">
        <v>8</v>
      </c>
      <c r="BU127" s="79">
        <v>0</v>
      </c>
      <c r="BV127" s="79">
        <v>0</v>
      </c>
      <c r="BW127" s="79">
        <v>-370</v>
      </c>
      <c r="BX127" s="79">
        <v>-1</v>
      </c>
      <c r="BY127" s="79">
        <v>2120</v>
      </c>
      <c r="BZ127" s="79">
        <v>0</v>
      </c>
      <c r="CA127" s="79">
        <v>75</v>
      </c>
      <c r="CB127" s="79">
        <v>30</v>
      </c>
      <c r="CC127" s="79">
        <v>258</v>
      </c>
      <c r="CD127" s="79">
        <v>0</v>
      </c>
      <c r="CE127" s="79">
        <v>4</v>
      </c>
    </row>
    <row r="128" spans="1:83" s="58" customFormat="1" ht="15.6" customHeight="1" x14ac:dyDescent="0.25">
      <c r="A128" s="51">
        <v>14</v>
      </c>
      <c r="B128" s="52" t="s">
        <v>403</v>
      </c>
      <c r="C128" s="77" t="s">
        <v>404</v>
      </c>
      <c r="D128" s="50" t="s">
        <v>398</v>
      </c>
      <c r="E128" s="41" t="s">
        <v>86</v>
      </c>
      <c r="F128" s="50" t="s">
        <v>399</v>
      </c>
      <c r="G128" s="88">
        <v>20960891.239999998</v>
      </c>
      <c r="H128" s="88">
        <v>91887.21</v>
      </c>
      <c r="I128" s="88">
        <v>155615.87</v>
      </c>
      <c r="J128" s="88">
        <v>0</v>
      </c>
      <c r="K128" s="89">
        <v>0</v>
      </c>
      <c r="L128" s="89">
        <v>21208394.32</v>
      </c>
      <c r="M128" s="89">
        <v>0</v>
      </c>
      <c r="N128" s="88">
        <v>879856.14</v>
      </c>
      <c r="O128" s="88">
        <v>1840697.66</v>
      </c>
      <c r="P128" s="90">
        <v>7084197.5599999996</v>
      </c>
      <c r="Q128" s="88">
        <v>0</v>
      </c>
      <c r="R128" s="88">
        <v>1856194.28</v>
      </c>
      <c r="S128" s="88">
        <v>5279064.96</v>
      </c>
      <c r="T128" s="88">
        <v>2428606.9700000002</v>
      </c>
      <c r="U128" s="88">
        <v>0</v>
      </c>
      <c r="V128" s="88">
        <v>0</v>
      </c>
      <c r="W128" s="88">
        <v>565578.44999999995</v>
      </c>
      <c r="X128" s="89">
        <v>1513398.8399999999</v>
      </c>
      <c r="Y128" s="89">
        <v>21447594.859999999</v>
      </c>
      <c r="Z128" s="81">
        <v>0.15617638202999329</v>
      </c>
      <c r="AA128" s="89">
        <v>1396291.9</v>
      </c>
      <c r="AB128" s="89">
        <v>0</v>
      </c>
      <c r="AC128" s="89">
        <v>0</v>
      </c>
      <c r="AD128" s="89">
        <v>0</v>
      </c>
      <c r="AE128" s="89">
        <v>0</v>
      </c>
      <c r="AF128" s="89">
        <f t="shared" si="24"/>
        <v>0</v>
      </c>
      <c r="AG128" s="89">
        <v>558695.9</v>
      </c>
      <c r="AH128" s="88">
        <v>43501.84</v>
      </c>
      <c r="AI128" s="88">
        <v>158176.10999999999</v>
      </c>
      <c r="AJ128" s="89">
        <v>0</v>
      </c>
      <c r="AK128" s="88">
        <v>131675.60999999999</v>
      </c>
      <c r="AL128" s="88">
        <v>34364.879999999997</v>
      </c>
      <c r="AM128" s="88">
        <v>87599.72</v>
      </c>
      <c r="AN128" s="88">
        <v>7950</v>
      </c>
      <c r="AO128" s="88">
        <v>6925</v>
      </c>
      <c r="AP128" s="88">
        <v>0</v>
      </c>
      <c r="AQ128" s="88">
        <v>37704.99</v>
      </c>
      <c r="AR128" s="88">
        <v>16468.580000000002</v>
      </c>
      <c r="AS128" s="88">
        <v>4830</v>
      </c>
      <c r="AT128" s="88">
        <v>8858.1299999999992</v>
      </c>
      <c r="AU128" s="88">
        <v>20820.669999999998</v>
      </c>
      <c r="AV128" s="88">
        <v>46080.07</v>
      </c>
      <c r="AW128" s="88">
        <v>1163651.5</v>
      </c>
      <c r="AX128" s="88">
        <v>0</v>
      </c>
      <c r="AY128" s="81">
        <f t="shared" si="25"/>
        <v>0</v>
      </c>
      <c r="AZ128" s="89">
        <v>0</v>
      </c>
      <c r="BA128" s="81">
        <v>6.6614147462176324E-2</v>
      </c>
      <c r="BB128" s="79">
        <v>1401488.26</v>
      </c>
      <c r="BC128" s="79">
        <v>1886458.51</v>
      </c>
      <c r="BD128" s="80">
        <v>219587</v>
      </c>
      <c r="BE128" s="80">
        <v>0</v>
      </c>
      <c r="BF128" s="80">
        <v>271958.41999999899</v>
      </c>
      <c r="BG128" s="80">
        <v>0</v>
      </c>
      <c r="BH128" s="80">
        <v>0</v>
      </c>
      <c r="BI128" s="80">
        <v>0</v>
      </c>
      <c r="BJ128" s="80">
        <f t="shared" si="26"/>
        <v>0</v>
      </c>
      <c r="BK128" s="80">
        <v>0</v>
      </c>
      <c r="BL128" s="80">
        <v>2409</v>
      </c>
      <c r="BM128" s="80">
        <v>967</v>
      </c>
      <c r="BN128" s="79">
        <v>32</v>
      </c>
      <c r="BO128" s="79">
        <v>-25</v>
      </c>
      <c r="BP128" s="79">
        <v>-52</v>
      </c>
      <c r="BQ128" s="79">
        <v>-73</v>
      </c>
      <c r="BR128" s="79">
        <v>-319</v>
      </c>
      <c r="BS128" s="79">
        <v>-175</v>
      </c>
      <c r="BT128" s="79">
        <v>20</v>
      </c>
      <c r="BU128" s="79">
        <v>0</v>
      </c>
      <c r="BV128" s="79">
        <v>58</v>
      </c>
      <c r="BW128" s="79">
        <v>-426</v>
      </c>
      <c r="BX128" s="79">
        <v>-3</v>
      </c>
      <c r="BY128" s="79">
        <v>2413</v>
      </c>
      <c r="BZ128" s="79">
        <v>0</v>
      </c>
      <c r="CA128" s="79">
        <v>111</v>
      </c>
      <c r="CB128" s="79">
        <v>62</v>
      </c>
      <c r="CC128" s="79">
        <v>244</v>
      </c>
      <c r="CD128" s="79">
        <v>7</v>
      </c>
      <c r="CE128" s="79">
        <v>2</v>
      </c>
    </row>
    <row r="129" spans="1:83" s="58" customFormat="1" ht="15.6" customHeight="1" x14ac:dyDescent="0.25">
      <c r="A129" s="51">
        <v>15</v>
      </c>
      <c r="B129" s="52" t="s">
        <v>405</v>
      </c>
      <c r="C129" s="77" t="s">
        <v>174</v>
      </c>
      <c r="D129" s="50" t="s">
        <v>406</v>
      </c>
      <c r="E129" s="50" t="s">
        <v>122</v>
      </c>
      <c r="F129" s="50" t="s">
        <v>407</v>
      </c>
      <c r="G129" s="89">
        <v>0</v>
      </c>
      <c r="H129" s="89">
        <v>19827253.699999999</v>
      </c>
      <c r="I129" s="89">
        <v>0</v>
      </c>
      <c r="J129" s="89">
        <v>6459.08</v>
      </c>
      <c r="K129" s="89">
        <v>0</v>
      </c>
      <c r="L129" s="89">
        <v>19833712.780000001</v>
      </c>
      <c r="M129" s="89">
        <v>65309.02</v>
      </c>
      <c r="N129" s="89">
        <v>0</v>
      </c>
      <c r="O129" s="89">
        <v>3585277.6839999999</v>
      </c>
      <c r="P129" s="89">
        <v>4139128</v>
      </c>
      <c r="Q129" s="89">
        <v>0</v>
      </c>
      <c r="R129" s="89">
        <v>2014876.91</v>
      </c>
      <c r="S129" s="89">
        <v>6362520.8600000003</v>
      </c>
      <c r="T129" s="89">
        <v>1381846.64</v>
      </c>
      <c r="U129" s="89">
        <v>0</v>
      </c>
      <c r="V129" s="89">
        <v>0</v>
      </c>
      <c r="W129" s="89">
        <v>902066.08</v>
      </c>
      <c r="X129" s="89">
        <v>1590299.3900000001</v>
      </c>
      <c r="Y129" s="89">
        <v>19976015.173999999</v>
      </c>
      <c r="Z129" s="81">
        <v>0.10081394358715448</v>
      </c>
      <c r="AA129" s="89">
        <v>1590299.39</v>
      </c>
      <c r="AB129" s="89">
        <v>0</v>
      </c>
      <c r="AC129" s="89">
        <v>0</v>
      </c>
      <c r="AD129" s="89">
        <v>0</v>
      </c>
      <c r="AE129" s="89">
        <v>374.61</v>
      </c>
      <c r="AF129" s="89">
        <f t="shared" si="24"/>
        <v>374.61</v>
      </c>
      <c r="AG129" s="89">
        <v>656237.56000000006</v>
      </c>
      <c r="AH129" s="89">
        <v>55955.98</v>
      </c>
      <c r="AI129" s="89">
        <v>175402.75</v>
      </c>
      <c r="AJ129" s="89">
        <v>47754.05</v>
      </c>
      <c r="AK129" s="89">
        <v>125810.6</v>
      </c>
      <c r="AL129" s="89">
        <v>10675</v>
      </c>
      <c r="AM129" s="89">
        <v>49966.879999999997</v>
      </c>
      <c r="AN129" s="89">
        <v>10900</v>
      </c>
      <c r="AO129" s="89">
        <v>0</v>
      </c>
      <c r="AP129" s="89">
        <v>0</v>
      </c>
      <c r="AQ129" s="89">
        <v>50453.119999999995</v>
      </c>
      <c r="AR129" s="89">
        <v>810</v>
      </c>
      <c r="AS129" s="89">
        <v>0</v>
      </c>
      <c r="AT129" s="89">
        <v>3529.26</v>
      </c>
      <c r="AU129" s="89">
        <v>24884.03</v>
      </c>
      <c r="AV129" s="89">
        <v>97964.09</v>
      </c>
      <c r="AW129" s="89">
        <v>1310343.32</v>
      </c>
      <c r="AX129" s="89">
        <v>0</v>
      </c>
      <c r="AY129" s="81">
        <f t="shared" si="25"/>
        <v>0</v>
      </c>
      <c r="AZ129" s="89">
        <v>0</v>
      </c>
      <c r="BA129" s="81">
        <v>8.3294652128106023E-2</v>
      </c>
      <c r="BB129" s="80">
        <v>465070.36</v>
      </c>
      <c r="BC129" s="80">
        <v>1533793.28</v>
      </c>
      <c r="BD129" s="80">
        <v>219587</v>
      </c>
      <c r="BE129" s="80">
        <v>0</v>
      </c>
      <c r="BF129" s="80">
        <v>315771.24</v>
      </c>
      <c r="BG129" s="80">
        <v>0</v>
      </c>
      <c r="BH129" s="80">
        <v>0</v>
      </c>
      <c r="BI129" s="80">
        <v>0</v>
      </c>
      <c r="BJ129" s="80">
        <f t="shared" si="26"/>
        <v>0</v>
      </c>
      <c r="BK129" s="80">
        <v>0</v>
      </c>
      <c r="BL129" s="80">
        <v>1939</v>
      </c>
      <c r="BM129" s="80">
        <v>708</v>
      </c>
      <c r="BN129" s="80">
        <v>4</v>
      </c>
      <c r="BO129" s="80">
        <v>0</v>
      </c>
      <c r="BP129" s="80">
        <v>-16</v>
      </c>
      <c r="BQ129" s="80">
        <v>-17</v>
      </c>
      <c r="BR129" s="80">
        <v>-275</v>
      </c>
      <c r="BS129" s="80">
        <v>-165</v>
      </c>
      <c r="BT129" s="80">
        <v>5</v>
      </c>
      <c r="BU129" s="80">
        <v>-1</v>
      </c>
      <c r="BV129" s="80">
        <v>-1</v>
      </c>
      <c r="BW129" s="80">
        <v>-478</v>
      </c>
      <c r="BX129" s="80">
        <v>-1</v>
      </c>
      <c r="BY129" s="80">
        <v>1702</v>
      </c>
      <c r="BZ129" s="80">
        <v>4</v>
      </c>
      <c r="CA129" s="80">
        <v>147</v>
      </c>
      <c r="CB129" s="80">
        <v>48</v>
      </c>
      <c r="CC129" s="80">
        <v>191</v>
      </c>
      <c r="CD129" s="80">
        <v>73</v>
      </c>
      <c r="CE129" s="80">
        <v>19</v>
      </c>
    </row>
    <row r="130" spans="1:83" s="58" customFormat="1" ht="15.6" customHeight="1" x14ac:dyDescent="0.25">
      <c r="A130" s="51">
        <v>15</v>
      </c>
      <c r="B130" s="52" t="s">
        <v>408</v>
      </c>
      <c r="C130" s="77" t="s">
        <v>409</v>
      </c>
      <c r="D130" s="50" t="s">
        <v>410</v>
      </c>
      <c r="E130" s="41" t="s">
        <v>86</v>
      </c>
      <c r="F130" s="50" t="s">
        <v>411</v>
      </c>
      <c r="G130" s="89">
        <v>11974577</v>
      </c>
      <c r="H130" s="89">
        <v>0</v>
      </c>
      <c r="I130" s="89">
        <v>468337</v>
      </c>
      <c r="J130" s="89">
        <v>0</v>
      </c>
      <c r="K130" s="89">
        <v>0</v>
      </c>
      <c r="L130" s="89">
        <v>12442914</v>
      </c>
      <c r="M130" s="89">
        <v>0</v>
      </c>
      <c r="N130" s="89">
        <v>0</v>
      </c>
      <c r="O130" s="89">
        <v>1456673.83</v>
      </c>
      <c r="P130" s="89">
        <v>1835429.41</v>
      </c>
      <c r="Q130" s="89">
        <v>0</v>
      </c>
      <c r="R130" s="89">
        <v>1174271.5</v>
      </c>
      <c r="S130" s="89">
        <v>4951511.9000000004</v>
      </c>
      <c r="T130" s="89">
        <v>1242087.02</v>
      </c>
      <c r="U130" s="89">
        <v>0</v>
      </c>
      <c r="V130" s="89">
        <v>0</v>
      </c>
      <c r="W130" s="89">
        <v>702536</v>
      </c>
      <c r="X130" s="89">
        <v>907361.17</v>
      </c>
      <c r="Y130" s="89">
        <v>12269871</v>
      </c>
      <c r="Z130" s="81">
        <v>0.12043003440242951</v>
      </c>
      <c r="AA130" s="89">
        <v>907361.17</v>
      </c>
      <c r="AB130" s="89">
        <v>0</v>
      </c>
      <c r="AC130" s="89">
        <v>0</v>
      </c>
      <c r="AD130" s="89">
        <v>0</v>
      </c>
      <c r="AE130" s="89">
        <v>5.56</v>
      </c>
      <c r="AF130" s="89">
        <f t="shared" si="24"/>
        <v>5.56</v>
      </c>
      <c r="AG130" s="89">
        <v>237680.16</v>
      </c>
      <c r="AH130" s="89">
        <v>18406.900000000001</v>
      </c>
      <c r="AI130" s="89">
        <v>47451.91</v>
      </c>
      <c r="AJ130" s="89">
        <v>17587.57</v>
      </c>
      <c r="AK130" s="89">
        <v>67156.759999999995</v>
      </c>
      <c r="AL130" s="89">
        <v>0</v>
      </c>
      <c r="AM130" s="89">
        <v>50460.91</v>
      </c>
      <c r="AN130" s="89">
        <v>10900</v>
      </c>
      <c r="AO130" s="89">
        <v>85465.93</v>
      </c>
      <c r="AP130" s="89">
        <v>0</v>
      </c>
      <c r="AQ130" s="89">
        <v>34357.08</v>
      </c>
      <c r="AR130" s="89">
        <v>6827.9</v>
      </c>
      <c r="AS130" s="89">
        <v>0</v>
      </c>
      <c r="AT130" s="89">
        <v>356</v>
      </c>
      <c r="AU130" s="89">
        <v>14119.03</v>
      </c>
      <c r="AV130" s="89">
        <v>89632.510000000009</v>
      </c>
      <c r="AW130" s="89">
        <v>680402.66</v>
      </c>
      <c r="AX130" s="89">
        <v>0</v>
      </c>
      <c r="AY130" s="81">
        <f t="shared" si="25"/>
        <v>0</v>
      </c>
      <c r="AZ130" s="89">
        <v>0</v>
      </c>
      <c r="BA130" s="81">
        <v>7.5999999999999998E-2</v>
      </c>
      <c r="BB130" s="80">
        <v>341138.89</v>
      </c>
      <c r="BC130" s="80">
        <v>1108539.24</v>
      </c>
      <c r="BD130" s="80">
        <v>219587</v>
      </c>
      <c r="BE130" s="80">
        <v>0</v>
      </c>
      <c r="BF130" s="80">
        <v>100667.83</v>
      </c>
      <c r="BG130" s="80">
        <v>0</v>
      </c>
      <c r="BH130" s="80">
        <v>0</v>
      </c>
      <c r="BI130" s="80">
        <v>0</v>
      </c>
      <c r="BJ130" s="80">
        <f t="shared" si="26"/>
        <v>0</v>
      </c>
      <c r="BK130" s="80">
        <v>0</v>
      </c>
      <c r="BL130" s="80">
        <v>1537</v>
      </c>
      <c r="BM130" s="80">
        <v>509</v>
      </c>
      <c r="BN130" s="80">
        <v>112</v>
      </c>
      <c r="BO130" s="80">
        <v>0</v>
      </c>
      <c r="BP130" s="80">
        <v>-10</v>
      </c>
      <c r="BQ130" s="80">
        <v>-18</v>
      </c>
      <c r="BR130" s="80">
        <v>-78</v>
      </c>
      <c r="BS130" s="80">
        <v>-214</v>
      </c>
      <c r="BT130" s="80">
        <v>0</v>
      </c>
      <c r="BU130" s="80">
        <v>0</v>
      </c>
      <c r="BV130" s="80">
        <v>-1</v>
      </c>
      <c r="BW130" s="80">
        <v>-344</v>
      </c>
      <c r="BX130" s="80">
        <v>-3</v>
      </c>
      <c r="BY130" s="80">
        <v>1490</v>
      </c>
      <c r="BZ130" s="80">
        <v>17</v>
      </c>
      <c r="CA130" s="80">
        <v>99</v>
      </c>
      <c r="CB130" s="80">
        <v>41</v>
      </c>
      <c r="CC130" s="80">
        <v>182</v>
      </c>
      <c r="CD130" s="80">
        <v>17</v>
      </c>
      <c r="CE130" s="80">
        <v>5</v>
      </c>
    </row>
    <row r="131" spans="1:83" s="58" customFormat="1" ht="15.6" customHeight="1" x14ac:dyDescent="0.25">
      <c r="A131" s="43">
        <v>15</v>
      </c>
      <c r="B131" s="59" t="s">
        <v>412</v>
      </c>
      <c r="C131" s="77" t="s">
        <v>260</v>
      </c>
      <c r="D131" s="50" t="s">
        <v>406</v>
      </c>
      <c r="E131" s="50" t="s">
        <v>122</v>
      </c>
      <c r="F131" s="50" t="s">
        <v>407</v>
      </c>
      <c r="G131" s="88">
        <v>0</v>
      </c>
      <c r="H131" s="88">
        <v>18261020.039999999</v>
      </c>
      <c r="I131" s="88">
        <v>0</v>
      </c>
      <c r="J131" s="88">
        <v>17158.05</v>
      </c>
      <c r="K131" s="89">
        <v>0</v>
      </c>
      <c r="L131" s="89">
        <v>18278178.09</v>
      </c>
      <c r="M131" s="89">
        <v>190879.11</v>
      </c>
      <c r="N131" s="88">
        <v>0</v>
      </c>
      <c r="O131" s="88">
        <v>3264259.35</v>
      </c>
      <c r="P131" s="90">
        <v>3775667.8</v>
      </c>
      <c r="Q131" s="88">
        <v>0</v>
      </c>
      <c r="R131" s="88">
        <v>1989258.63</v>
      </c>
      <c r="S131" s="88">
        <v>5993735.4000000004</v>
      </c>
      <c r="T131" s="88">
        <v>1365780.16</v>
      </c>
      <c r="U131" s="88">
        <v>0</v>
      </c>
      <c r="V131" s="88">
        <v>0</v>
      </c>
      <c r="W131" s="88">
        <v>622533.67000000004</v>
      </c>
      <c r="X131" s="89">
        <v>1647453.5</v>
      </c>
      <c r="Y131" s="89">
        <v>18658688.510000002</v>
      </c>
      <c r="Z131" s="81">
        <v>0.10670649042231707</v>
      </c>
      <c r="AA131" s="89">
        <v>1512381.96</v>
      </c>
      <c r="AB131" s="89">
        <v>0</v>
      </c>
      <c r="AC131" s="89">
        <v>0</v>
      </c>
      <c r="AD131" s="89">
        <v>0</v>
      </c>
      <c r="AE131" s="89">
        <v>0</v>
      </c>
      <c r="AF131" s="89">
        <f t="shared" si="24"/>
        <v>0</v>
      </c>
      <c r="AG131" s="89">
        <v>720964.07</v>
      </c>
      <c r="AH131" s="88">
        <v>60671.74</v>
      </c>
      <c r="AI131" s="88">
        <v>128518</v>
      </c>
      <c r="AJ131" s="89">
        <v>75573.22</v>
      </c>
      <c r="AK131" s="88">
        <v>145273.89000000001</v>
      </c>
      <c r="AL131" s="88">
        <v>9806.85</v>
      </c>
      <c r="AM131" s="88">
        <v>64349.84</v>
      </c>
      <c r="AN131" s="88">
        <v>10900</v>
      </c>
      <c r="AO131" s="88">
        <v>0</v>
      </c>
      <c r="AP131" s="88">
        <v>0</v>
      </c>
      <c r="AQ131" s="88">
        <v>28169.809999999998</v>
      </c>
      <c r="AR131" s="88">
        <v>16632.63</v>
      </c>
      <c r="AS131" s="88">
        <v>0</v>
      </c>
      <c r="AT131" s="88">
        <v>6594.07</v>
      </c>
      <c r="AU131" s="88">
        <v>4634.17</v>
      </c>
      <c r="AV131" s="88">
        <v>52260.5</v>
      </c>
      <c r="AW131" s="88">
        <v>1324348.79</v>
      </c>
      <c r="AX131" s="88">
        <v>0</v>
      </c>
      <c r="AY131" s="81">
        <f t="shared" si="25"/>
        <v>0</v>
      </c>
      <c r="AZ131" s="89">
        <v>0</v>
      </c>
      <c r="BA131" s="81">
        <v>8.3554878591153084E-2</v>
      </c>
      <c r="BB131" s="79">
        <v>573864.97</v>
      </c>
      <c r="BC131" s="79">
        <v>1374704.39</v>
      </c>
      <c r="BD131" s="80">
        <v>219587</v>
      </c>
      <c r="BE131" s="80">
        <v>0</v>
      </c>
      <c r="BF131" s="80">
        <v>315005.05</v>
      </c>
      <c r="BG131" s="80">
        <v>0</v>
      </c>
      <c r="BH131" s="80">
        <v>0</v>
      </c>
      <c r="BI131" s="80">
        <v>0</v>
      </c>
      <c r="BJ131" s="80">
        <f t="shared" si="26"/>
        <v>0</v>
      </c>
      <c r="BK131" s="80">
        <v>0</v>
      </c>
      <c r="BL131" s="80">
        <v>2003</v>
      </c>
      <c r="BM131" s="80">
        <v>728</v>
      </c>
      <c r="BN131" s="79">
        <v>14</v>
      </c>
      <c r="BO131" s="79">
        <v>-1</v>
      </c>
      <c r="BP131" s="79">
        <v>-15</v>
      </c>
      <c r="BQ131" s="79">
        <v>-24</v>
      </c>
      <c r="BR131" s="79">
        <v>-315</v>
      </c>
      <c r="BS131" s="79">
        <v>-197</v>
      </c>
      <c r="BT131" s="79">
        <v>0</v>
      </c>
      <c r="BU131" s="79">
        <v>0</v>
      </c>
      <c r="BV131" s="79">
        <v>0</v>
      </c>
      <c r="BW131" s="79">
        <v>-418</v>
      </c>
      <c r="BX131" s="79">
        <v>0</v>
      </c>
      <c r="BY131" s="79">
        <v>1775</v>
      </c>
      <c r="BZ131" s="79">
        <v>14</v>
      </c>
      <c r="CA131" s="79">
        <v>132</v>
      </c>
      <c r="CB131" s="79">
        <v>39</v>
      </c>
      <c r="CC131" s="79">
        <v>166</v>
      </c>
      <c r="CD131" s="79">
        <v>67</v>
      </c>
      <c r="CE131" s="79">
        <v>14</v>
      </c>
    </row>
    <row r="132" spans="1:83" s="58" customFormat="1" ht="15.6" customHeight="1" x14ac:dyDescent="0.25">
      <c r="A132" s="51">
        <v>16</v>
      </c>
      <c r="B132" s="52" t="s">
        <v>413</v>
      </c>
      <c r="C132" s="77" t="s">
        <v>414</v>
      </c>
      <c r="D132" s="50" t="s">
        <v>415</v>
      </c>
      <c r="E132" s="50" t="s">
        <v>331</v>
      </c>
      <c r="F132" s="50" t="s">
        <v>407</v>
      </c>
      <c r="G132" s="79">
        <v>18221387</v>
      </c>
      <c r="H132" s="79">
        <v>0</v>
      </c>
      <c r="I132" s="79">
        <v>1519882.34</v>
      </c>
      <c r="J132" s="79">
        <v>96361.13</v>
      </c>
      <c r="K132" s="80">
        <v>0</v>
      </c>
      <c r="L132" s="80">
        <v>19837630.469999999</v>
      </c>
      <c r="M132" s="80">
        <v>1176628.04</v>
      </c>
      <c r="N132" s="79">
        <v>187</v>
      </c>
      <c r="O132" s="79">
        <v>4443075.51</v>
      </c>
      <c r="P132" s="91">
        <v>2239221.64</v>
      </c>
      <c r="Q132" s="79">
        <v>0</v>
      </c>
      <c r="R132" s="79">
        <v>2043611.61</v>
      </c>
      <c r="S132" s="79">
        <v>6467955.4400000004</v>
      </c>
      <c r="T132" s="79">
        <v>1639781.99</v>
      </c>
      <c r="U132" s="79">
        <v>0</v>
      </c>
      <c r="V132" s="79">
        <v>0</v>
      </c>
      <c r="W132" s="79">
        <v>1891289.39</v>
      </c>
      <c r="X132" s="80">
        <v>1584266.81</v>
      </c>
      <c r="Y132" s="80">
        <v>20309389.390000001</v>
      </c>
      <c r="Z132" s="81">
        <v>9.8450740879385309E-2</v>
      </c>
      <c r="AA132" s="80">
        <v>1584266.81</v>
      </c>
      <c r="AB132" s="80">
        <v>0</v>
      </c>
      <c r="AC132" s="80">
        <v>0</v>
      </c>
      <c r="AD132" s="80">
        <v>0</v>
      </c>
      <c r="AE132" s="80">
        <v>0</v>
      </c>
      <c r="AF132" s="80">
        <f t="shared" ref="AF132:AF137" si="27">SUM(AD132:AE132)</f>
        <v>0</v>
      </c>
      <c r="AG132" s="80">
        <v>754615.69</v>
      </c>
      <c r="AH132" s="79">
        <v>62386.7</v>
      </c>
      <c r="AI132" s="79">
        <v>157999.47</v>
      </c>
      <c r="AJ132" s="80">
        <v>0</v>
      </c>
      <c r="AK132" s="79">
        <v>125475.1</v>
      </c>
      <c r="AL132" s="79">
        <v>40093.980000000003</v>
      </c>
      <c r="AM132" s="79">
        <v>58444.67</v>
      </c>
      <c r="AN132" s="79">
        <v>11391</v>
      </c>
      <c r="AO132" s="79">
        <v>0</v>
      </c>
      <c r="AP132" s="79">
        <v>0</v>
      </c>
      <c r="AQ132" s="79">
        <v>34979.46</v>
      </c>
      <c r="AR132" s="79">
        <v>22841.55</v>
      </c>
      <c r="AS132" s="79">
        <v>0</v>
      </c>
      <c r="AT132" s="79">
        <v>10395.5</v>
      </c>
      <c r="AU132" s="79">
        <v>14212.43</v>
      </c>
      <c r="AV132" s="79">
        <v>80899.25</v>
      </c>
      <c r="AW132" s="79">
        <v>1373734.8</v>
      </c>
      <c r="AX132" s="79">
        <v>0</v>
      </c>
      <c r="AY132" s="81">
        <f t="shared" ref="AY132:AY137" si="28">AX132/AW132</f>
        <v>0</v>
      </c>
      <c r="AZ132" s="80">
        <v>0</v>
      </c>
      <c r="BA132" s="81">
        <v>8.1671594064296596E-2</v>
      </c>
      <c r="BB132" s="79">
        <v>415567.55</v>
      </c>
      <c r="BC132" s="79">
        <v>1378341.5</v>
      </c>
      <c r="BD132" s="80">
        <v>219587</v>
      </c>
      <c r="BE132" s="80">
        <v>0</v>
      </c>
      <c r="BF132" s="80">
        <v>326601.71000000002</v>
      </c>
      <c r="BG132" s="80">
        <v>0</v>
      </c>
      <c r="BH132" s="80">
        <v>0</v>
      </c>
      <c r="BI132" s="80">
        <v>0</v>
      </c>
      <c r="BJ132" s="80">
        <f t="shared" ref="BJ132:BJ137" si="29">SUM(BH132:BI132)</f>
        <v>0</v>
      </c>
      <c r="BK132" s="80">
        <v>0</v>
      </c>
      <c r="BL132" s="80">
        <v>2776</v>
      </c>
      <c r="BM132" s="80">
        <v>854</v>
      </c>
      <c r="BN132" s="79">
        <v>0</v>
      </c>
      <c r="BO132" s="79">
        <v>0</v>
      </c>
      <c r="BP132" s="79">
        <v>-39</v>
      </c>
      <c r="BQ132" s="79">
        <v>-35</v>
      </c>
      <c r="BR132" s="79">
        <v>-512</v>
      </c>
      <c r="BS132" s="79">
        <v>-218</v>
      </c>
      <c r="BT132" s="79">
        <v>0</v>
      </c>
      <c r="BU132" s="79">
        <v>-1</v>
      </c>
      <c r="BV132" s="79">
        <v>0</v>
      </c>
      <c r="BW132" s="79">
        <v>-528</v>
      </c>
      <c r="BX132" s="79">
        <v>0</v>
      </c>
      <c r="BY132" s="79">
        <v>2297</v>
      </c>
      <c r="BZ132" s="79">
        <v>6</v>
      </c>
      <c r="CA132" s="79">
        <v>162</v>
      </c>
      <c r="CB132" s="79">
        <v>68</v>
      </c>
      <c r="CC132" s="79">
        <v>266</v>
      </c>
      <c r="CD132" s="79">
        <v>15</v>
      </c>
      <c r="CE132" s="79">
        <v>19</v>
      </c>
    </row>
    <row r="133" spans="1:83" s="58" customFormat="1" ht="15.6" customHeight="1" x14ac:dyDescent="0.25">
      <c r="A133" s="43">
        <v>16</v>
      </c>
      <c r="B133" s="59" t="s">
        <v>416</v>
      </c>
      <c r="C133" s="77" t="s">
        <v>177</v>
      </c>
      <c r="D133" s="50" t="s">
        <v>417</v>
      </c>
      <c r="E133" s="50" t="s">
        <v>331</v>
      </c>
      <c r="F133" s="50" t="s">
        <v>407</v>
      </c>
      <c r="G133" s="79">
        <v>28825700.329999998</v>
      </c>
      <c r="H133" s="79">
        <v>12263.47</v>
      </c>
      <c r="I133" s="79">
        <v>4319.84</v>
      </c>
      <c r="J133" s="79">
        <v>0</v>
      </c>
      <c r="K133" s="80">
        <v>0</v>
      </c>
      <c r="L133" s="80">
        <v>28842283.640000001</v>
      </c>
      <c r="M133" s="80">
        <v>0</v>
      </c>
      <c r="N133" s="79">
        <v>0</v>
      </c>
      <c r="O133" s="79">
        <v>5959960.5099999998</v>
      </c>
      <c r="P133" s="91">
        <v>3585399.58</v>
      </c>
      <c r="Q133" s="79">
        <v>0</v>
      </c>
      <c r="R133" s="79">
        <v>2843386.05</v>
      </c>
      <c r="S133" s="79">
        <v>9230245.1899999995</v>
      </c>
      <c r="T133" s="79">
        <v>2762018.3</v>
      </c>
      <c r="U133" s="79">
        <v>0</v>
      </c>
      <c r="V133" s="79">
        <v>0</v>
      </c>
      <c r="W133" s="79">
        <v>2099185.04</v>
      </c>
      <c r="X133" s="80">
        <v>1718796.16</v>
      </c>
      <c r="Y133" s="80">
        <v>28198990.829999998</v>
      </c>
      <c r="Z133" s="81">
        <v>0.16785904592889461</v>
      </c>
      <c r="AA133" s="80">
        <v>1718796.16</v>
      </c>
      <c r="AB133" s="80">
        <v>0</v>
      </c>
      <c r="AC133" s="80">
        <v>0</v>
      </c>
      <c r="AD133" s="80">
        <v>0</v>
      </c>
      <c r="AE133" s="80">
        <v>0</v>
      </c>
      <c r="AF133" s="80">
        <f t="shared" si="27"/>
        <v>0</v>
      </c>
      <c r="AG133" s="80">
        <v>768532.64</v>
      </c>
      <c r="AH133" s="79">
        <v>66891.72</v>
      </c>
      <c r="AI133" s="79">
        <v>200964.92</v>
      </c>
      <c r="AJ133" s="80">
        <v>3827.25</v>
      </c>
      <c r="AK133" s="79">
        <v>159000.63</v>
      </c>
      <c r="AL133" s="79">
        <v>30257.91</v>
      </c>
      <c r="AM133" s="79">
        <v>66310.34</v>
      </c>
      <c r="AN133" s="79">
        <v>11391</v>
      </c>
      <c r="AO133" s="79">
        <v>4900</v>
      </c>
      <c r="AP133" s="79">
        <v>0</v>
      </c>
      <c r="AQ133" s="79">
        <v>71391.22</v>
      </c>
      <c r="AR133" s="79">
        <v>2909.4</v>
      </c>
      <c r="AS133" s="79">
        <v>0</v>
      </c>
      <c r="AT133" s="79">
        <v>3423.5</v>
      </c>
      <c r="AU133" s="79">
        <v>13067.24</v>
      </c>
      <c r="AV133" s="79">
        <v>85768.53</v>
      </c>
      <c r="AW133" s="79">
        <v>1488636.3</v>
      </c>
      <c r="AX133" s="79">
        <v>0</v>
      </c>
      <c r="AY133" s="81">
        <f t="shared" si="28"/>
        <v>0</v>
      </c>
      <c r="AZ133" s="80">
        <v>0</v>
      </c>
      <c r="BA133" s="81">
        <v>5.9627212533365011E-2</v>
      </c>
      <c r="BB133" s="79">
        <v>2916265</v>
      </c>
      <c r="BC133" s="79">
        <v>1924448.09</v>
      </c>
      <c r="BD133" s="80">
        <v>219587</v>
      </c>
      <c r="BE133" s="80">
        <v>0</v>
      </c>
      <c r="BF133" s="80">
        <v>344127.859</v>
      </c>
      <c r="BG133" s="80">
        <v>0</v>
      </c>
      <c r="BH133" s="80">
        <v>0</v>
      </c>
      <c r="BI133" s="80">
        <v>0</v>
      </c>
      <c r="BJ133" s="80">
        <f t="shared" si="29"/>
        <v>0</v>
      </c>
      <c r="BK133" s="80">
        <v>0</v>
      </c>
      <c r="BL133" s="80">
        <v>3039</v>
      </c>
      <c r="BM133" s="80">
        <v>1883</v>
      </c>
      <c r="BN133" s="79">
        <v>0</v>
      </c>
      <c r="BO133" s="79">
        <v>-2</v>
      </c>
      <c r="BP133" s="79">
        <v>-51</v>
      </c>
      <c r="BQ133" s="79">
        <v>-23</v>
      </c>
      <c r="BR133" s="79">
        <v>-1164</v>
      </c>
      <c r="BS133" s="79">
        <v>-323</v>
      </c>
      <c r="BT133" s="79">
        <v>27</v>
      </c>
      <c r="BU133" s="79">
        <v>0</v>
      </c>
      <c r="BV133" s="79">
        <v>0</v>
      </c>
      <c r="BW133" s="79">
        <v>-841</v>
      </c>
      <c r="BX133" s="79">
        <v>-7</v>
      </c>
      <c r="BY133" s="79">
        <v>2538</v>
      </c>
      <c r="BZ133" s="79">
        <v>1</v>
      </c>
      <c r="CA133" s="79">
        <v>294</v>
      </c>
      <c r="CB133" s="79">
        <v>71</v>
      </c>
      <c r="CC133" s="79">
        <v>448</v>
      </c>
      <c r="CD133" s="79">
        <v>35</v>
      </c>
      <c r="CE133" s="79">
        <v>0</v>
      </c>
    </row>
    <row r="134" spans="1:83" s="58" customFormat="1" ht="15.6" customHeight="1" x14ac:dyDescent="0.25">
      <c r="A134" s="43">
        <v>16</v>
      </c>
      <c r="B134" s="59" t="s">
        <v>418</v>
      </c>
      <c r="C134" s="77" t="s">
        <v>419</v>
      </c>
      <c r="D134" s="50" t="s">
        <v>420</v>
      </c>
      <c r="E134" s="50" t="s">
        <v>331</v>
      </c>
      <c r="F134" s="50" t="s">
        <v>407</v>
      </c>
      <c r="G134" s="79">
        <v>43407242.43</v>
      </c>
      <c r="H134" s="79">
        <v>0</v>
      </c>
      <c r="I134" s="79">
        <v>795412.86</v>
      </c>
      <c r="J134" s="79">
        <v>0</v>
      </c>
      <c r="K134" s="80">
        <v>0</v>
      </c>
      <c r="L134" s="80">
        <v>44202655.289999999</v>
      </c>
      <c r="M134" s="80">
        <v>0</v>
      </c>
      <c r="N134" s="79">
        <v>5425873.8799999999</v>
      </c>
      <c r="O134" s="79">
        <v>6784597.3399999999</v>
      </c>
      <c r="P134" s="91">
        <v>6785366.6699999999</v>
      </c>
      <c r="Q134" s="79">
        <v>74050.83</v>
      </c>
      <c r="R134" s="79">
        <v>3563567.65</v>
      </c>
      <c r="S134" s="79">
        <v>13401009.310000001</v>
      </c>
      <c r="T134" s="79">
        <v>3714302.28</v>
      </c>
      <c r="U134" s="79">
        <v>0</v>
      </c>
      <c r="V134" s="79">
        <v>0</v>
      </c>
      <c r="W134" s="79">
        <v>1295437.49</v>
      </c>
      <c r="X134" s="80">
        <v>2685697.67</v>
      </c>
      <c r="Y134" s="80">
        <v>43729903.119999997</v>
      </c>
      <c r="Z134" s="81">
        <v>8.1757542320800916E-2</v>
      </c>
      <c r="AA134" s="80">
        <v>2685697.67</v>
      </c>
      <c r="AB134" s="80">
        <v>0</v>
      </c>
      <c r="AC134" s="80">
        <v>0</v>
      </c>
      <c r="AD134" s="80">
        <v>0</v>
      </c>
      <c r="AE134" s="80">
        <v>0</v>
      </c>
      <c r="AF134" s="80">
        <f t="shared" si="27"/>
        <v>0</v>
      </c>
      <c r="AG134" s="80">
        <v>1295079.6000000001</v>
      </c>
      <c r="AH134" s="79">
        <v>114572.82</v>
      </c>
      <c r="AI134" s="79">
        <v>321728.26</v>
      </c>
      <c r="AJ134" s="80">
        <v>44965.04</v>
      </c>
      <c r="AK134" s="79">
        <v>172420.32</v>
      </c>
      <c r="AL134" s="79">
        <v>16311.76</v>
      </c>
      <c r="AM134" s="79">
        <v>57458.75</v>
      </c>
      <c r="AN134" s="79">
        <v>11391</v>
      </c>
      <c r="AO134" s="79">
        <v>3325</v>
      </c>
      <c r="AP134" s="79">
        <v>0</v>
      </c>
      <c r="AQ134" s="79">
        <v>153168.76999999999</v>
      </c>
      <c r="AR134" s="79">
        <v>26794.080000000002</v>
      </c>
      <c r="AS134" s="79">
        <v>0</v>
      </c>
      <c r="AT134" s="79">
        <v>64772.29</v>
      </c>
      <c r="AU134" s="79">
        <v>33767.879999999997</v>
      </c>
      <c r="AV134" s="79">
        <v>112926.81999999999</v>
      </c>
      <c r="AW134" s="79">
        <v>2428682.39</v>
      </c>
      <c r="AX134" s="79">
        <v>0</v>
      </c>
      <c r="AY134" s="81">
        <f t="shared" si="28"/>
        <v>0</v>
      </c>
      <c r="AZ134" s="80">
        <v>0</v>
      </c>
      <c r="BA134" s="81">
        <v>6.1872109805893513E-2</v>
      </c>
      <c r="BB134" s="79">
        <v>236678.2</v>
      </c>
      <c r="BC134" s="79">
        <v>3312191.26</v>
      </c>
      <c r="BD134" s="80">
        <v>219587</v>
      </c>
      <c r="BE134" s="80">
        <v>0</v>
      </c>
      <c r="BF134" s="80">
        <v>538737.54</v>
      </c>
      <c r="BG134" s="80">
        <v>0</v>
      </c>
      <c r="BH134" s="80">
        <v>0</v>
      </c>
      <c r="BI134" s="80">
        <v>0</v>
      </c>
      <c r="BJ134" s="80">
        <f t="shared" si="29"/>
        <v>0</v>
      </c>
      <c r="BK134" s="80">
        <v>0</v>
      </c>
      <c r="BL134" s="80">
        <v>3627</v>
      </c>
      <c r="BM134" s="80">
        <v>2216</v>
      </c>
      <c r="BN134" s="79">
        <v>2</v>
      </c>
      <c r="BO134" s="79">
        <v>0</v>
      </c>
      <c r="BP134" s="79">
        <v>-65</v>
      </c>
      <c r="BQ134" s="79">
        <v>-70</v>
      </c>
      <c r="BR134" s="79">
        <v>-1037</v>
      </c>
      <c r="BS134" s="79">
        <v>-528</v>
      </c>
      <c r="BT134" s="79">
        <v>1</v>
      </c>
      <c r="BU134" s="79">
        <v>0</v>
      </c>
      <c r="BV134" s="79">
        <v>14</v>
      </c>
      <c r="BW134" s="79">
        <v>-607</v>
      </c>
      <c r="BX134" s="79">
        <v>0</v>
      </c>
      <c r="BY134" s="79">
        <v>3553</v>
      </c>
      <c r="BZ134" s="79">
        <v>9</v>
      </c>
      <c r="CA134" s="79">
        <v>333</v>
      </c>
      <c r="CB134" s="79">
        <v>76</v>
      </c>
      <c r="CC134" s="79">
        <v>180</v>
      </c>
      <c r="CD134" s="79">
        <v>1</v>
      </c>
      <c r="CE134" s="79">
        <v>21</v>
      </c>
    </row>
    <row r="135" spans="1:83" s="58" customFormat="1" ht="15.6" customHeight="1" x14ac:dyDescent="0.25">
      <c r="A135" s="43">
        <v>16</v>
      </c>
      <c r="B135" s="59" t="s">
        <v>421</v>
      </c>
      <c r="C135" s="77" t="s">
        <v>422</v>
      </c>
      <c r="D135" s="50" t="s">
        <v>417</v>
      </c>
      <c r="E135" s="50" t="s">
        <v>331</v>
      </c>
      <c r="F135" s="50" t="s">
        <v>407</v>
      </c>
      <c r="G135" s="79">
        <v>36657920.390000001</v>
      </c>
      <c r="H135" s="79">
        <v>0</v>
      </c>
      <c r="I135" s="79">
        <v>135115.66</v>
      </c>
      <c r="J135" s="79">
        <v>16989.93</v>
      </c>
      <c r="K135" s="80">
        <v>0</v>
      </c>
      <c r="L135" s="80">
        <v>36810025.979999997</v>
      </c>
      <c r="M135" s="80">
        <v>247864.53</v>
      </c>
      <c r="N135" s="79">
        <v>0</v>
      </c>
      <c r="O135" s="79">
        <v>9167314.5</v>
      </c>
      <c r="P135" s="91">
        <v>4879035.2</v>
      </c>
      <c r="Q135" s="79">
        <v>0</v>
      </c>
      <c r="R135" s="79">
        <v>4220634.99</v>
      </c>
      <c r="S135" s="79">
        <v>11032990.689999999</v>
      </c>
      <c r="T135" s="79">
        <v>3748731.98</v>
      </c>
      <c r="U135" s="79">
        <v>0</v>
      </c>
      <c r="V135" s="79">
        <v>0</v>
      </c>
      <c r="W135" s="79">
        <v>1405690.89</v>
      </c>
      <c r="X135" s="80">
        <v>2380310.2200000002</v>
      </c>
      <c r="Y135" s="80">
        <v>36834708.469999999</v>
      </c>
      <c r="Z135" s="81">
        <v>9.3816308819803462E-2</v>
      </c>
      <c r="AA135" s="80">
        <v>2380310.2200000002</v>
      </c>
      <c r="AB135" s="80">
        <v>0</v>
      </c>
      <c r="AC135" s="80">
        <v>0</v>
      </c>
      <c r="AD135" s="80">
        <v>0</v>
      </c>
      <c r="AE135" s="80">
        <v>0</v>
      </c>
      <c r="AF135" s="80">
        <f t="shared" si="27"/>
        <v>0</v>
      </c>
      <c r="AG135" s="80">
        <v>1065417.3500000001</v>
      </c>
      <c r="AH135" s="79">
        <v>92798.93</v>
      </c>
      <c r="AI135" s="79">
        <v>268086.52</v>
      </c>
      <c r="AJ135" s="80">
        <v>27358.05</v>
      </c>
      <c r="AK135" s="79">
        <v>133239.54999999999</v>
      </c>
      <c r="AL135" s="79">
        <v>17512.310000000001</v>
      </c>
      <c r="AM135" s="79">
        <v>104986.53</v>
      </c>
      <c r="AN135" s="79">
        <v>11391</v>
      </c>
      <c r="AO135" s="79">
        <v>850</v>
      </c>
      <c r="AP135" s="79">
        <v>0</v>
      </c>
      <c r="AQ135" s="79">
        <v>158376.60999999999</v>
      </c>
      <c r="AR135" s="79">
        <v>20846.79</v>
      </c>
      <c r="AS135" s="79">
        <v>0</v>
      </c>
      <c r="AT135" s="79">
        <v>39824.379999999997</v>
      </c>
      <c r="AU135" s="79">
        <v>21071.71</v>
      </c>
      <c r="AV135" s="79">
        <v>88971.16</v>
      </c>
      <c r="AW135" s="79">
        <v>2050730.89</v>
      </c>
      <c r="AX135" s="79">
        <v>0</v>
      </c>
      <c r="AY135" s="81">
        <f t="shared" si="28"/>
        <v>0</v>
      </c>
      <c r="AZ135" s="80">
        <v>0</v>
      </c>
      <c r="BA135" s="81">
        <v>6.4496940660109386E-2</v>
      </c>
      <c r="BB135" s="79">
        <v>955221.79</v>
      </c>
      <c r="BC135" s="79">
        <v>2483888.9900000002</v>
      </c>
      <c r="BD135" s="80">
        <v>219587</v>
      </c>
      <c r="BE135" s="80">
        <v>0</v>
      </c>
      <c r="BF135" s="80">
        <v>674619.81000000099</v>
      </c>
      <c r="BG135" s="80">
        <v>161937.08750000101</v>
      </c>
      <c r="BH135" s="80">
        <v>0</v>
      </c>
      <c r="BI135" s="80">
        <v>0</v>
      </c>
      <c r="BJ135" s="80">
        <f t="shared" si="29"/>
        <v>0</v>
      </c>
      <c r="BK135" s="80">
        <v>0</v>
      </c>
      <c r="BL135" s="80">
        <v>4141</v>
      </c>
      <c r="BM135" s="80">
        <v>1910</v>
      </c>
      <c r="BN135" s="79">
        <v>2</v>
      </c>
      <c r="BO135" s="79">
        <v>0</v>
      </c>
      <c r="BP135" s="79">
        <v>-67</v>
      </c>
      <c r="BQ135" s="79">
        <v>-33</v>
      </c>
      <c r="BR135" s="79">
        <v>-1038</v>
      </c>
      <c r="BS135" s="79">
        <v>-418</v>
      </c>
      <c r="BT135" s="79">
        <v>0</v>
      </c>
      <c r="BU135" s="79">
        <v>-3</v>
      </c>
      <c r="BV135" s="79">
        <v>-2</v>
      </c>
      <c r="BW135" s="79">
        <v>-774</v>
      </c>
      <c r="BX135" s="79">
        <v>-5</v>
      </c>
      <c r="BY135" s="79">
        <v>3713</v>
      </c>
      <c r="BZ135" s="79">
        <v>12</v>
      </c>
      <c r="CA135" s="79">
        <v>272</v>
      </c>
      <c r="CB135" s="79">
        <v>81</v>
      </c>
      <c r="CC135" s="79">
        <v>391</v>
      </c>
      <c r="CD135" s="79">
        <v>30</v>
      </c>
      <c r="CE135" s="79">
        <v>0</v>
      </c>
    </row>
    <row r="136" spans="1:83" s="58" customFormat="1" ht="15.6" customHeight="1" x14ac:dyDescent="0.25">
      <c r="A136" s="60">
        <v>16</v>
      </c>
      <c r="B136" s="61" t="s">
        <v>423</v>
      </c>
      <c r="C136" s="77" t="s">
        <v>320</v>
      </c>
      <c r="D136" s="50" t="s">
        <v>424</v>
      </c>
      <c r="E136" s="50" t="s">
        <v>331</v>
      </c>
      <c r="F136" s="50" t="s">
        <v>407</v>
      </c>
      <c r="G136" s="79">
        <v>22674253.880041901</v>
      </c>
      <c r="H136" s="79">
        <v>744665.47</v>
      </c>
      <c r="I136" s="79">
        <v>0</v>
      </c>
      <c r="J136" s="79">
        <v>55451.739958122504</v>
      </c>
      <c r="K136" s="80">
        <v>0</v>
      </c>
      <c r="L136" s="80">
        <v>23474371.09</v>
      </c>
      <c r="M136" s="80">
        <v>701881.35</v>
      </c>
      <c r="N136" s="79">
        <v>0</v>
      </c>
      <c r="O136" s="79">
        <v>5994562.4800000004</v>
      </c>
      <c r="P136" s="91">
        <v>2954998.37</v>
      </c>
      <c r="Q136" s="79">
        <v>0</v>
      </c>
      <c r="R136" s="79">
        <v>3059207.85</v>
      </c>
      <c r="S136" s="79">
        <v>6282784.9299999997</v>
      </c>
      <c r="T136" s="79">
        <v>2080253.49</v>
      </c>
      <c r="U136" s="79">
        <v>0</v>
      </c>
      <c r="V136" s="79">
        <v>0</v>
      </c>
      <c r="W136" s="79">
        <v>1373639.46</v>
      </c>
      <c r="X136" s="80">
        <v>1851175.4800000025</v>
      </c>
      <c r="Y136" s="80">
        <v>23596622.059999999</v>
      </c>
      <c r="Z136" s="81">
        <v>0.11357492206382407</v>
      </c>
      <c r="AA136" s="80">
        <v>1851175.48</v>
      </c>
      <c r="AB136" s="80">
        <v>0</v>
      </c>
      <c r="AC136" s="80">
        <v>0</v>
      </c>
      <c r="AD136" s="80">
        <v>0</v>
      </c>
      <c r="AE136" s="80">
        <v>0</v>
      </c>
      <c r="AF136" s="80">
        <f t="shared" si="27"/>
        <v>0</v>
      </c>
      <c r="AG136" s="80">
        <v>879363.45</v>
      </c>
      <c r="AH136" s="79">
        <v>73261.83</v>
      </c>
      <c r="AI136" s="79">
        <v>198200.62</v>
      </c>
      <c r="AJ136" s="80">
        <v>20874</v>
      </c>
      <c r="AK136" s="79">
        <v>183892.26</v>
      </c>
      <c r="AL136" s="79">
        <v>21738.6</v>
      </c>
      <c r="AM136" s="79">
        <v>87911.93</v>
      </c>
      <c r="AN136" s="79">
        <v>11391</v>
      </c>
      <c r="AO136" s="79">
        <v>0</v>
      </c>
      <c r="AP136" s="79">
        <v>0</v>
      </c>
      <c r="AQ136" s="79">
        <v>56403.25</v>
      </c>
      <c r="AR136" s="79">
        <v>20845.72</v>
      </c>
      <c r="AS136" s="79">
        <v>0</v>
      </c>
      <c r="AT136" s="79">
        <v>12768.22</v>
      </c>
      <c r="AU136" s="79">
        <v>28653.98</v>
      </c>
      <c r="AV136" s="79">
        <v>96489.48</v>
      </c>
      <c r="AW136" s="79">
        <v>1691794.34</v>
      </c>
      <c r="AX136" s="79">
        <v>0</v>
      </c>
      <c r="AY136" s="81">
        <f t="shared" si="28"/>
        <v>0</v>
      </c>
      <c r="AZ136" s="80">
        <v>0</v>
      </c>
      <c r="BA136" s="81">
        <v>7.9190826960179331E-2</v>
      </c>
      <c r="BB136" s="79">
        <v>926887.62</v>
      </c>
      <c r="BC136" s="79">
        <v>1732914.32</v>
      </c>
      <c r="BD136" s="80">
        <v>219587</v>
      </c>
      <c r="BE136" s="80">
        <v>0</v>
      </c>
      <c r="BF136" s="80">
        <v>207908.83</v>
      </c>
      <c r="BG136" s="80">
        <v>0</v>
      </c>
      <c r="BH136" s="80">
        <v>0</v>
      </c>
      <c r="BI136" s="80">
        <v>0</v>
      </c>
      <c r="BJ136" s="80">
        <f t="shared" si="29"/>
        <v>0</v>
      </c>
      <c r="BK136" s="80">
        <v>0</v>
      </c>
      <c r="BL136" s="80">
        <v>2537</v>
      </c>
      <c r="BM136" s="80">
        <v>1244</v>
      </c>
      <c r="BN136" s="79">
        <v>20</v>
      </c>
      <c r="BO136" s="79">
        <v>-29</v>
      </c>
      <c r="BP136" s="79">
        <v>-49</v>
      </c>
      <c r="BQ136" s="79">
        <v>-30</v>
      </c>
      <c r="BR136" s="79">
        <v>-611</v>
      </c>
      <c r="BS136" s="79">
        <v>-237</v>
      </c>
      <c r="BT136" s="79">
        <v>0</v>
      </c>
      <c r="BU136" s="79">
        <v>0</v>
      </c>
      <c r="BV136" s="79">
        <v>-5</v>
      </c>
      <c r="BW136" s="79">
        <v>-675</v>
      </c>
      <c r="BX136" s="79">
        <v>0</v>
      </c>
      <c r="BY136" s="79">
        <v>2165</v>
      </c>
      <c r="BZ136" s="79">
        <v>13</v>
      </c>
      <c r="CA136" s="79">
        <v>158</v>
      </c>
      <c r="CB136" s="79">
        <v>54</v>
      </c>
      <c r="CC136" s="79">
        <v>396</v>
      </c>
      <c r="CD136" s="79">
        <v>58</v>
      </c>
      <c r="CE136" s="79">
        <v>24</v>
      </c>
    </row>
    <row r="137" spans="1:83" s="97" customFormat="1" ht="15.6" customHeight="1" x14ac:dyDescent="0.25">
      <c r="A137" s="38">
        <v>17</v>
      </c>
      <c r="B137" s="39" t="s">
        <v>425</v>
      </c>
      <c r="C137" s="78" t="s">
        <v>426</v>
      </c>
      <c r="D137" s="50" t="s">
        <v>427</v>
      </c>
      <c r="E137" s="50" t="s">
        <v>104</v>
      </c>
      <c r="F137" s="50" t="s">
        <v>407</v>
      </c>
      <c r="G137" s="95">
        <v>42066305.82</v>
      </c>
      <c r="H137" s="95">
        <v>27350.18</v>
      </c>
      <c r="I137" s="95">
        <v>1560174.65</v>
      </c>
      <c r="J137" s="95">
        <v>0</v>
      </c>
      <c r="K137" s="95">
        <v>0</v>
      </c>
      <c r="L137" s="95">
        <v>43653830.649999999</v>
      </c>
      <c r="M137" s="95">
        <v>0</v>
      </c>
      <c r="N137" s="95">
        <v>1662315.64</v>
      </c>
      <c r="O137" s="95">
        <v>9137878.2200000007</v>
      </c>
      <c r="P137" s="95">
        <v>8036333.79</v>
      </c>
      <c r="Q137" s="95">
        <v>0</v>
      </c>
      <c r="R137" s="95">
        <v>6459339.21</v>
      </c>
      <c r="S137" s="95">
        <v>10342013.359999999</v>
      </c>
      <c r="T137" s="95">
        <v>3338332.85</v>
      </c>
      <c r="U137" s="95">
        <v>0</v>
      </c>
      <c r="V137" s="95">
        <v>0</v>
      </c>
      <c r="W137" s="95">
        <v>2629603.61</v>
      </c>
      <c r="X137" s="95">
        <v>2792914.37</v>
      </c>
      <c r="Y137" s="95">
        <v>44398731.049999997</v>
      </c>
      <c r="Z137" s="96">
        <v>9.0203378152755129E-2</v>
      </c>
      <c r="AA137" s="95">
        <v>2792914.37</v>
      </c>
      <c r="AB137" s="95">
        <v>0</v>
      </c>
      <c r="AC137" s="95">
        <v>0</v>
      </c>
      <c r="AD137" s="95">
        <v>0</v>
      </c>
      <c r="AE137" s="95">
        <v>0</v>
      </c>
      <c r="AF137" s="95">
        <f t="shared" si="27"/>
        <v>0</v>
      </c>
      <c r="AG137" s="95">
        <v>1779827</v>
      </c>
      <c r="AH137" s="95">
        <v>145988</v>
      </c>
      <c r="AI137" s="95">
        <v>288488</v>
      </c>
      <c r="AJ137" s="95">
        <v>30117.4</v>
      </c>
      <c r="AK137" s="95">
        <v>201980.82</v>
      </c>
      <c r="AL137" s="95">
        <v>5353.52</v>
      </c>
      <c r="AM137" s="95">
        <v>121057.96</v>
      </c>
      <c r="AN137" s="95">
        <v>10500</v>
      </c>
      <c r="AO137" s="95">
        <v>6690</v>
      </c>
      <c r="AP137" s="95">
        <v>0</v>
      </c>
      <c r="AQ137" s="95">
        <v>101517.65</v>
      </c>
      <c r="AR137" s="95">
        <v>25261.87</v>
      </c>
      <c r="AS137" s="95">
        <v>0</v>
      </c>
      <c r="AT137" s="95">
        <v>8613.9599999999991</v>
      </c>
      <c r="AU137" s="95">
        <v>35218.400000000001</v>
      </c>
      <c r="AV137" s="95">
        <v>107617.79000000001</v>
      </c>
      <c r="AW137" s="95">
        <v>2868232</v>
      </c>
      <c r="AX137" s="95">
        <v>0</v>
      </c>
      <c r="AY137" s="96">
        <f t="shared" si="28"/>
        <v>0</v>
      </c>
      <c r="AZ137" s="95">
        <v>0</v>
      </c>
      <c r="BA137" s="96">
        <v>6.6393152799077898E-2</v>
      </c>
      <c r="BB137" s="95">
        <v>912861.56</v>
      </c>
      <c r="BC137" s="95">
        <v>2884128.41</v>
      </c>
      <c r="BD137" s="95">
        <v>219587</v>
      </c>
      <c r="BE137" s="95">
        <v>2.91038304567337E-11</v>
      </c>
      <c r="BF137" s="95">
        <v>445015</v>
      </c>
      <c r="BG137" s="95">
        <v>0</v>
      </c>
      <c r="BH137" s="95">
        <v>0</v>
      </c>
      <c r="BI137" s="95">
        <v>0</v>
      </c>
      <c r="BJ137" s="95">
        <f t="shared" si="29"/>
        <v>0</v>
      </c>
      <c r="BK137" s="95">
        <v>0</v>
      </c>
      <c r="BL137" s="95">
        <v>4763</v>
      </c>
      <c r="BM137" s="95">
        <v>1197</v>
      </c>
      <c r="BN137" s="95">
        <v>26</v>
      </c>
      <c r="BO137" s="95">
        <v>0</v>
      </c>
      <c r="BP137" s="95">
        <v>-10</v>
      </c>
      <c r="BQ137" s="95">
        <v>-31</v>
      </c>
      <c r="BR137" s="95">
        <v>-498</v>
      </c>
      <c r="BS137" s="95">
        <v>-314</v>
      </c>
      <c r="BT137" s="95">
        <v>0</v>
      </c>
      <c r="BU137" s="95">
        <v>-5</v>
      </c>
      <c r="BV137" s="95">
        <v>-4</v>
      </c>
      <c r="BW137" s="95">
        <v>-1421</v>
      </c>
      <c r="BX137" s="95">
        <v>-4</v>
      </c>
      <c r="BY137" s="95">
        <v>3699</v>
      </c>
      <c r="BZ137" s="95">
        <v>0</v>
      </c>
      <c r="CA137" s="95">
        <v>188</v>
      </c>
      <c r="CB137" s="95">
        <v>84</v>
      </c>
      <c r="CC137" s="95">
        <v>1048</v>
      </c>
      <c r="CD137" s="95">
        <v>50</v>
      </c>
      <c r="CE137" s="95">
        <v>22</v>
      </c>
    </row>
    <row r="138" spans="1:83" s="58" customFormat="1" ht="15.6" customHeight="1" x14ac:dyDescent="0.25">
      <c r="A138" s="45">
        <v>17</v>
      </c>
      <c r="B138" s="46" t="s">
        <v>428</v>
      </c>
      <c r="C138" s="77" t="s">
        <v>260</v>
      </c>
      <c r="D138" s="53" t="s">
        <v>429</v>
      </c>
      <c r="E138" s="53" t="s">
        <v>104</v>
      </c>
      <c r="F138" s="53" t="s">
        <v>407</v>
      </c>
      <c r="G138" s="89">
        <v>25624029.41</v>
      </c>
      <c r="H138" s="89">
        <v>0</v>
      </c>
      <c r="I138" s="89">
        <v>663074.18999999994</v>
      </c>
      <c r="J138" s="89">
        <v>0</v>
      </c>
      <c r="K138" s="89">
        <v>0</v>
      </c>
      <c r="L138" s="89">
        <v>26287103.600000001</v>
      </c>
      <c r="M138" s="89">
        <v>0</v>
      </c>
      <c r="N138" s="89">
        <v>754239.7</v>
      </c>
      <c r="O138" s="89">
        <v>5486085.5099999998</v>
      </c>
      <c r="P138" s="89">
        <v>3802910.32</v>
      </c>
      <c r="Q138" s="89">
        <v>0</v>
      </c>
      <c r="R138" s="89">
        <v>3665489.69</v>
      </c>
      <c r="S138" s="89">
        <v>7325360.1600000001</v>
      </c>
      <c r="T138" s="89">
        <v>2094352.26</v>
      </c>
      <c r="U138" s="89">
        <v>0</v>
      </c>
      <c r="V138" s="89">
        <v>0</v>
      </c>
      <c r="W138" s="89">
        <v>1215696.83</v>
      </c>
      <c r="X138" s="89">
        <v>2077870.2</v>
      </c>
      <c r="Y138" s="89">
        <v>26422004.670000002</v>
      </c>
      <c r="Z138" s="81">
        <v>6.3253739451589241E-2</v>
      </c>
      <c r="AA138" s="89">
        <v>2071664.16</v>
      </c>
      <c r="AB138" s="89">
        <v>0</v>
      </c>
      <c r="AC138" s="89">
        <v>0</v>
      </c>
      <c r="AD138" s="89">
        <v>0</v>
      </c>
      <c r="AE138" s="89">
        <v>249.92</v>
      </c>
      <c r="AF138" s="89">
        <f t="shared" ref="AF138:AF160" si="30">SUM(AD138:AE138)</f>
        <v>249.92</v>
      </c>
      <c r="AG138" s="89">
        <v>970205.16</v>
      </c>
      <c r="AH138" s="89">
        <v>79625.279999999999</v>
      </c>
      <c r="AI138" s="89">
        <v>219096.29</v>
      </c>
      <c r="AJ138" s="89">
        <v>0</v>
      </c>
      <c r="AK138" s="89">
        <v>237914.42</v>
      </c>
      <c r="AL138" s="89">
        <v>4789.25</v>
      </c>
      <c r="AM138" s="89">
        <v>109967.63</v>
      </c>
      <c r="AN138" s="89">
        <v>8800</v>
      </c>
      <c r="AO138" s="89">
        <v>474</v>
      </c>
      <c r="AP138" s="89">
        <v>0</v>
      </c>
      <c r="AQ138" s="89">
        <v>79020.73000000001</v>
      </c>
      <c r="AR138" s="89">
        <v>8988.81</v>
      </c>
      <c r="AS138" s="89">
        <v>0</v>
      </c>
      <c r="AT138" s="89">
        <v>16714.48</v>
      </c>
      <c r="AU138" s="89">
        <v>14064.24</v>
      </c>
      <c r="AV138" s="89">
        <v>91251.46</v>
      </c>
      <c r="AW138" s="89">
        <v>1840911.75</v>
      </c>
      <c r="AX138" s="89">
        <v>0</v>
      </c>
      <c r="AY138" s="81">
        <f t="shared" ref="AY138:AY160" si="31">AX138/AW138</f>
        <v>0</v>
      </c>
      <c r="AZ138" s="89">
        <v>0</v>
      </c>
      <c r="BA138" s="81">
        <v>8.084849290687729E-2</v>
      </c>
      <c r="BB138" s="80">
        <v>786874.49</v>
      </c>
      <c r="BC138" s="80">
        <v>833941.19</v>
      </c>
      <c r="BD138" s="80">
        <v>219587</v>
      </c>
      <c r="BE138" s="80">
        <v>2.91038304567337E-11</v>
      </c>
      <c r="BF138" s="80">
        <v>342926.96</v>
      </c>
      <c r="BG138" s="80">
        <v>0</v>
      </c>
      <c r="BH138" s="80">
        <v>0</v>
      </c>
      <c r="BI138" s="80">
        <v>0</v>
      </c>
      <c r="BJ138" s="80">
        <f t="shared" ref="BJ138:BJ161" si="32">SUM(BH138:BI138)</f>
        <v>0</v>
      </c>
      <c r="BK138" s="80">
        <v>0</v>
      </c>
      <c r="BL138" s="80">
        <v>3014</v>
      </c>
      <c r="BM138" s="80">
        <v>794</v>
      </c>
      <c r="BN138" s="80">
        <v>35</v>
      </c>
      <c r="BO138" s="80">
        <v>0</v>
      </c>
      <c r="BP138" s="80">
        <v>-42</v>
      </c>
      <c r="BQ138" s="80">
        <v>-21</v>
      </c>
      <c r="BR138" s="80">
        <v>-304</v>
      </c>
      <c r="BS138" s="80">
        <v>-156</v>
      </c>
      <c r="BT138" s="80">
        <v>0</v>
      </c>
      <c r="BU138" s="80">
        <v>0</v>
      </c>
      <c r="BV138" s="80">
        <v>0</v>
      </c>
      <c r="BW138" s="80">
        <v>-727</v>
      </c>
      <c r="BX138" s="80">
        <v>0</v>
      </c>
      <c r="BY138" s="80">
        <v>2593</v>
      </c>
      <c r="BZ138" s="80">
        <v>39</v>
      </c>
      <c r="CA138" s="80">
        <v>142</v>
      </c>
      <c r="CB138" s="80">
        <v>47</v>
      </c>
      <c r="CC138" s="80">
        <v>472</v>
      </c>
      <c r="CD138" s="80">
        <v>9</v>
      </c>
      <c r="CE138" s="80">
        <v>10</v>
      </c>
    </row>
    <row r="139" spans="1:83" s="58" customFormat="1" ht="15.6" customHeight="1" x14ac:dyDescent="0.25">
      <c r="A139" s="51">
        <v>17</v>
      </c>
      <c r="B139" s="52" t="s">
        <v>430</v>
      </c>
      <c r="C139" s="77" t="s">
        <v>260</v>
      </c>
      <c r="D139" s="53" t="s">
        <v>431</v>
      </c>
      <c r="E139" s="50" t="s">
        <v>109</v>
      </c>
      <c r="F139" s="50" t="s">
        <v>407</v>
      </c>
      <c r="G139" s="89">
        <v>27724623.77</v>
      </c>
      <c r="H139" s="89">
        <v>0</v>
      </c>
      <c r="I139" s="89">
        <v>546207.69999999995</v>
      </c>
      <c r="J139" s="89">
        <v>0</v>
      </c>
      <c r="K139" s="89">
        <v>550.7399999999999</v>
      </c>
      <c r="L139" s="89">
        <v>28271382.210000001</v>
      </c>
      <c r="M139" s="89">
        <v>0</v>
      </c>
      <c r="N139" s="89">
        <v>8670490.9399999995</v>
      </c>
      <c r="O139" s="89">
        <v>1996080.61</v>
      </c>
      <c r="P139" s="89">
        <v>5487242.1600000001</v>
      </c>
      <c r="Q139" s="89">
        <v>0</v>
      </c>
      <c r="R139" s="89">
        <v>1929585.52</v>
      </c>
      <c r="S139" s="89">
        <v>5513135.8300000001</v>
      </c>
      <c r="T139" s="89">
        <v>1367295.69</v>
      </c>
      <c r="U139" s="89">
        <v>0</v>
      </c>
      <c r="V139" s="89">
        <v>0</v>
      </c>
      <c r="W139" s="89">
        <v>929084.9</v>
      </c>
      <c r="X139" s="89">
        <v>2067513.27</v>
      </c>
      <c r="Y139" s="89">
        <v>27960428.920000002</v>
      </c>
      <c r="Z139" s="81">
        <v>4.3048303915721634E-2</v>
      </c>
      <c r="AA139" s="89">
        <v>2062540.76</v>
      </c>
      <c r="AB139" s="89">
        <v>0</v>
      </c>
      <c r="AC139" s="89">
        <v>0</v>
      </c>
      <c r="AD139" s="89">
        <v>549.42999999999995</v>
      </c>
      <c r="AE139" s="89">
        <v>68.12</v>
      </c>
      <c r="AF139" s="89">
        <f t="shared" si="30"/>
        <v>617.54999999999995</v>
      </c>
      <c r="AG139" s="89">
        <v>1030007.31</v>
      </c>
      <c r="AH139" s="89">
        <v>84237.02</v>
      </c>
      <c r="AI139" s="89">
        <v>224429.48</v>
      </c>
      <c r="AJ139" s="89">
        <v>0</v>
      </c>
      <c r="AK139" s="89">
        <v>160403.16</v>
      </c>
      <c r="AL139" s="89">
        <v>1928.2</v>
      </c>
      <c r="AM139" s="89">
        <v>74032.710000000006</v>
      </c>
      <c r="AN139" s="89">
        <v>9500</v>
      </c>
      <c r="AO139" s="89">
        <v>2425</v>
      </c>
      <c r="AP139" s="89">
        <v>0</v>
      </c>
      <c r="AQ139" s="89">
        <v>58250.25</v>
      </c>
      <c r="AR139" s="89">
        <v>22812.82</v>
      </c>
      <c r="AS139" s="89">
        <v>0</v>
      </c>
      <c r="AT139" s="89">
        <v>15087.23</v>
      </c>
      <c r="AU139" s="89">
        <v>0</v>
      </c>
      <c r="AV139" s="89">
        <v>82342.59</v>
      </c>
      <c r="AW139" s="89">
        <v>1765455.77</v>
      </c>
      <c r="AX139" s="89">
        <v>0</v>
      </c>
      <c r="AY139" s="81">
        <f t="shared" si="31"/>
        <v>0</v>
      </c>
      <c r="AZ139" s="89">
        <v>0</v>
      </c>
      <c r="BA139" s="81">
        <v>7.4393823234918513E-2</v>
      </c>
      <c r="BB139" s="80">
        <v>510856.49</v>
      </c>
      <c r="BC139" s="80">
        <v>682641.54</v>
      </c>
      <c r="BD139" s="80">
        <v>219587</v>
      </c>
      <c r="BE139" s="80">
        <v>0</v>
      </c>
      <c r="BF139" s="80">
        <v>419009.77</v>
      </c>
      <c r="BG139" s="80">
        <v>0</v>
      </c>
      <c r="BH139" s="80">
        <v>0</v>
      </c>
      <c r="BI139" s="80">
        <v>0</v>
      </c>
      <c r="BJ139" s="80">
        <f t="shared" si="32"/>
        <v>0</v>
      </c>
      <c r="BK139" s="80">
        <v>0</v>
      </c>
      <c r="BL139" s="80">
        <v>2389</v>
      </c>
      <c r="BM139" s="80">
        <v>942</v>
      </c>
      <c r="BN139" s="80">
        <v>0</v>
      </c>
      <c r="BO139" s="80">
        <v>0</v>
      </c>
      <c r="BP139" s="80">
        <v>-20</v>
      </c>
      <c r="BQ139" s="80">
        <v>-70</v>
      </c>
      <c r="BR139" s="80">
        <v>-306</v>
      </c>
      <c r="BS139" s="80">
        <v>-201</v>
      </c>
      <c r="BT139" s="80">
        <v>0</v>
      </c>
      <c r="BU139" s="80">
        <v>-5</v>
      </c>
      <c r="BV139" s="80">
        <v>0</v>
      </c>
      <c r="BW139" s="80">
        <v>-567</v>
      </c>
      <c r="BX139" s="80">
        <v>-3</v>
      </c>
      <c r="BY139" s="80">
        <v>2159</v>
      </c>
      <c r="BZ139" s="80">
        <v>14</v>
      </c>
      <c r="CA139" s="80">
        <v>109</v>
      </c>
      <c r="CB139" s="80">
        <v>59</v>
      </c>
      <c r="CC139" s="80">
        <v>375</v>
      </c>
      <c r="CD139" s="80">
        <v>24</v>
      </c>
      <c r="CE139" s="80">
        <v>0</v>
      </c>
    </row>
    <row r="140" spans="1:83" s="58" customFormat="1" ht="15.6" customHeight="1" x14ac:dyDescent="0.25">
      <c r="A140" s="51">
        <v>17</v>
      </c>
      <c r="B140" s="52" t="s">
        <v>432</v>
      </c>
      <c r="C140" s="77" t="s">
        <v>433</v>
      </c>
      <c r="D140" s="53" t="s">
        <v>434</v>
      </c>
      <c r="E140" s="53" t="s">
        <v>104</v>
      </c>
      <c r="F140" s="53" t="s">
        <v>407</v>
      </c>
      <c r="G140" s="89">
        <v>40652039.219999999</v>
      </c>
      <c r="H140" s="89">
        <v>0</v>
      </c>
      <c r="I140" s="89">
        <v>1924594.36</v>
      </c>
      <c r="J140" s="89">
        <v>0</v>
      </c>
      <c r="K140" s="80">
        <v>-742722.89999999991</v>
      </c>
      <c r="L140" s="89">
        <v>41833910.68</v>
      </c>
      <c r="M140" s="89">
        <v>0</v>
      </c>
      <c r="N140" s="89">
        <v>221314.23</v>
      </c>
      <c r="O140" s="89">
        <v>7951571.29</v>
      </c>
      <c r="P140" s="89">
        <v>9446849.3900000006</v>
      </c>
      <c r="Q140" s="89">
        <v>0</v>
      </c>
      <c r="R140" s="89">
        <v>5592283.1299999999</v>
      </c>
      <c r="S140" s="89">
        <v>6422129.1200000001</v>
      </c>
      <c r="T140" s="89">
        <v>5783079.1799999997</v>
      </c>
      <c r="U140" s="89">
        <v>0</v>
      </c>
      <c r="V140" s="89">
        <v>0</v>
      </c>
      <c r="W140" s="89">
        <v>3305383.84</v>
      </c>
      <c r="X140" s="89">
        <v>3783769.96</v>
      </c>
      <c r="Y140" s="89">
        <v>42506380.140000001</v>
      </c>
      <c r="Z140" s="81">
        <v>0.1073714427061893</v>
      </c>
      <c r="AA140" s="89">
        <v>3780329.91</v>
      </c>
      <c r="AB140" s="89">
        <v>0</v>
      </c>
      <c r="AC140" s="89">
        <v>0</v>
      </c>
      <c r="AD140" s="89">
        <v>3440.05</v>
      </c>
      <c r="AE140" s="89">
        <v>0</v>
      </c>
      <c r="AF140" s="89">
        <f t="shared" si="30"/>
        <v>3440.05</v>
      </c>
      <c r="AG140" s="89">
        <v>2107072.52</v>
      </c>
      <c r="AH140" s="89">
        <v>167681.76</v>
      </c>
      <c r="AI140" s="89">
        <v>422533.36</v>
      </c>
      <c r="AJ140" s="89">
        <v>0</v>
      </c>
      <c r="AK140" s="89">
        <v>348551.39</v>
      </c>
      <c r="AL140" s="89">
        <v>0</v>
      </c>
      <c r="AM140" s="89">
        <v>118369.37</v>
      </c>
      <c r="AN140" s="89">
        <v>10500</v>
      </c>
      <c r="AO140" s="89">
        <v>4455.88</v>
      </c>
      <c r="AP140" s="89">
        <v>0</v>
      </c>
      <c r="AQ140" s="89">
        <v>117811.99</v>
      </c>
      <c r="AR140" s="89">
        <v>5048.1499999999996</v>
      </c>
      <c r="AS140" s="89">
        <v>0</v>
      </c>
      <c r="AT140" s="89">
        <v>67528.92</v>
      </c>
      <c r="AU140" s="89">
        <v>43.51</v>
      </c>
      <c r="AV140" s="89">
        <v>176409.79</v>
      </c>
      <c r="AW140" s="89">
        <v>3546006.64</v>
      </c>
      <c r="AX140" s="89">
        <v>0</v>
      </c>
      <c r="AY140" s="81">
        <f t="shared" si="31"/>
        <v>0</v>
      </c>
      <c r="AZ140" s="89">
        <v>0</v>
      </c>
      <c r="BA140" s="81">
        <v>9.2992380764509164E-2</v>
      </c>
      <c r="BB140" s="80">
        <v>1928529.71</v>
      </c>
      <c r="BC140" s="80">
        <v>2436338.39</v>
      </c>
      <c r="BD140" s="80">
        <v>219587</v>
      </c>
      <c r="BE140" s="80">
        <v>0</v>
      </c>
      <c r="BF140" s="80">
        <v>861709.18000000098</v>
      </c>
      <c r="BG140" s="80">
        <v>0</v>
      </c>
      <c r="BH140" s="80">
        <v>0</v>
      </c>
      <c r="BI140" s="80">
        <v>0</v>
      </c>
      <c r="BJ140" s="80">
        <f t="shared" si="32"/>
        <v>0</v>
      </c>
      <c r="BK140" s="80">
        <v>0</v>
      </c>
      <c r="BL140" s="80">
        <v>6158</v>
      </c>
      <c r="BM140" s="80">
        <v>1577</v>
      </c>
      <c r="BN140" s="80">
        <v>0</v>
      </c>
      <c r="BO140" s="80">
        <v>0</v>
      </c>
      <c r="BP140" s="80">
        <v>-15</v>
      </c>
      <c r="BQ140" s="80">
        <v>-41</v>
      </c>
      <c r="BR140" s="80">
        <v>-571</v>
      </c>
      <c r="BS140" s="80">
        <v>-354</v>
      </c>
      <c r="BT140" s="80">
        <v>0</v>
      </c>
      <c r="BU140" s="80">
        <v>0</v>
      </c>
      <c r="BV140" s="80">
        <v>3</v>
      </c>
      <c r="BW140" s="80">
        <v>-1261</v>
      </c>
      <c r="BX140" s="80">
        <v>-6</v>
      </c>
      <c r="BY140" s="80">
        <v>5490</v>
      </c>
      <c r="BZ140" s="80">
        <v>4</v>
      </c>
      <c r="CA140" s="80">
        <v>162</v>
      </c>
      <c r="CB140" s="80">
        <v>23</v>
      </c>
      <c r="CC140" s="80">
        <v>398</v>
      </c>
      <c r="CD140" s="80">
        <v>640</v>
      </c>
      <c r="CE140" s="80">
        <v>37</v>
      </c>
    </row>
    <row r="141" spans="1:83" s="58" customFormat="1" ht="15.6" customHeight="1" x14ac:dyDescent="0.25">
      <c r="A141" s="51">
        <v>17</v>
      </c>
      <c r="B141" s="52" t="s">
        <v>435</v>
      </c>
      <c r="C141" s="77" t="s">
        <v>348</v>
      </c>
      <c r="D141" s="53" t="s">
        <v>436</v>
      </c>
      <c r="E141" s="53" t="s">
        <v>109</v>
      </c>
      <c r="F141" s="53" t="s">
        <v>407</v>
      </c>
      <c r="G141" s="88">
        <v>16462948.050000001</v>
      </c>
      <c r="H141" s="88">
        <v>0</v>
      </c>
      <c r="I141" s="88">
        <v>110558.44</v>
      </c>
      <c r="J141" s="88">
        <v>0</v>
      </c>
      <c r="K141" s="89">
        <v>1390.69</v>
      </c>
      <c r="L141" s="89">
        <v>16574897.18</v>
      </c>
      <c r="M141" s="89">
        <v>0</v>
      </c>
      <c r="N141" s="88">
        <v>4943920.76</v>
      </c>
      <c r="O141" s="88">
        <v>1176751.3799999999</v>
      </c>
      <c r="P141" s="90">
        <v>3650702.22</v>
      </c>
      <c r="Q141" s="88">
        <v>0</v>
      </c>
      <c r="R141" s="88">
        <v>1139360.3899999999</v>
      </c>
      <c r="S141" s="88">
        <v>3468908.78</v>
      </c>
      <c r="T141" s="88">
        <v>639434.55000000005</v>
      </c>
      <c r="U141" s="88">
        <v>0</v>
      </c>
      <c r="V141" s="88">
        <v>0</v>
      </c>
      <c r="W141" s="88">
        <v>322502.38</v>
      </c>
      <c r="X141" s="89">
        <v>1388747.92</v>
      </c>
      <c r="Y141" s="89">
        <v>16730328.380000001</v>
      </c>
      <c r="Z141" s="81">
        <v>3.5687828705745932E-2</v>
      </c>
      <c r="AA141" s="89">
        <v>1346633.53</v>
      </c>
      <c r="AB141" s="89">
        <v>0</v>
      </c>
      <c r="AC141" s="89">
        <v>0</v>
      </c>
      <c r="AD141" s="89">
        <v>1390.69</v>
      </c>
      <c r="AE141" s="89">
        <v>335.45</v>
      </c>
      <c r="AF141" s="89">
        <f t="shared" si="30"/>
        <v>1726.14</v>
      </c>
      <c r="AG141" s="89">
        <v>529396.9</v>
      </c>
      <c r="AH141" s="88">
        <v>44667.79</v>
      </c>
      <c r="AI141" s="88">
        <v>133356.60999999999</v>
      </c>
      <c r="AJ141" s="89">
        <v>0</v>
      </c>
      <c r="AK141" s="88">
        <v>104994.18</v>
      </c>
      <c r="AL141" s="88">
        <v>3708.66</v>
      </c>
      <c r="AM141" s="88">
        <v>38956.51</v>
      </c>
      <c r="AN141" s="88">
        <v>8800</v>
      </c>
      <c r="AO141" s="88">
        <v>99938.95</v>
      </c>
      <c r="AP141" s="88">
        <v>0</v>
      </c>
      <c r="AQ141" s="88">
        <v>45451.25</v>
      </c>
      <c r="AR141" s="88">
        <v>1586.96</v>
      </c>
      <c r="AS141" s="88">
        <v>0</v>
      </c>
      <c r="AT141" s="88">
        <v>43569.13</v>
      </c>
      <c r="AU141" s="88">
        <v>0</v>
      </c>
      <c r="AV141" s="88">
        <v>47608.17</v>
      </c>
      <c r="AW141" s="88">
        <v>1102035.1100000001</v>
      </c>
      <c r="AX141" s="88">
        <v>0</v>
      </c>
      <c r="AY141" s="81">
        <f t="shared" si="31"/>
        <v>0</v>
      </c>
      <c r="AZ141" s="89">
        <v>0</v>
      </c>
      <c r="BA141" s="81">
        <v>8.1797836323731818E-2</v>
      </c>
      <c r="BB141" s="79">
        <v>317274.07</v>
      </c>
      <c r="BC141" s="79">
        <v>270252.79999999999</v>
      </c>
      <c r="BD141" s="80">
        <v>219587</v>
      </c>
      <c r="BE141" s="80">
        <v>0</v>
      </c>
      <c r="BF141" s="80">
        <v>262322.01</v>
      </c>
      <c r="BG141" s="80">
        <v>0</v>
      </c>
      <c r="BH141" s="80">
        <v>0</v>
      </c>
      <c r="BI141" s="80">
        <v>0</v>
      </c>
      <c r="BJ141" s="80">
        <f t="shared" si="32"/>
        <v>0</v>
      </c>
      <c r="BK141" s="80">
        <v>0</v>
      </c>
      <c r="BL141" s="80">
        <v>1061</v>
      </c>
      <c r="BM141" s="80">
        <v>452</v>
      </c>
      <c r="BN141" s="79">
        <v>0</v>
      </c>
      <c r="BO141" s="79">
        <v>0</v>
      </c>
      <c r="BP141" s="79">
        <v>-14</v>
      </c>
      <c r="BQ141" s="79">
        <v>-9</v>
      </c>
      <c r="BR141" s="79">
        <v>-193</v>
      </c>
      <c r="BS141" s="79">
        <v>-93</v>
      </c>
      <c r="BT141" s="79">
        <v>0</v>
      </c>
      <c r="BU141" s="79">
        <v>-4</v>
      </c>
      <c r="BV141" s="79">
        <v>370</v>
      </c>
      <c r="BW141" s="79">
        <v>-354</v>
      </c>
      <c r="BX141" s="79">
        <v>0</v>
      </c>
      <c r="BY141" s="79">
        <v>1216</v>
      </c>
      <c r="BZ141" s="79">
        <v>6</v>
      </c>
      <c r="CA141" s="79">
        <v>78</v>
      </c>
      <c r="CB141" s="79">
        <v>36</v>
      </c>
      <c r="CC141" s="79">
        <v>229</v>
      </c>
      <c r="CD141" s="79">
        <v>5</v>
      </c>
      <c r="CE141" s="79">
        <v>6</v>
      </c>
    </row>
    <row r="142" spans="1:83" s="58" customFormat="1" ht="15.6" customHeight="1" x14ac:dyDescent="0.25">
      <c r="A142" s="51">
        <v>17</v>
      </c>
      <c r="B142" s="52" t="s">
        <v>437</v>
      </c>
      <c r="C142" s="77" t="s">
        <v>124</v>
      </c>
      <c r="D142" s="53" t="s">
        <v>431</v>
      </c>
      <c r="E142" s="53" t="s">
        <v>109</v>
      </c>
      <c r="F142" s="53" t="s">
        <v>407</v>
      </c>
      <c r="G142" s="88">
        <v>27658736.09</v>
      </c>
      <c r="H142" s="88">
        <v>254331.77</v>
      </c>
      <c r="I142" s="88">
        <v>0</v>
      </c>
      <c r="J142" s="88">
        <v>0</v>
      </c>
      <c r="K142" s="89">
        <v>915.1</v>
      </c>
      <c r="L142" s="89">
        <v>27913982.960000001</v>
      </c>
      <c r="M142" s="89">
        <v>0</v>
      </c>
      <c r="N142" s="88">
        <v>8280523.6900000004</v>
      </c>
      <c r="O142" s="88">
        <v>2321068.42</v>
      </c>
      <c r="P142" s="90">
        <v>5428376</v>
      </c>
      <c r="Q142" s="88">
        <v>7559.81</v>
      </c>
      <c r="R142" s="88">
        <v>2080944.65</v>
      </c>
      <c r="S142" s="88">
        <v>5881350.1399999997</v>
      </c>
      <c r="T142" s="88">
        <v>1441026.71</v>
      </c>
      <c r="U142" s="88">
        <v>0</v>
      </c>
      <c r="V142" s="88">
        <v>0</v>
      </c>
      <c r="W142" s="88">
        <v>499467.76</v>
      </c>
      <c r="X142" s="89">
        <v>1960599.9000000001</v>
      </c>
      <c r="Y142" s="89">
        <v>27900917.079999998</v>
      </c>
      <c r="Z142" s="81">
        <v>1.9636673501784909E-2</v>
      </c>
      <c r="AA142" s="89">
        <v>1952825.79</v>
      </c>
      <c r="AB142" s="89">
        <v>0</v>
      </c>
      <c r="AC142" s="89">
        <v>0</v>
      </c>
      <c r="AD142" s="89">
        <v>915.1</v>
      </c>
      <c r="AE142" s="89">
        <v>86.49</v>
      </c>
      <c r="AF142" s="89">
        <f t="shared" si="30"/>
        <v>1001.59</v>
      </c>
      <c r="AG142" s="89">
        <v>1031372.23</v>
      </c>
      <c r="AH142" s="88">
        <v>88214.99</v>
      </c>
      <c r="AI142" s="88">
        <v>219912.42</v>
      </c>
      <c r="AJ142" s="89">
        <v>0</v>
      </c>
      <c r="AK142" s="88">
        <v>156218.03</v>
      </c>
      <c r="AL142" s="88">
        <v>2953.4</v>
      </c>
      <c r="AM142" s="88">
        <v>77855.94</v>
      </c>
      <c r="AN142" s="88">
        <v>9500</v>
      </c>
      <c r="AO142" s="88">
        <v>4960.8100000000004</v>
      </c>
      <c r="AP142" s="88">
        <v>0</v>
      </c>
      <c r="AQ142" s="88">
        <v>50405.11</v>
      </c>
      <c r="AR142" s="88">
        <v>26631.82</v>
      </c>
      <c r="AS142" s="88">
        <v>485</v>
      </c>
      <c r="AT142" s="88">
        <v>9270.1299999999992</v>
      </c>
      <c r="AU142" s="88">
        <v>0</v>
      </c>
      <c r="AV142" s="88">
        <v>91849.8</v>
      </c>
      <c r="AW142" s="88">
        <v>1769629.68</v>
      </c>
      <c r="AX142" s="88">
        <v>0</v>
      </c>
      <c r="AY142" s="81">
        <f t="shared" si="31"/>
        <v>0</v>
      </c>
      <c r="AZ142" s="89">
        <v>0</v>
      </c>
      <c r="BA142" s="81">
        <v>7.060430323517361E-2</v>
      </c>
      <c r="BB142" s="79">
        <v>343895.95</v>
      </c>
      <c r="BC142" s="79">
        <v>204223.85</v>
      </c>
      <c r="BD142" s="80">
        <v>219587</v>
      </c>
      <c r="BE142" s="80">
        <v>2.91038304567337E-11</v>
      </c>
      <c r="BF142" s="80">
        <v>337782.68</v>
      </c>
      <c r="BG142" s="80">
        <v>0</v>
      </c>
      <c r="BH142" s="80">
        <v>0</v>
      </c>
      <c r="BI142" s="80">
        <v>0</v>
      </c>
      <c r="BJ142" s="80">
        <f t="shared" si="32"/>
        <v>0</v>
      </c>
      <c r="BK142" s="80">
        <v>0</v>
      </c>
      <c r="BL142" s="80">
        <v>2303</v>
      </c>
      <c r="BM142" s="80">
        <v>949</v>
      </c>
      <c r="BN142" s="79">
        <v>0</v>
      </c>
      <c r="BO142" s="79">
        <v>0</v>
      </c>
      <c r="BP142" s="79">
        <v>-32</v>
      </c>
      <c r="BQ142" s="79">
        <v>-47</v>
      </c>
      <c r="BR142" s="79">
        <v>-340</v>
      </c>
      <c r="BS142" s="79">
        <v>-204</v>
      </c>
      <c r="BT142" s="79">
        <v>0</v>
      </c>
      <c r="BU142" s="79">
        <v>-11</v>
      </c>
      <c r="BV142" s="79">
        <v>0</v>
      </c>
      <c r="BW142" s="79">
        <v>-582</v>
      </c>
      <c r="BX142" s="79">
        <v>-1</v>
      </c>
      <c r="BY142" s="79">
        <v>2035</v>
      </c>
      <c r="BZ142" s="79">
        <v>0</v>
      </c>
      <c r="CA142" s="79">
        <v>149</v>
      </c>
      <c r="CB142" s="79">
        <v>74</v>
      </c>
      <c r="CC142" s="79">
        <v>339</v>
      </c>
      <c r="CD142" s="79">
        <v>21</v>
      </c>
      <c r="CE142" s="79">
        <v>0</v>
      </c>
    </row>
    <row r="143" spans="1:83" s="58" customFormat="1" ht="15.6" customHeight="1" x14ac:dyDescent="0.25">
      <c r="A143" s="51">
        <v>17</v>
      </c>
      <c r="B143" s="52" t="s">
        <v>438</v>
      </c>
      <c r="C143" s="77" t="s">
        <v>394</v>
      </c>
      <c r="D143" s="53" t="s">
        <v>439</v>
      </c>
      <c r="E143" s="54" t="s">
        <v>86</v>
      </c>
      <c r="F143" s="53" t="s">
        <v>440</v>
      </c>
      <c r="G143" s="88">
        <v>14204706.800000001</v>
      </c>
      <c r="H143" s="88">
        <v>0</v>
      </c>
      <c r="I143" s="88">
        <v>253129.46</v>
      </c>
      <c r="J143" s="88">
        <v>0</v>
      </c>
      <c r="K143" s="89">
        <v>0</v>
      </c>
      <c r="L143" s="89">
        <v>14457836.26</v>
      </c>
      <c r="M143" s="89">
        <v>0</v>
      </c>
      <c r="N143" s="88">
        <v>3602357.77</v>
      </c>
      <c r="O143" s="88">
        <v>839101.17</v>
      </c>
      <c r="P143" s="90">
        <v>1611116.92</v>
      </c>
      <c r="Q143" s="88">
        <v>0</v>
      </c>
      <c r="R143" s="88">
        <v>1141088.96</v>
      </c>
      <c r="S143" s="88">
        <v>3432222.93</v>
      </c>
      <c r="T143" s="88">
        <v>1955325.11</v>
      </c>
      <c r="U143" s="88">
        <v>0</v>
      </c>
      <c r="V143" s="88">
        <v>0</v>
      </c>
      <c r="W143" s="88">
        <v>717891.9</v>
      </c>
      <c r="X143" s="89">
        <v>1512315.06</v>
      </c>
      <c r="Y143" s="89">
        <v>14811419.82</v>
      </c>
      <c r="Z143" s="81">
        <v>0.17470666413191999</v>
      </c>
      <c r="AA143" s="89">
        <v>1420295.32</v>
      </c>
      <c r="AB143" s="89">
        <v>0</v>
      </c>
      <c r="AC143" s="89">
        <v>0</v>
      </c>
      <c r="AD143" s="89">
        <v>0</v>
      </c>
      <c r="AE143" s="89">
        <v>679.15</v>
      </c>
      <c r="AF143" s="89">
        <f t="shared" si="30"/>
        <v>679.15</v>
      </c>
      <c r="AG143" s="89">
        <v>716421.34</v>
      </c>
      <c r="AH143" s="88">
        <v>62415.63</v>
      </c>
      <c r="AI143" s="88">
        <v>113478.61</v>
      </c>
      <c r="AJ143" s="89">
        <v>0</v>
      </c>
      <c r="AK143" s="88">
        <v>82855.45</v>
      </c>
      <c r="AL143" s="88">
        <v>5250.29</v>
      </c>
      <c r="AM143" s="88">
        <v>43984.49</v>
      </c>
      <c r="AN143" s="88">
        <v>9600</v>
      </c>
      <c r="AO143" s="88">
        <v>11667.85</v>
      </c>
      <c r="AP143" s="88">
        <v>39856.53</v>
      </c>
      <c r="AQ143" s="88">
        <v>26795.77</v>
      </c>
      <c r="AR143" s="88">
        <v>12044.75</v>
      </c>
      <c r="AS143" s="88">
        <v>0</v>
      </c>
      <c r="AT143" s="88">
        <v>29830.83</v>
      </c>
      <c r="AU143" s="88">
        <v>0</v>
      </c>
      <c r="AV143" s="88">
        <v>73182.12000000001</v>
      </c>
      <c r="AW143" s="88">
        <v>1227383.6599999999</v>
      </c>
      <c r="AX143" s="88">
        <v>0</v>
      </c>
      <c r="AY143" s="81">
        <f t="shared" si="31"/>
        <v>0</v>
      </c>
      <c r="AZ143" s="89">
        <v>0</v>
      </c>
      <c r="BA143" s="81">
        <v>9.9987654796225706E-2</v>
      </c>
      <c r="BB143" s="79">
        <v>1211919.76</v>
      </c>
      <c r="BC143" s="79">
        <v>1269737.18</v>
      </c>
      <c r="BD143" s="80">
        <v>219587</v>
      </c>
      <c r="BE143" s="80">
        <v>2.91038304567337E-11</v>
      </c>
      <c r="BF143" s="80">
        <v>277538.5</v>
      </c>
      <c r="BG143" s="80">
        <v>0</v>
      </c>
      <c r="BH143" s="80">
        <v>0</v>
      </c>
      <c r="BI143" s="80">
        <v>0</v>
      </c>
      <c r="BJ143" s="80">
        <f t="shared" si="32"/>
        <v>0</v>
      </c>
      <c r="BK143" s="80">
        <v>0</v>
      </c>
      <c r="BL143" s="80">
        <v>1582</v>
      </c>
      <c r="BM143" s="80">
        <v>691</v>
      </c>
      <c r="BN143" s="79">
        <v>2</v>
      </c>
      <c r="BO143" s="79">
        <v>0</v>
      </c>
      <c r="BP143" s="79">
        <v>-43</v>
      </c>
      <c r="BQ143" s="79">
        <v>-24</v>
      </c>
      <c r="BR143" s="79">
        <v>-302</v>
      </c>
      <c r="BS143" s="79">
        <v>-103</v>
      </c>
      <c r="BT143" s="79">
        <v>0</v>
      </c>
      <c r="BU143" s="79">
        <v>-50</v>
      </c>
      <c r="BV143" s="79">
        <v>2</v>
      </c>
      <c r="BW143" s="79">
        <v>-320</v>
      </c>
      <c r="BX143" s="79">
        <v>-1</v>
      </c>
      <c r="BY143" s="79">
        <v>1434</v>
      </c>
      <c r="BZ143" s="79">
        <v>6</v>
      </c>
      <c r="CA143" s="79">
        <v>65</v>
      </c>
      <c r="CB143" s="79">
        <v>50</v>
      </c>
      <c r="CC143" s="79">
        <v>192</v>
      </c>
      <c r="CD143" s="79">
        <v>8</v>
      </c>
      <c r="CE143" s="79">
        <v>5</v>
      </c>
    </row>
    <row r="144" spans="1:83" s="58" customFormat="1" ht="15.6" customHeight="1" x14ac:dyDescent="0.25">
      <c r="A144" s="51">
        <v>17</v>
      </c>
      <c r="B144" s="52" t="s">
        <v>357</v>
      </c>
      <c r="C144" s="77" t="s">
        <v>111</v>
      </c>
      <c r="D144" s="47" t="s">
        <v>441</v>
      </c>
      <c r="E144" s="47" t="s">
        <v>109</v>
      </c>
      <c r="F144" s="53" t="s">
        <v>407</v>
      </c>
      <c r="G144" s="79">
        <v>22368562.949999999</v>
      </c>
      <c r="H144" s="79">
        <v>0</v>
      </c>
      <c r="I144" s="79">
        <v>465947.21</v>
      </c>
      <c r="J144" s="79">
        <v>0</v>
      </c>
      <c r="K144" s="80">
        <v>0</v>
      </c>
      <c r="L144" s="80">
        <v>22834510.16</v>
      </c>
      <c r="M144" s="80">
        <v>0</v>
      </c>
      <c r="N144" s="79">
        <v>6448011.1299999999</v>
      </c>
      <c r="O144" s="79">
        <v>1276338.1499999999</v>
      </c>
      <c r="P144" s="91">
        <v>4632422.79</v>
      </c>
      <c r="Q144" s="79">
        <v>67447.320000000007</v>
      </c>
      <c r="R144" s="79">
        <v>1485646.96</v>
      </c>
      <c r="S144" s="79">
        <v>5619252.0099999998</v>
      </c>
      <c r="T144" s="79">
        <v>1304546.6000000001</v>
      </c>
      <c r="U144" s="79">
        <v>0</v>
      </c>
      <c r="V144" s="79">
        <v>0</v>
      </c>
      <c r="W144" s="79">
        <v>895620.12</v>
      </c>
      <c r="X144" s="80">
        <v>1692485.21</v>
      </c>
      <c r="Y144" s="80">
        <v>23421770.289999999</v>
      </c>
      <c r="Z144" s="81">
        <v>7.130258897565836E-2</v>
      </c>
      <c r="AA144" s="80">
        <v>1677669.01</v>
      </c>
      <c r="AB144" s="80">
        <v>0</v>
      </c>
      <c r="AC144" s="80">
        <v>0</v>
      </c>
      <c r="AD144" s="80">
        <v>0</v>
      </c>
      <c r="AE144" s="80">
        <v>0</v>
      </c>
      <c r="AF144" s="80">
        <f t="shared" si="30"/>
        <v>0</v>
      </c>
      <c r="AG144" s="80">
        <v>831415.25</v>
      </c>
      <c r="AH144" s="79">
        <v>72325.3</v>
      </c>
      <c r="AI144" s="79">
        <v>184312.17</v>
      </c>
      <c r="AJ144" s="80">
        <v>0</v>
      </c>
      <c r="AK144" s="79">
        <v>136539.09</v>
      </c>
      <c r="AL144" s="79">
        <v>6051.87</v>
      </c>
      <c r="AM144" s="79">
        <v>98730.01</v>
      </c>
      <c r="AN144" s="79">
        <v>8800</v>
      </c>
      <c r="AO144" s="79">
        <v>650</v>
      </c>
      <c r="AP144" s="79">
        <v>0</v>
      </c>
      <c r="AQ144" s="79">
        <v>30346.93</v>
      </c>
      <c r="AR144" s="79">
        <v>12378.49</v>
      </c>
      <c r="AS144" s="79">
        <v>0</v>
      </c>
      <c r="AT144" s="79">
        <v>7450.13</v>
      </c>
      <c r="AU144" s="79">
        <v>2448.59</v>
      </c>
      <c r="AV144" s="79">
        <v>105721.95</v>
      </c>
      <c r="AW144" s="79">
        <v>1497169.78</v>
      </c>
      <c r="AX144" s="79">
        <v>0</v>
      </c>
      <c r="AY144" s="81">
        <f t="shared" si="31"/>
        <v>0</v>
      </c>
      <c r="AZ144" s="80">
        <v>0</v>
      </c>
      <c r="BA144" s="81">
        <v>7.5001197607108688E-2</v>
      </c>
      <c r="BB144" s="79">
        <v>206274.2</v>
      </c>
      <c r="BC144" s="79">
        <v>1388662.25</v>
      </c>
      <c r="BD144" s="80">
        <v>219587</v>
      </c>
      <c r="BE144" s="80">
        <v>0</v>
      </c>
      <c r="BF144" s="80">
        <v>291301.28999999998</v>
      </c>
      <c r="BG144" s="80">
        <v>0</v>
      </c>
      <c r="BH144" s="80">
        <v>0</v>
      </c>
      <c r="BI144" s="80">
        <v>0</v>
      </c>
      <c r="BJ144" s="80">
        <f t="shared" si="32"/>
        <v>0</v>
      </c>
      <c r="BK144" s="80">
        <v>0</v>
      </c>
      <c r="BL144" s="80">
        <v>1796</v>
      </c>
      <c r="BM144" s="80">
        <v>857</v>
      </c>
      <c r="BN144" s="79">
        <v>1</v>
      </c>
      <c r="BO144" s="79">
        <v>-1</v>
      </c>
      <c r="BP144" s="79">
        <v>-20</v>
      </c>
      <c r="BQ144" s="79">
        <v>-16</v>
      </c>
      <c r="BR144" s="79">
        <v>-342</v>
      </c>
      <c r="BS144" s="79">
        <v>-172</v>
      </c>
      <c r="BT144" s="79">
        <v>1</v>
      </c>
      <c r="BU144" s="79">
        <v>0</v>
      </c>
      <c r="BV144" s="79">
        <v>12</v>
      </c>
      <c r="BW144" s="79">
        <v>-409</v>
      </c>
      <c r="BX144" s="79">
        <v>0</v>
      </c>
      <c r="BY144" s="79">
        <v>1707</v>
      </c>
      <c r="BZ144" s="79">
        <v>1</v>
      </c>
      <c r="CA144" s="79">
        <v>155</v>
      </c>
      <c r="CB144" s="79">
        <v>31</v>
      </c>
      <c r="CC144" s="79">
        <v>184</v>
      </c>
      <c r="CD144" s="79">
        <v>25</v>
      </c>
      <c r="CE144" s="79">
        <v>3</v>
      </c>
    </row>
    <row r="145" spans="1:83" s="58" customFormat="1" ht="15.6" customHeight="1" x14ac:dyDescent="0.25">
      <c r="A145" s="51">
        <v>17</v>
      </c>
      <c r="B145" s="52" t="s">
        <v>442</v>
      </c>
      <c r="C145" s="77" t="s">
        <v>148</v>
      </c>
      <c r="D145" s="53" t="s">
        <v>443</v>
      </c>
      <c r="E145" s="54" t="s">
        <v>86</v>
      </c>
      <c r="F145" s="53" t="s">
        <v>440</v>
      </c>
      <c r="G145" s="88">
        <v>8194681.1399999997</v>
      </c>
      <c r="H145" s="88">
        <v>0</v>
      </c>
      <c r="I145" s="88">
        <v>0</v>
      </c>
      <c r="J145" s="88">
        <v>0</v>
      </c>
      <c r="K145" s="89">
        <v>0</v>
      </c>
      <c r="L145" s="89">
        <v>8194681.1399999997</v>
      </c>
      <c r="M145" s="89">
        <v>0</v>
      </c>
      <c r="N145" s="88">
        <v>811012.38</v>
      </c>
      <c r="O145" s="88">
        <v>602710.36</v>
      </c>
      <c r="P145" s="90">
        <v>701325.34</v>
      </c>
      <c r="Q145" s="88">
        <v>0</v>
      </c>
      <c r="R145" s="88">
        <v>886066.38</v>
      </c>
      <c r="S145" s="88">
        <v>3706335.94</v>
      </c>
      <c r="T145" s="88">
        <v>864998.48</v>
      </c>
      <c r="U145" s="88">
        <v>0</v>
      </c>
      <c r="V145" s="88">
        <v>0</v>
      </c>
      <c r="W145" s="88">
        <v>149350.69</v>
      </c>
      <c r="X145" s="89">
        <v>734318</v>
      </c>
      <c r="Y145" s="89">
        <v>8456117.5700000003</v>
      </c>
      <c r="Z145" s="81">
        <v>6.37099371019577E-2</v>
      </c>
      <c r="AA145" s="89">
        <v>727627.44</v>
      </c>
      <c r="AB145" s="89">
        <v>0</v>
      </c>
      <c r="AC145" s="89">
        <v>0</v>
      </c>
      <c r="AD145" s="89">
        <v>0</v>
      </c>
      <c r="AE145" s="89">
        <v>0</v>
      </c>
      <c r="AF145" s="89">
        <f t="shared" si="30"/>
        <v>0</v>
      </c>
      <c r="AG145" s="89">
        <v>288152.08</v>
      </c>
      <c r="AH145" s="88">
        <v>22253.65</v>
      </c>
      <c r="AI145" s="88">
        <v>50308.77</v>
      </c>
      <c r="AJ145" s="89">
        <v>0</v>
      </c>
      <c r="AK145" s="88">
        <v>32721.58</v>
      </c>
      <c r="AL145" s="88">
        <v>0</v>
      </c>
      <c r="AM145" s="88">
        <v>33748.400000000001</v>
      </c>
      <c r="AN145" s="88">
        <v>7400</v>
      </c>
      <c r="AO145" s="88">
        <v>7800</v>
      </c>
      <c r="AP145" s="88">
        <v>5500</v>
      </c>
      <c r="AQ145" s="88">
        <v>16697.16</v>
      </c>
      <c r="AR145" s="88">
        <v>155</v>
      </c>
      <c r="AS145" s="88">
        <v>0</v>
      </c>
      <c r="AT145" s="88">
        <v>634.6</v>
      </c>
      <c r="AU145" s="88">
        <v>8502.9500000000007</v>
      </c>
      <c r="AV145" s="88">
        <v>40932.6</v>
      </c>
      <c r="AW145" s="88">
        <v>514806.79</v>
      </c>
      <c r="AX145" s="88">
        <v>0</v>
      </c>
      <c r="AY145" s="81">
        <f t="shared" si="31"/>
        <v>0</v>
      </c>
      <c r="AZ145" s="89">
        <v>0</v>
      </c>
      <c r="BA145" s="81">
        <v>8.8792648251839121E-2</v>
      </c>
      <c r="BB145" s="79">
        <v>238952.13</v>
      </c>
      <c r="BC145" s="79">
        <v>283130.49</v>
      </c>
      <c r="BD145" s="80">
        <v>219587</v>
      </c>
      <c r="BE145" s="80">
        <v>0</v>
      </c>
      <c r="BF145" s="80">
        <v>107747.92</v>
      </c>
      <c r="BG145" s="80">
        <v>0</v>
      </c>
      <c r="BH145" s="80">
        <v>0</v>
      </c>
      <c r="BI145" s="80">
        <v>0</v>
      </c>
      <c r="BJ145" s="80">
        <f t="shared" si="32"/>
        <v>0</v>
      </c>
      <c r="BK145" s="80">
        <v>0</v>
      </c>
      <c r="BL145" s="80">
        <v>1141</v>
      </c>
      <c r="BM145" s="80">
        <v>292</v>
      </c>
      <c r="BN145" s="79">
        <v>9</v>
      </c>
      <c r="BO145" s="79">
        <v>0</v>
      </c>
      <c r="BP145" s="79">
        <v>-16</v>
      </c>
      <c r="BQ145" s="79">
        <v>-22</v>
      </c>
      <c r="BR145" s="79">
        <v>-50</v>
      </c>
      <c r="BS145" s="79">
        <v>-59</v>
      </c>
      <c r="BT145" s="79">
        <v>0</v>
      </c>
      <c r="BU145" s="79">
        <v>-2</v>
      </c>
      <c r="BV145" s="79">
        <v>11</v>
      </c>
      <c r="BW145" s="79">
        <v>-283</v>
      </c>
      <c r="BX145" s="79">
        <v>0</v>
      </c>
      <c r="BY145" s="79">
        <v>1021</v>
      </c>
      <c r="BZ145" s="79">
        <v>0</v>
      </c>
      <c r="CA145" s="79">
        <v>91</v>
      </c>
      <c r="CB145" s="79">
        <v>34</v>
      </c>
      <c r="CC145" s="79">
        <v>152</v>
      </c>
      <c r="CD145" s="79">
        <v>0</v>
      </c>
      <c r="CE145" s="79">
        <v>2</v>
      </c>
    </row>
    <row r="146" spans="1:83" s="58" customFormat="1" ht="15.6" customHeight="1" x14ac:dyDescent="0.25">
      <c r="A146" s="51">
        <v>17</v>
      </c>
      <c r="B146" s="52" t="s">
        <v>444</v>
      </c>
      <c r="C146" s="77" t="s">
        <v>445</v>
      </c>
      <c r="D146" s="53" t="s">
        <v>439</v>
      </c>
      <c r="E146" s="54" t="s">
        <v>86</v>
      </c>
      <c r="F146" s="53" t="s">
        <v>440</v>
      </c>
      <c r="G146" s="88">
        <v>15520237.449999999</v>
      </c>
      <c r="H146" s="88">
        <v>0</v>
      </c>
      <c r="I146" s="88">
        <v>198061.5</v>
      </c>
      <c r="J146" s="88">
        <v>0</v>
      </c>
      <c r="K146" s="89">
        <v>0</v>
      </c>
      <c r="L146" s="89">
        <v>15718298.949999999</v>
      </c>
      <c r="M146" s="89">
        <v>0</v>
      </c>
      <c r="N146" s="88">
        <v>3795278.72</v>
      </c>
      <c r="O146" s="88">
        <v>304499.7</v>
      </c>
      <c r="P146" s="90">
        <v>2980419.09</v>
      </c>
      <c r="Q146" s="88">
        <v>0</v>
      </c>
      <c r="R146" s="88">
        <v>1076565.79</v>
      </c>
      <c r="S146" s="88">
        <v>3556795.34</v>
      </c>
      <c r="T146" s="88">
        <v>2127749.7400000002</v>
      </c>
      <c r="U146" s="88">
        <v>0</v>
      </c>
      <c r="V146" s="88">
        <v>0</v>
      </c>
      <c r="W146" s="88">
        <v>837218.73</v>
      </c>
      <c r="X146" s="89">
        <v>1506269.73</v>
      </c>
      <c r="Y146" s="89">
        <v>16184796.84</v>
      </c>
      <c r="Z146" s="81">
        <v>0.22584648406909524</v>
      </c>
      <c r="AA146" s="89">
        <v>1501139.27</v>
      </c>
      <c r="AB146" s="89">
        <v>0</v>
      </c>
      <c r="AC146" s="89">
        <v>0</v>
      </c>
      <c r="AD146" s="89">
        <v>0</v>
      </c>
      <c r="AE146" s="89">
        <v>726.68</v>
      </c>
      <c r="AF146" s="89">
        <f t="shared" si="30"/>
        <v>726.68</v>
      </c>
      <c r="AG146" s="89">
        <v>694426.25</v>
      </c>
      <c r="AH146" s="88">
        <v>63706.86</v>
      </c>
      <c r="AI146" s="88">
        <v>143950.04</v>
      </c>
      <c r="AJ146" s="89">
        <v>0</v>
      </c>
      <c r="AK146" s="88">
        <v>84936.960000000006</v>
      </c>
      <c r="AL146" s="88">
        <v>4775.03</v>
      </c>
      <c r="AM146" s="88">
        <v>123944.18</v>
      </c>
      <c r="AN146" s="88">
        <v>9600</v>
      </c>
      <c r="AO146" s="88">
        <v>36411.300000000003</v>
      </c>
      <c r="AP146" s="88">
        <v>5000</v>
      </c>
      <c r="AQ146" s="88">
        <v>42043.040000000001</v>
      </c>
      <c r="AR146" s="88">
        <v>23535.09</v>
      </c>
      <c r="AS146" s="88">
        <v>0</v>
      </c>
      <c r="AT146" s="88">
        <v>17808.560000000001</v>
      </c>
      <c r="AU146" s="88">
        <v>0</v>
      </c>
      <c r="AV146" s="88">
        <v>68188.820000000007</v>
      </c>
      <c r="AW146" s="88">
        <v>1318326.1299999999</v>
      </c>
      <c r="AX146" s="88">
        <v>0</v>
      </c>
      <c r="AY146" s="81">
        <f t="shared" si="31"/>
        <v>0</v>
      </c>
      <c r="AZ146" s="89">
        <v>0</v>
      </c>
      <c r="BA146" s="81">
        <v>9.672141130804672E-2</v>
      </c>
      <c r="BB146" s="79">
        <v>1721744.41</v>
      </c>
      <c r="BC146" s="79">
        <v>1783446.65</v>
      </c>
      <c r="BD146" s="80">
        <v>219587</v>
      </c>
      <c r="BE146" s="80">
        <v>0</v>
      </c>
      <c r="BF146" s="80">
        <v>278319.34999999998</v>
      </c>
      <c r="BG146" s="80">
        <v>0</v>
      </c>
      <c r="BH146" s="80">
        <v>0</v>
      </c>
      <c r="BI146" s="80">
        <v>0</v>
      </c>
      <c r="BJ146" s="80">
        <f t="shared" si="32"/>
        <v>0</v>
      </c>
      <c r="BK146" s="80">
        <v>0</v>
      </c>
      <c r="BL146" s="80">
        <v>1647</v>
      </c>
      <c r="BM146" s="80">
        <v>643</v>
      </c>
      <c r="BN146" s="79">
        <v>0</v>
      </c>
      <c r="BO146" s="79">
        <v>-1</v>
      </c>
      <c r="BP146" s="79">
        <v>-30</v>
      </c>
      <c r="BQ146" s="79">
        <v>-15</v>
      </c>
      <c r="BR146" s="79">
        <v>-264</v>
      </c>
      <c r="BS146" s="79">
        <v>-122</v>
      </c>
      <c r="BT146" s="79">
        <v>55</v>
      </c>
      <c r="BU146" s="79">
        <v>-48</v>
      </c>
      <c r="BV146" s="79">
        <v>54</v>
      </c>
      <c r="BW146" s="79">
        <v>-313</v>
      </c>
      <c r="BX146" s="79">
        <v>-3</v>
      </c>
      <c r="BY146" s="79">
        <v>1603</v>
      </c>
      <c r="BZ146" s="79">
        <v>2</v>
      </c>
      <c r="CA146" s="79">
        <v>77</v>
      </c>
      <c r="CB146" s="79">
        <v>21</v>
      </c>
      <c r="CC146" s="79">
        <v>210</v>
      </c>
      <c r="CD146" s="79">
        <v>2</v>
      </c>
      <c r="CE146" s="79">
        <v>3</v>
      </c>
    </row>
    <row r="147" spans="1:83" s="58" customFormat="1" ht="15.6" customHeight="1" x14ac:dyDescent="0.25">
      <c r="A147" s="43">
        <v>18</v>
      </c>
      <c r="B147" s="59" t="s">
        <v>446</v>
      </c>
      <c r="C147" s="77" t="s">
        <v>447</v>
      </c>
      <c r="D147" s="50" t="s">
        <v>448</v>
      </c>
      <c r="E147" s="50" t="s">
        <v>109</v>
      </c>
      <c r="F147" s="50" t="s">
        <v>190</v>
      </c>
      <c r="G147" s="88">
        <v>21461564.960000001</v>
      </c>
      <c r="H147" s="88">
        <v>2458</v>
      </c>
      <c r="I147" s="88">
        <v>609392</v>
      </c>
      <c r="J147" s="88">
        <v>0</v>
      </c>
      <c r="K147" s="89">
        <v>0</v>
      </c>
      <c r="L147" s="89">
        <v>22073414.960000001</v>
      </c>
      <c r="M147" s="89">
        <v>0</v>
      </c>
      <c r="N147" s="88">
        <v>5037201.76</v>
      </c>
      <c r="O147" s="88">
        <v>1302586.81</v>
      </c>
      <c r="P147" s="90">
        <v>5684865.46</v>
      </c>
      <c r="Q147" s="88">
        <v>47386.46</v>
      </c>
      <c r="R147" s="88">
        <v>1050142.22</v>
      </c>
      <c r="S147" s="88">
        <v>4613676.5599999996</v>
      </c>
      <c r="T147" s="88">
        <v>1948397.99</v>
      </c>
      <c r="U147" s="88">
        <v>0</v>
      </c>
      <c r="V147" s="88">
        <v>0</v>
      </c>
      <c r="W147" s="88">
        <v>677803.8</v>
      </c>
      <c r="X147" s="89">
        <v>1806163.18</v>
      </c>
      <c r="Y147" s="89">
        <v>22168224.239999998</v>
      </c>
      <c r="Z147" s="81">
        <v>7.6705178384695497E-2</v>
      </c>
      <c r="AA147" s="89">
        <v>1806163.18</v>
      </c>
      <c r="AB147" s="89">
        <v>0</v>
      </c>
      <c r="AC147" s="89">
        <v>0</v>
      </c>
      <c r="AD147" s="89">
        <v>0</v>
      </c>
      <c r="AE147" s="89">
        <v>0</v>
      </c>
      <c r="AF147" s="89">
        <f t="shared" si="30"/>
        <v>0</v>
      </c>
      <c r="AG147" s="89">
        <v>869350.7</v>
      </c>
      <c r="AH147" s="88">
        <v>80334.429999999993</v>
      </c>
      <c r="AI147" s="88">
        <v>175986.83</v>
      </c>
      <c r="AJ147" s="89">
        <v>0</v>
      </c>
      <c r="AK147" s="88">
        <v>126512.46</v>
      </c>
      <c r="AL147" s="88">
        <v>0</v>
      </c>
      <c r="AM147" s="88">
        <v>86910.65</v>
      </c>
      <c r="AN147" s="88">
        <v>12850</v>
      </c>
      <c r="AO147" s="88">
        <v>0</v>
      </c>
      <c r="AP147" s="88">
        <v>15186.58</v>
      </c>
      <c r="AQ147" s="88">
        <v>39361</v>
      </c>
      <c r="AR147" s="88">
        <v>26760.1</v>
      </c>
      <c r="AS147" s="88">
        <v>0</v>
      </c>
      <c r="AT147" s="88">
        <v>24220.51</v>
      </c>
      <c r="AU147" s="88">
        <v>26491.53</v>
      </c>
      <c r="AV147" s="88">
        <v>92268.94</v>
      </c>
      <c r="AW147" s="88">
        <v>1576233.73</v>
      </c>
      <c r="AX147" s="88">
        <v>0</v>
      </c>
      <c r="AY147" s="81">
        <f t="shared" si="31"/>
        <v>0</v>
      </c>
      <c r="AZ147" s="89">
        <v>0</v>
      </c>
      <c r="BA147" s="81">
        <v>8.4158037094047955E-2</v>
      </c>
      <c r="BB147" s="79">
        <v>462414.88</v>
      </c>
      <c r="BC147" s="79">
        <v>1183986.83</v>
      </c>
      <c r="BD147" s="80">
        <v>219587</v>
      </c>
      <c r="BE147" s="80">
        <v>0</v>
      </c>
      <c r="BF147" s="80">
        <v>377595.37999999902</v>
      </c>
      <c r="BG147" s="80">
        <v>0</v>
      </c>
      <c r="BH147" s="80">
        <v>0</v>
      </c>
      <c r="BI147" s="80">
        <v>0</v>
      </c>
      <c r="BJ147" s="80">
        <f t="shared" si="32"/>
        <v>0</v>
      </c>
      <c r="BK147" s="80">
        <v>0</v>
      </c>
      <c r="BL147" s="80">
        <v>2539</v>
      </c>
      <c r="BM147" s="80">
        <v>766</v>
      </c>
      <c r="BN147" s="79">
        <v>5</v>
      </c>
      <c r="BO147" s="79">
        <v>0</v>
      </c>
      <c r="BP147" s="79">
        <v>-14</v>
      </c>
      <c r="BQ147" s="79">
        <v>-60</v>
      </c>
      <c r="BR147" s="79">
        <v>-89</v>
      </c>
      <c r="BS147" s="79">
        <v>-214</v>
      </c>
      <c r="BT147" s="79">
        <v>9</v>
      </c>
      <c r="BU147" s="79">
        <v>0</v>
      </c>
      <c r="BV147" s="79">
        <v>15</v>
      </c>
      <c r="BW147" s="79">
        <v>-579</v>
      </c>
      <c r="BX147" s="79">
        <v>-6</v>
      </c>
      <c r="BY147" s="79">
        <v>2372</v>
      </c>
      <c r="BZ147" s="79">
        <v>0</v>
      </c>
      <c r="CA147" s="79">
        <v>123</v>
      </c>
      <c r="CB147" s="79">
        <v>37</v>
      </c>
      <c r="CC147" s="79">
        <v>403</v>
      </c>
      <c r="CD147" s="79">
        <v>10</v>
      </c>
      <c r="CE147" s="79">
        <v>5</v>
      </c>
    </row>
    <row r="148" spans="1:83" s="58" customFormat="1" ht="15.6" customHeight="1" x14ac:dyDescent="0.25">
      <c r="A148" s="51">
        <v>18</v>
      </c>
      <c r="B148" s="52" t="s">
        <v>451</v>
      </c>
      <c r="C148" s="77" t="s">
        <v>241</v>
      </c>
      <c r="D148" s="50" t="s">
        <v>452</v>
      </c>
      <c r="E148" s="41" t="s">
        <v>86</v>
      </c>
      <c r="F148" s="50" t="s">
        <v>453</v>
      </c>
      <c r="G148" s="89">
        <v>3868814.4</v>
      </c>
      <c r="H148" s="89">
        <v>0</v>
      </c>
      <c r="I148" s="89">
        <v>28504.78</v>
      </c>
      <c r="J148" s="89">
        <v>38180.69</v>
      </c>
      <c r="K148" s="89">
        <v>0</v>
      </c>
      <c r="L148" s="89">
        <v>3935499.87</v>
      </c>
      <c r="M148" s="89">
        <v>381807</v>
      </c>
      <c r="N148" s="89">
        <v>13800.09</v>
      </c>
      <c r="O148" s="89">
        <v>528316.51</v>
      </c>
      <c r="P148" s="89">
        <v>597448.26</v>
      </c>
      <c r="Q148" s="89">
        <v>0</v>
      </c>
      <c r="R148" s="89">
        <v>317742.49</v>
      </c>
      <c r="S148" s="89">
        <v>1507168.67</v>
      </c>
      <c r="T148" s="89">
        <v>447073</v>
      </c>
      <c r="U148" s="89">
        <v>0</v>
      </c>
      <c r="V148" s="89">
        <v>0</v>
      </c>
      <c r="W148" s="89">
        <v>57248.07</v>
      </c>
      <c r="X148" s="89">
        <v>448210.11000000004</v>
      </c>
      <c r="Y148" s="89">
        <v>3917007.2</v>
      </c>
      <c r="Z148" s="81">
        <v>5.1026451411057876E-2</v>
      </c>
      <c r="AA148" s="89">
        <v>425063.21</v>
      </c>
      <c r="AB148" s="89">
        <v>0</v>
      </c>
      <c r="AC148" s="89">
        <v>0</v>
      </c>
      <c r="AD148" s="89">
        <v>0</v>
      </c>
      <c r="AE148" s="89">
        <v>0</v>
      </c>
      <c r="AF148" s="89">
        <f t="shared" si="30"/>
        <v>0</v>
      </c>
      <c r="AG148" s="89">
        <v>95106.63</v>
      </c>
      <c r="AH148" s="89">
        <v>7507.99</v>
      </c>
      <c r="AI148" s="89">
        <v>31537.51</v>
      </c>
      <c r="AJ148" s="89">
        <v>0</v>
      </c>
      <c r="AK148" s="89">
        <v>31564.36</v>
      </c>
      <c r="AL148" s="89">
        <v>0</v>
      </c>
      <c r="AM148" s="89">
        <v>13905.32</v>
      </c>
      <c r="AN148" s="89">
        <v>7230</v>
      </c>
      <c r="AO148" s="89">
        <v>0</v>
      </c>
      <c r="AP148" s="89">
        <v>0</v>
      </c>
      <c r="AQ148" s="89">
        <v>9765</v>
      </c>
      <c r="AR148" s="89">
        <v>3679.1</v>
      </c>
      <c r="AS148" s="89">
        <v>0</v>
      </c>
      <c r="AT148" s="89">
        <v>0</v>
      </c>
      <c r="AU148" s="89">
        <v>4800</v>
      </c>
      <c r="AV148" s="89">
        <v>38406.769999999997</v>
      </c>
      <c r="AW148" s="89">
        <v>243502.68</v>
      </c>
      <c r="AX148" s="89">
        <v>0</v>
      </c>
      <c r="AY148" s="81">
        <f t="shared" si="31"/>
        <v>0</v>
      </c>
      <c r="AZ148" s="89">
        <v>0</v>
      </c>
      <c r="BA148" s="81">
        <v>0.10000025572732577</v>
      </c>
      <c r="BB148" s="80">
        <v>92029.63</v>
      </c>
      <c r="BC148" s="80">
        <v>105382.24</v>
      </c>
      <c r="BD148" s="80">
        <v>193678.86</v>
      </c>
      <c r="BE148" s="80">
        <v>0</v>
      </c>
      <c r="BF148" s="80">
        <v>25000</v>
      </c>
      <c r="BG148" s="80">
        <v>0</v>
      </c>
      <c r="BH148" s="80">
        <v>0</v>
      </c>
      <c r="BI148" s="80">
        <v>0</v>
      </c>
      <c r="BJ148" s="80">
        <f t="shared" si="32"/>
        <v>0</v>
      </c>
      <c r="BK148" s="80">
        <v>0</v>
      </c>
      <c r="BL148" s="80">
        <v>533</v>
      </c>
      <c r="BM148" s="80">
        <v>203</v>
      </c>
      <c r="BN148" s="80">
        <v>2</v>
      </c>
      <c r="BO148" s="80">
        <v>-1</v>
      </c>
      <c r="BP148" s="80">
        <v>-25</v>
      </c>
      <c r="BQ148" s="80">
        <v>-18</v>
      </c>
      <c r="BR148" s="80">
        <v>-39</v>
      </c>
      <c r="BS148" s="80">
        <v>-27</v>
      </c>
      <c r="BT148" s="80">
        <v>0</v>
      </c>
      <c r="BU148" s="80">
        <v>-1</v>
      </c>
      <c r="BV148" s="80">
        <v>0</v>
      </c>
      <c r="BW148" s="80">
        <v>-107</v>
      </c>
      <c r="BX148" s="80">
        <v>0</v>
      </c>
      <c r="BY148" s="80">
        <v>520</v>
      </c>
      <c r="BZ148" s="80">
        <v>0</v>
      </c>
      <c r="CA148" s="80">
        <v>28</v>
      </c>
      <c r="CB148" s="80">
        <v>10</v>
      </c>
      <c r="CC148" s="80">
        <v>70</v>
      </c>
      <c r="CD148" s="80">
        <v>0</v>
      </c>
      <c r="CE148" s="80">
        <v>0</v>
      </c>
    </row>
    <row r="149" spans="1:83" s="58" customFormat="1" ht="15.6" customHeight="1" x14ac:dyDescent="0.25">
      <c r="A149" s="51">
        <v>18</v>
      </c>
      <c r="B149" s="52" t="s">
        <v>454</v>
      </c>
      <c r="C149" s="77" t="s">
        <v>455</v>
      </c>
      <c r="D149" s="50" t="s">
        <v>456</v>
      </c>
      <c r="E149" s="50" t="s">
        <v>116</v>
      </c>
      <c r="F149" s="50" t="s">
        <v>190</v>
      </c>
      <c r="G149" s="89">
        <v>69444124.459999993</v>
      </c>
      <c r="H149" s="89">
        <v>0</v>
      </c>
      <c r="I149" s="89">
        <v>3214054.11</v>
      </c>
      <c r="J149" s="89">
        <v>0</v>
      </c>
      <c r="K149" s="80">
        <v>-412399.57</v>
      </c>
      <c r="L149" s="89">
        <v>72245779</v>
      </c>
      <c r="M149" s="89">
        <v>0</v>
      </c>
      <c r="N149" s="89">
        <v>24240014.309999999</v>
      </c>
      <c r="O149" s="89">
        <v>4761605.17</v>
      </c>
      <c r="P149" s="89">
        <v>13194337.07</v>
      </c>
      <c r="Q149" s="89">
        <v>275581.53999999998</v>
      </c>
      <c r="R149" s="89">
        <v>3673298.86</v>
      </c>
      <c r="S149" s="89">
        <v>15199735.550000001</v>
      </c>
      <c r="T149" s="89">
        <v>3651039.1</v>
      </c>
      <c r="U149" s="89">
        <v>0</v>
      </c>
      <c r="V149" s="89">
        <v>0</v>
      </c>
      <c r="W149" s="89">
        <v>3470684.25</v>
      </c>
      <c r="X149" s="89">
        <v>4355284</v>
      </c>
      <c r="Y149" s="89">
        <v>72821579.849999994</v>
      </c>
      <c r="Z149" s="81">
        <v>1.9342166820372066E-2</v>
      </c>
      <c r="AA149" s="89">
        <v>4041800.28</v>
      </c>
      <c r="AB149" s="89">
        <v>0</v>
      </c>
      <c r="AC149" s="89">
        <v>0</v>
      </c>
      <c r="AD149" s="89">
        <v>0</v>
      </c>
      <c r="AE149" s="89">
        <v>543.98</v>
      </c>
      <c r="AF149" s="89">
        <f t="shared" si="30"/>
        <v>543.98</v>
      </c>
      <c r="AG149" s="89">
        <v>1997345.47</v>
      </c>
      <c r="AH149" s="89">
        <v>162054.44</v>
      </c>
      <c r="AI149" s="89">
        <v>463493.64</v>
      </c>
      <c r="AJ149" s="89">
        <v>0</v>
      </c>
      <c r="AK149" s="89">
        <v>430623.51</v>
      </c>
      <c r="AL149" s="89">
        <v>31165.07</v>
      </c>
      <c r="AM149" s="89">
        <v>157677.28</v>
      </c>
      <c r="AN149" s="89">
        <v>13900</v>
      </c>
      <c r="AO149" s="89">
        <v>0</v>
      </c>
      <c r="AP149" s="89">
        <v>0</v>
      </c>
      <c r="AQ149" s="89">
        <v>114124.41</v>
      </c>
      <c r="AR149" s="89">
        <v>33432.800000000003</v>
      </c>
      <c r="AS149" s="89">
        <v>0</v>
      </c>
      <c r="AT149" s="89">
        <v>20748.68</v>
      </c>
      <c r="AU149" s="89">
        <v>35029.050000000003</v>
      </c>
      <c r="AV149" s="89">
        <v>214742.96</v>
      </c>
      <c r="AW149" s="89">
        <v>3674337.31</v>
      </c>
      <c r="AX149" s="89">
        <v>0</v>
      </c>
      <c r="AY149" s="81">
        <f t="shared" si="31"/>
        <v>0</v>
      </c>
      <c r="AZ149" s="89">
        <v>757.39</v>
      </c>
      <c r="BA149" s="81">
        <v>5.8202192214664439E-2</v>
      </c>
      <c r="BB149" s="80">
        <v>280644.3</v>
      </c>
      <c r="BC149" s="80">
        <v>1062555.54</v>
      </c>
      <c r="BD149" s="80">
        <v>219587</v>
      </c>
      <c r="BE149" s="80">
        <v>5.8207660913467401E-11</v>
      </c>
      <c r="BF149" s="80">
        <v>776289.43999999901</v>
      </c>
      <c r="BG149" s="80">
        <v>0</v>
      </c>
      <c r="BH149" s="80">
        <v>0</v>
      </c>
      <c r="BI149" s="80">
        <v>0</v>
      </c>
      <c r="BJ149" s="80">
        <f t="shared" si="32"/>
        <v>0</v>
      </c>
      <c r="BK149" s="80">
        <v>0</v>
      </c>
      <c r="BL149" s="80">
        <v>5439</v>
      </c>
      <c r="BM149" s="80">
        <v>1618</v>
      </c>
      <c r="BN149" s="80">
        <v>0</v>
      </c>
      <c r="BO149" s="80">
        <v>0</v>
      </c>
      <c r="BP149" s="80">
        <v>-30</v>
      </c>
      <c r="BQ149" s="80">
        <v>-49</v>
      </c>
      <c r="BR149" s="80">
        <v>-434</v>
      </c>
      <c r="BS149" s="80">
        <v>-407</v>
      </c>
      <c r="BT149" s="80">
        <v>16</v>
      </c>
      <c r="BU149" s="80">
        <v>-3</v>
      </c>
      <c r="BV149" s="80">
        <v>-2</v>
      </c>
      <c r="BW149" s="80">
        <v>-1065</v>
      </c>
      <c r="BX149" s="80">
        <v>-9</v>
      </c>
      <c r="BY149" s="80">
        <v>5074</v>
      </c>
      <c r="BZ149" s="80">
        <v>12</v>
      </c>
      <c r="CA149" s="80">
        <v>329</v>
      </c>
      <c r="CB149" s="80">
        <v>102</v>
      </c>
      <c r="CC149" s="80">
        <v>526</v>
      </c>
      <c r="CD149" s="80">
        <v>105</v>
      </c>
      <c r="CE149" s="80">
        <v>14</v>
      </c>
    </row>
    <row r="150" spans="1:83" s="58" customFormat="1" ht="15.6" customHeight="1" x14ac:dyDescent="0.25">
      <c r="A150" s="43">
        <v>18</v>
      </c>
      <c r="B150" s="59" t="s">
        <v>457</v>
      </c>
      <c r="C150" s="78" t="s">
        <v>458</v>
      </c>
      <c r="D150" s="50" t="s">
        <v>459</v>
      </c>
      <c r="E150" s="41" t="s">
        <v>86</v>
      </c>
      <c r="F150" s="50" t="s">
        <v>460</v>
      </c>
      <c r="G150" s="88">
        <v>30823097.920000002</v>
      </c>
      <c r="H150" s="88">
        <v>0</v>
      </c>
      <c r="I150" s="88">
        <v>759382.35</v>
      </c>
      <c r="J150" s="88">
        <v>105153.55</v>
      </c>
      <c r="K150" s="80">
        <v>-250050.57</v>
      </c>
      <c r="L150" s="89">
        <v>31437583.25</v>
      </c>
      <c r="M150" s="89">
        <v>1451249.75</v>
      </c>
      <c r="N150" s="88">
        <v>38934.68</v>
      </c>
      <c r="O150" s="88">
        <v>2167471.7400000002</v>
      </c>
      <c r="P150" s="90">
        <v>8163620.04</v>
      </c>
      <c r="Q150" s="88">
        <v>11360</v>
      </c>
      <c r="R150" s="88">
        <v>4817303.16</v>
      </c>
      <c r="S150" s="88">
        <v>8345433.9800000004</v>
      </c>
      <c r="T150" s="88">
        <v>5080663.83</v>
      </c>
      <c r="U150" s="88">
        <v>0</v>
      </c>
      <c r="V150" s="88">
        <v>260</v>
      </c>
      <c r="W150" s="88">
        <v>899817.06</v>
      </c>
      <c r="X150" s="89">
        <v>2315765.2599999998</v>
      </c>
      <c r="Y150" s="89">
        <v>31840629.75</v>
      </c>
      <c r="Z150" s="81">
        <v>2.4212617821122894E-2</v>
      </c>
      <c r="AA150" s="89">
        <v>2315671.16</v>
      </c>
      <c r="AB150" s="89">
        <v>0</v>
      </c>
      <c r="AC150" s="89">
        <v>0</v>
      </c>
      <c r="AD150" s="89">
        <v>0</v>
      </c>
      <c r="AE150" s="89">
        <v>1001.49</v>
      </c>
      <c r="AF150" s="89">
        <f t="shared" si="30"/>
        <v>1001.49</v>
      </c>
      <c r="AG150" s="89">
        <v>1083524.72</v>
      </c>
      <c r="AH150" s="88">
        <v>100284.71</v>
      </c>
      <c r="AI150" s="88">
        <v>260940.81</v>
      </c>
      <c r="AJ150" s="89">
        <v>0</v>
      </c>
      <c r="AK150" s="88">
        <v>188812.31</v>
      </c>
      <c r="AL150" s="88">
        <v>61844.45</v>
      </c>
      <c r="AM150" s="88">
        <v>100613.25</v>
      </c>
      <c r="AN150" s="88">
        <v>13900</v>
      </c>
      <c r="AO150" s="88">
        <v>3824.14</v>
      </c>
      <c r="AP150" s="88">
        <v>0</v>
      </c>
      <c r="AQ150" s="88">
        <v>55044.2</v>
      </c>
      <c r="AR150" s="88">
        <v>31405</v>
      </c>
      <c r="AS150" s="88">
        <v>0</v>
      </c>
      <c r="AT150" s="88">
        <v>39725.99</v>
      </c>
      <c r="AU150" s="88">
        <v>37870.36</v>
      </c>
      <c r="AV150" s="88">
        <v>90308.82</v>
      </c>
      <c r="AW150" s="88">
        <v>2068098.76</v>
      </c>
      <c r="AX150" s="88">
        <v>0</v>
      </c>
      <c r="AY150" s="81">
        <f t="shared" si="31"/>
        <v>0</v>
      </c>
      <c r="AZ150" s="89">
        <v>0</v>
      </c>
      <c r="BA150" s="81">
        <v>7.1749588362787817E-2</v>
      </c>
      <c r="BB150" s="79">
        <v>174445.49</v>
      </c>
      <c r="BC150" s="79">
        <v>571862.4</v>
      </c>
      <c r="BD150" s="80">
        <v>219587</v>
      </c>
      <c r="BE150" s="80">
        <v>0</v>
      </c>
      <c r="BF150" s="80">
        <v>456168.23</v>
      </c>
      <c r="BG150" s="80">
        <v>0</v>
      </c>
      <c r="BH150" s="80">
        <v>0</v>
      </c>
      <c r="BI150" s="80">
        <v>0</v>
      </c>
      <c r="BJ150" s="80">
        <f t="shared" si="32"/>
        <v>0</v>
      </c>
      <c r="BK150" s="80">
        <v>0</v>
      </c>
      <c r="BL150" s="80">
        <v>4260</v>
      </c>
      <c r="BM150" s="80">
        <v>1228</v>
      </c>
      <c r="BN150" s="79">
        <v>12</v>
      </c>
      <c r="BO150" s="79">
        <v>0</v>
      </c>
      <c r="BP150" s="79">
        <v>-23</v>
      </c>
      <c r="BQ150" s="79">
        <v>-46</v>
      </c>
      <c r="BR150" s="79">
        <v>-174</v>
      </c>
      <c r="BS150" s="79">
        <v>-319</v>
      </c>
      <c r="BT150" s="79">
        <v>14</v>
      </c>
      <c r="BU150" s="79">
        <v>0</v>
      </c>
      <c r="BV150" s="79">
        <v>0</v>
      </c>
      <c r="BW150" s="79">
        <v>-852</v>
      </c>
      <c r="BX150" s="79">
        <v>-9</v>
      </c>
      <c r="BY150" s="79">
        <v>4091</v>
      </c>
      <c r="BZ150" s="79">
        <v>4</v>
      </c>
      <c r="CA150" s="79">
        <v>196</v>
      </c>
      <c r="CB150" s="79">
        <v>76</v>
      </c>
      <c r="CC150" s="79">
        <v>357</v>
      </c>
      <c r="CD150" s="79">
        <v>220</v>
      </c>
      <c r="CE150" s="79">
        <v>13</v>
      </c>
    </row>
    <row r="151" spans="1:83" s="58" customFormat="1" ht="15.6" customHeight="1" x14ac:dyDescent="0.25">
      <c r="A151" s="43">
        <v>18</v>
      </c>
      <c r="B151" s="59" t="s">
        <v>547</v>
      </c>
      <c r="C151" s="77" t="s">
        <v>551</v>
      </c>
      <c r="D151" s="50" t="s">
        <v>449</v>
      </c>
      <c r="E151" s="41" t="s">
        <v>86</v>
      </c>
      <c r="F151" s="50" t="s">
        <v>450</v>
      </c>
      <c r="G151" s="88">
        <v>2654419.29</v>
      </c>
      <c r="H151" s="88">
        <v>0</v>
      </c>
      <c r="I151" s="88">
        <v>12063.35</v>
      </c>
      <c r="J151" s="88">
        <v>0</v>
      </c>
      <c r="K151" s="80">
        <v>-800</v>
      </c>
      <c r="L151" s="89">
        <v>2665682.64</v>
      </c>
      <c r="M151" s="89">
        <v>0</v>
      </c>
      <c r="N151" s="88">
        <v>0</v>
      </c>
      <c r="O151" s="88">
        <v>544629.21</v>
      </c>
      <c r="P151" s="90">
        <v>841833.76</v>
      </c>
      <c r="Q151" s="88">
        <v>0</v>
      </c>
      <c r="R151" s="88">
        <v>301803.44</v>
      </c>
      <c r="S151" s="88">
        <v>604957.42000000004</v>
      </c>
      <c r="T151" s="88">
        <v>83010.460000000006</v>
      </c>
      <c r="U151" s="88">
        <v>0</v>
      </c>
      <c r="V151" s="88">
        <v>0</v>
      </c>
      <c r="W151" s="88">
        <v>29861.75</v>
      </c>
      <c r="X151" s="89">
        <v>265441.91999999998</v>
      </c>
      <c r="Y151" s="89">
        <v>2671537.96</v>
      </c>
      <c r="Z151" s="81">
        <v>2.3716392597493328E-2</v>
      </c>
      <c r="AA151" s="89">
        <v>265441.91999999998</v>
      </c>
      <c r="AB151" s="89">
        <v>0</v>
      </c>
      <c r="AC151" s="89">
        <v>0</v>
      </c>
      <c r="AD151" s="89">
        <v>0</v>
      </c>
      <c r="AE151" s="89">
        <v>0</v>
      </c>
      <c r="AF151" s="89">
        <f t="shared" si="30"/>
        <v>0</v>
      </c>
      <c r="AG151" s="89">
        <v>57052.12</v>
      </c>
      <c r="AH151" s="88">
        <v>4874.74</v>
      </c>
      <c r="AI151" s="88">
        <v>0</v>
      </c>
      <c r="AJ151" s="89">
        <v>0</v>
      </c>
      <c r="AK151" s="88">
        <v>21829.33</v>
      </c>
      <c r="AL151" s="88">
        <v>2869.75</v>
      </c>
      <c r="AM151" s="88">
        <v>7911.99</v>
      </c>
      <c r="AN151" s="88">
        <v>5300</v>
      </c>
      <c r="AO151" s="88">
        <v>0</v>
      </c>
      <c r="AP151" s="88">
        <v>0</v>
      </c>
      <c r="AQ151" s="88">
        <v>10925.880000000001</v>
      </c>
      <c r="AR151" s="88">
        <v>4838.76</v>
      </c>
      <c r="AS151" s="88">
        <v>0</v>
      </c>
      <c r="AT151" s="88">
        <v>499</v>
      </c>
      <c r="AU151" s="88">
        <v>2400</v>
      </c>
      <c r="AV151" s="88">
        <v>5139.45</v>
      </c>
      <c r="AW151" s="88">
        <v>123641.02</v>
      </c>
      <c r="AX151" s="88">
        <v>0</v>
      </c>
      <c r="AY151" s="81">
        <f t="shared" si="31"/>
        <v>0</v>
      </c>
      <c r="AZ151" s="89">
        <v>0</v>
      </c>
      <c r="BA151" s="81">
        <v>9.9999996609427891E-2</v>
      </c>
      <c r="BB151" s="79">
        <v>26091.919999999998</v>
      </c>
      <c r="BC151" s="79">
        <v>36861.33</v>
      </c>
      <c r="BD151" s="80">
        <v>132720</v>
      </c>
      <c r="BE151" s="80">
        <v>0</v>
      </c>
      <c r="BF151" s="80">
        <v>14498.7</v>
      </c>
      <c r="BG151" s="80">
        <v>0</v>
      </c>
      <c r="BH151" s="80">
        <v>0</v>
      </c>
      <c r="BI151" s="80">
        <v>0</v>
      </c>
      <c r="BJ151" s="80">
        <f t="shared" si="32"/>
        <v>0</v>
      </c>
      <c r="BK151" s="80">
        <v>0</v>
      </c>
      <c r="BL151" s="80">
        <v>166</v>
      </c>
      <c r="BM151" s="80">
        <v>93</v>
      </c>
      <c r="BN151" s="79">
        <v>1</v>
      </c>
      <c r="BO151" s="79">
        <v>0</v>
      </c>
      <c r="BP151" s="79">
        <v>-5</v>
      </c>
      <c r="BQ151" s="79">
        <v>-7</v>
      </c>
      <c r="BR151" s="79">
        <v>-27</v>
      </c>
      <c r="BS151" s="79">
        <v>-17</v>
      </c>
      <c r="BT151" s="79">
        <v>1</v>
      </c>
      <c r="BU151" s="79">
        <v>0</v>
      </c>
      <c r="BV151" s="79">
        <v>0</v>
      </c>
      <c r="BW151" s="79">
        <v>-36</v>
      </c>
      <c r="BX151" s="79">
        <v>0</v>
      </c>
      <c r="BY151" s="79">
        <v>169</v>
      </c>
      <c r="BZ151" s="79">
        <v>0</v>
      </c>
      <c r="CA151" s="79">
        <v>11</v>
      </c>
      <c r="CB151" s="79">
        <v>7</v>
      </c>
      <c r="CC151" s="79">
        <v>13</v>
      </c>
      <c r="CD151" s="79">
        <v>1</v>
      </c>
      <c r="CE151" s="79">
        <v>0</v>
      </c>
    </row>
    <row r="152" spans="1:83" s="58" customFormat="1" ht="15.6" customHeight="1" x14ac:dyDescent="0.25">
      <c r="A152" s="43">
        <v>18</v>
      </c>
      <c r="B152" s="55" t="s">
        <v>548</v>
      </c>
      <c r="C152" s="77" t="s">
        <v>111</v>
      </c>
      <c r="D152" s="50" t="s">
        <v>540</v>
      </c>
      <c r="E152" s="50" t="s">
        <v>116</v>
      </c>
      <c r="F152" s="50" t="s">
        <v>190</v>
      </c>
      <c r="G152" s="88">
        <v>47517447.07</v>
      </c>
      <c r="H152" s="88">
        <v>0</v>
      </c>
      <c r="I152" s="88">
        <v>1667179.87</v>
      </c>
      <c r="J152" s="88">
        <v>0</v>
      </c>
      <c r="K152" s="80">
        <v>-191463.41</v>
      </c>
      <c r="L152" s="89">
        <v>48993163.530000001</v>
      </c>
      <c r="M152" s="89">
        <v>0</v>
      </c>
      <c r="N152" s="88">
        <v>16702701.949999999</v>
      </c>
      <c r="O152" s="88">
        <v>3297886.41</v>
      </c>
      <c r="P152" s="90">
        <v>9157147.3100000005</v>
      </c>
      <c r="Q152" s="88">
        <v>47660.28</v>
      </c>
      <c r="R152" s="88">
        <v>2905821.9</v>
      </c>
      <c r="S152" s="88">
        <v>9450566.0199999996</v>
      </c>
      <c r="T152" s="88">
        <v>3186838.92</v>
      </c>
      <c r="U152" s="88">
        <v>0</v>
      </c>
      <c r="V152" s="88">
        <v>0</v>
      </c>
      <c r="W152" s="88">
        <v>1895923.31</v>
      </c>
      <c r="X152" s="89">
        <v>2649396.64</v>
      </c>
      <c r="Y152" s="89">
        <v>49293942.740000002</v>
      </c>
      <c r="Z152" s="81">
        <v>2.3357600175046608E-2</v>
      </c>
      <c r="AA152" s="89">
        <v>2478734.81</v>
      </c>
      <c r="AB152" s="89">
        <v>0</v>
      </c>
      <c r="AC152" s="89">
        <v>0</v>
      </c>
      <c r="AD152" s="89">
        <v>0</v>
      </c>
      <c r="AE152" s="89">
        <v>0</v>
      </c>
      <c r="AF152" s="89">
        <f t="shared" si="30"/>
        <v>0</v>
      </c>
      <c r="AG152" s="89">
        <v>1259967.8</v>
      </c>
      <c r="AH152" s="88">
        <v>108524.21</v>
      </c>
      <c r="AI152" s="88">
        <v>256340.54</v>
      </c>
      <c r="AJ152" s="89">
        <v>0</v>
      </c>
      <c r="AK152" s="88">
        <v>160186.89000000001</v>
      </c>
      <c r="AL152" s="88">
        <v>15658.5</v>
      </c>
      <c r="AM152" s="88">
        <v>81135.37</v>
      </c>
      <c r="AN152" s="88">
        <v>13900</v>
      </c>
      <c r="AO152" s="88">
        <v>7577.5</v>
      </c>
      <c r="AP152" s="88">
        <v>495.02</v>
      </c>
      <c r="AQ152" s="88">
        <v>75247.709999999992</v>
      </c>
      <c r="AR152" s="88">
        <v>15320.9</v>
      </c>
      <c r="AS152" s="88">
        <v>0</v>
      </c>
      <c r="AT152" s="88">
        <v>8158.93</v>
      </c>
      <c r="AU152" s="88">
        <v>54021.81</v>
      </c>
      <c r="AV152" s="88">
        <v>185660.75</v>
      </c>
      <c r="AW152" s="88">
        <v>2242195.9300000002</v>
      </c>
      <c r="AX152" s="88">
        <v>0</v>
      </c>
      <c r="AY152" s="81">
        <f t="shared" si="31"/>
        <v>0</v>
      </c>
      <c r="AZ152" s="89">
        <v>9100</v>
      </c>
      <c r="BA152" s="81">
        <v>5.2164730279984715E-2</v>
      </c>
      <c r="BB152" s="79">
        <v>466058.3</v>
      </c>
      <c r="BC152" s="79">
        <v>643835.23</v>
      </c>
      <c r="BD152" s="80">
        <v>216829</v>
      </c>
      <c r="BE152" s="80">
        <v>2.91038304567337E-11</v>
      </c>
      <c r="BF152" s="80">
        <v>490064.35</v>
      </c>
      <c r="BG152" s="80">
        <v>0</v>
      </c>
      <c r="BH152" s="80">
        <v>0</v>
      </c>
      <c r="BI152" s="80">
        <v>0</v>
      </c>
      <c r="BJ152" s="80">
        <f t="shared" si="32"/>
        <v>0</v>
      </c>
      <c r="BK152" s="80">
        <v>0</v>
      </c>
      <c r="BL152" s="80">
        <v>3903</v>
      </c>
      <c r="BM152" s="80">
        <v>1098</v>
      </c>
      <c r="BN152" s="79">
        <v>0</v>
      </c>
      <c r="BO152" s="79">
        <v>0</v>
      </c>
      <c r="BP152" s="79">
        <v>-31</v>
      </c>
      <c r="BQ152" s="79">
        <v>-61</v>
      </c>
      <c r="BR152" s="79">
        <v>-209</v>
      </c>
      <c r="BS152" s="79">
        <v>-286</v>
      </c>
      <c r="BT152" s="79">
        <v>10</v>
      </c>
      <c r="BU152" s="79">
        <v>0</v>
      </c>
      <c r="BV152" s="79">
        <v>-1</v>
      </c>
      <c r="BW152" s="79">
        <v>-811</v>
      </c>
      <c r="BX152" s="79">
        <v>-1</v>
      </c>
      <c r="BY152" s="79">
        <v>3611</v>
      </c>
      <c r="BZ152" s="79">
        <v>0</v>
      </c>
      <c r="CA152" s="79">
        <v>210</v>
      </c>
      <c r="CB152" s="79">
        <v>81</v>
      </c>
      <c r="CC152" s="79">
        <v>316</v>
      </c>
      <c r="CD152" s="79">
        <v>198</v>
      </c>
      <c r="CE152" s="79">
        <v>8</v>
      </c>
    </row>
    <row r="153" spans="1:83" s="58" customFormat="1" ht="15.6" customHeight="1" x14ac:dyDescent="0.25">
      <c r="A153" s="51">
        <v>18</v>
      </c>
      <c r="B153" s="39" t="s">
        <v>549</v>
      </c>
      <c r="C153" s="77" t="s">
        <v>552</v>
      </c>
      <c r="D153" s="53" t="s">
        <v>541</v>
      </c>
      <c r="E153" s="54" t="s">
        <v>86</v>
      </c>
      <c r="F153" s="53" t="s">
        <v>460</v>
      </c>
      <c r="G153" s="88">
        <v>17705708.170000002</v>
      </c>
      <c r="H153" s="88">
        <v>495.2</v>
      </c>
      <c r="I153" s="88">
        <v>383018.4</v>
      </c>
      <c r="J153" s="88">
        <v>7114.7</v>
      </c>
      <c r="K153" s="80">
        <v>-37340.01</v>
      </c>
      <c r="L153" s="89">
        <v>18058996.460000001</v>
      </c>
      <c r="M153" s="89">
        <v>122342.6</v>
      </c>
      <c r="N153" s="88">
        <v>0</v>
      </c>
      <c r="O153" s="88">
        <v>1277989.6000000001</v>
      </c>
      <c r="P153" s="90">
        <v>4436521.66</v>
      </c>
      <c r="Q153" s="88">
        <v>0</v>
      </c>
      <c r="R153" s="88">
        <v>1988206.63</v>
      </c>
      <c r="S153" s="88">
        <v>5420800.2400000002</v>
      </c>
      <c r="T153" s="88">
        <v>2624185.73</v>
      </c>
      <c r="U153" s="88">
        <v>0</v>
      </c>
      <c r="V153" s="88">
        <v>350</v>
      </c>
      <c r="W153" s="88">
        <v>493226.94</v>
      </c>
      <c r="X153" s="89">
        <v>1575397.02</v>
      </c>
      <c r="Y153" s="89">
        <v>17816677.82</v>
      </c>
      <c r="Z153" s="81">
        <v>9.3170541732007672E-2</v>
      </c>
      <c r="AA153" s="89">
        <v>1575397.02</v>
      </c>
      <c r="AB153" s="89">
        <v>0</v>
      </c>
      <c r="AC153" s="89">
        <v>0</v>
      </c>
      <c r="AD153" s="89">
        <v>0</v>
      </c>
      <c r="AE153" s="89">
        <v>322.39999999999998</v>
      </c>
      <c r="AF153" s="89">
        <f t="shared" si="30"/>
        <v>322.39999999999998</v>
      </c>
      <c r="AG153" s="89">
        <v>812617.64</v>
      </c>
      <c r="AH153" s="88">
        <v>81051.539999999994</v>
      </c>
      <c r="AI153" s="88">
        <v>157352.53</v>
      </c>
      <c r="AJ153" s="89">
        <v>0</v>
      </c>
      <c r="AK153" s="88">
        <v>72296.149999999994</v>
      </c>
      <c r="AL153" s="88">
        <v>17226.18</v>
      </c>
      <c r="AM153" s="88">
        <v>63911.14</v>
      </c>
      <c r="AN153" s="88">
        <v>12850</v>
      </c>
      <c r="AO153" s="88">
        <v>-119</v>
      </c>
      <c r="AP153" s="88">
        <v>0</v>
      </c>
      <c r="AQ153" s="88">
        <v>43441.11</v>
      </c>
      <c r="AR153" s="88">
        <v>17801.48</v>
      </c>
      <c r="AS153" s="88">
        <v>0</v>
      </c>
      <c r="AT153" s="88">
        <v>9229.24</v>
      </c>
      <c r="AU153" s="88">
        <v>18653.59</v>
      </c>
      <c r="AV153" s="88">
        <v>40824.400000000001</v>
      </c>
      <c r="AW153" s="88">
        <v>1347136</v>
      </c>
      <c r="AX153" s="88">
        <v>0</v>
      </c>
      <c r="AY153" s="81">
        <f t="shared" si="31"/>
        <v>0</v>
      </c>
      <c r="AZ153" s="89">
        <v>0</v>
      </c>
      <c r="BA153" s="81">
        <v>8.8366195515383314E-2</v>
      </c>
      <c r="BB153" s="79">
        <v>155031.45000000001</v>
      </c>
      <c r="BC153" s="79">
        <v>1494665.11</v>
      </c>
      <c r="BD153" s="80">
        <v>216829</v>
      </c>
      <c r="BE153" s="80">
        <v>5.8207660913467401E-11</v>
      </c>
      <c r="BF153" s="80">
        <v>312465.51</v>
      </c>
      <c r="BG153" s="80">
        <v>0</v>
      </c>
      <c r="BH153" s="80">
        <v>0</v>
      </c>
      <c r="BI153" s="80">
        <v>0</v>
      </c>
      <c r="BJ153" s="80">
        <f t="shared" si="32"/>
        <v>0</v>
      </c>
      <c r="BK153" s="80">
        <v>0</v>
      </c>
      <c r="BL153" s="80">
        <v>2414</v>
      </c>
      <c r="BM153" s="80">
        <v>774</v>
      </c>
      <c r="BN153" s="79">
        <v>0</v>
      </c>
      <c r="BO153" s="79">
        <v>0</v>
      </c>
      <c r="BP153" s="79">
        <v>-15</v>
      </c>
      <c r="BQ153" s="79">
        <v>-43</v>
      </c>
      <c r="BR153" s="79">
        <v>-126</v>
      </c>
      <c r="BS153" s="79">
        <v>-191</v>
      </c>
      <c r="BT153" s="79">
        <v>15</v>
      </c>
      <c r="BU153" s="79">
        <v>0</v>
      </c>
      <c r="BV153" s="79">
        <v>10</v>
      </c>
      <c r="BW153" s="79">
        <v>-524</v>
      </c>
      <c r="BX153" s="79">
        <v>-4</v>
      </c>
      <c r="BY153" s="79">
        <v>2310</v>
      </c>
      <c r="BZ153" s="79">
        <v>4</v>
      </c>
      <c r="CA153" s="79">
        <v>78</v>
      </c>
      <c r="CB153" s="79">
        <v>39</v>
      </c>
      <c r="CC153" s="79">
        <v>216</v>
      </c>
      <c r="CD153" s="79">
        <v>165</v>
      </c>
      <c r="CE153" s="79">
        <v>1</v>
      </c>
    </row>
    <row r="154" spans="1:83" s="58" customFormat="1" ht="15.6" customHeight="1" x14ac:dyDescent="0.25">
      <c r="A154" s="51">
        <v>18</v>
      </c>
      <c r="B154" s="52" t="s">
        <v>461</v>
      </c>
      <c r="C154" s="77" t="s">
        <v>394</v>
      </c>
      <c r="D154" s="50" t="s">
        <v>462</v>
      </c>
      <c r="E154" s="41" t="s">
        <v>86</v>
      </c>
      <c r="F154" s="50" t="s">
        <v>463</v>
      </c>
      <c r="G154" s="88">
        <v>6833928.5800000001</v>
      </c>
      <c r="H154" s="88">
        <v>11081.29</v>
      </c>
      <c r="I154" s="88">
        <v>120590.02</v>
      </c>
      <c r="J154" s="88">
        <v>0</v>
      </c>
      <c r="K154" s="89">
        <v>0</v>
      </c>
      <c r="L154" s="89">
        <v>6965599.8899999997</v>
      </c>
      <c r="M154" s="89">
        <v>0</v>
      </c>
      <c r="N154" s="88">
        <v>148744.70000000001</v>
      </c>
      <c r="O154" s="88">
        <v>585399.42000000004</v>
      </c>
      <c r="P154" s="90">
        <v>1461438.06</v>
      </c>
      <c r="Q154" s="88">
        <v>0</v>
      </c>
      <c r="R154" s="88">
        <v>559053.1</v>
      </c>
      <c r="S154" s="88">
        <v>2738290.61</v>
      </c>
      <c r="T154" s="88">
        <v>570363.1</v>
      </c>
      <c r="U154" s="88">
        <v>0</v>
      </c>
      <c r="V154" s="88">
        <v>59.96</v>
      </c>
      <c r="W154" s="88">
        <v>180559.27</v>
      </c>
      <c r="X154" s="89">
        <v>646138.35</v>
      </c>
      <c r="Y154" s="89">
        <v>6890046.5700000003</v>
      </c>
      <c r="Z154" s="81">
        <v>5.7532581760908405E-2</v>
      </c>
      <c r="AA154" s="89">
        <v>589573.5</v>
      </c>
      <c r="AB154" s="89">
        <v>0</v>
      </c>
      <c r="AC154" s="89">
        <v>0</v>
      </c>
      <c r="AD154" s="89">
        <v>0</v>
      </c>
      <c r="AE154" s="89">
        <v>0</v>
      </c>
      <c r="AF154" s="89">
        <f t="shared" si="30"/>
        <v>0</v>
      </c>
      <c r="AG154" s="89">
        <v>168771.27</v>
      </c>
      <c r="AH154" s="88">
        <v>13862.29</v>
      </c>
      <c r="AI154" s="88">
        <v>27385.7</v>
      </c>
      <c r="AJ154" s="89">
        <v>0</v>
      </c>
      <c r="AK154" s="88">
        <v>30862.400000000001</v>
      </c>
      <c r="AL154" s="88">
        <v>12233.6</v>
      </c>
      <c r="AM154" s="88">
        <v>30561.02</v>
      </c>
      <c r="AN154" s="88">
        <v>9610</v>
      </c>
      <c r="AO154" s="88">
        <v>2000</v>
      </c>
      <c r="AP154" s="88">
        <v>0</v>
      </c>
      <c r="AQ154" s="88">
        <v>17127.07</v>
      </c>
      <c r="AR154" s="88">
        <v>11363.5</v>
      </c>
      <c r="AS154" s="88">
        <v>0</v>
      </c>
      <c r="AT154" s="88">
        <v>4873.17</v>
      </c>
      <c r="AU154" s="88">
        <v>8106.42</v>
      </c>
      <c r="AV154" s="88">
        <v>37789.760000000002</v>
      </c>
      <c r="AW154" s="88">
        <v>374546.2</v>
      </c>
      <c r="AX154" s="88">
        <v>0</v>
      </c>
      <c r="AY154" s="81">
        <f t="shared" si="31"/>
        <v>0</v>
      </c>
      <c r="AZ154" s="89">
        <v>0</v>
      </c>
      <c r="BA154" s="81">
        <v>8.6271533730310074E-2</v>
      </c>
      <c r="BB154" s="79">
        <v>230942.58</v>
      </c>
      <c r="BC154" s="79">
        <v>162868.51</v>
      </c>
      <c r="BD154" s="80">
        <v>219587</v>
      </c>
      <c r="BE154" s="80">
        <v>2.91038304567337E-11</v>
      </c>
      <c r="BF154" s="80">
        <v>90233.7300000002</v>
      </c>
      <c r="BG154" s="80">
        <v>0</v>
      </c>
      <c r="BH154" s="80">
        <v>0</v>
      </c>
      <c r="BI154" s="80">
        <v>0</v>
      </c>
      <c r="BJ154" s="80">
        <f t="shared" si="32"/>
        <v>0</v>
      </c>
      <c r="BK154" s="80">
        <v>0</v>
      </c>
      <c r="BL154" s="80">
        <v>685</v>
      </c>
      <c r="BM154" s="80">
        <v>272</v>
      </c>
      <c r="BN154" s="79">
        <v>0</v>
      </c>
      <c r="BO154" s="79">
        <v>0</v>
      </c>
      <c r="BP154" s="79">
        <v>-20</v>
      </c>
      <c r="BQ154" s="79">
        <v>-21</v>
      </c>
      <c r="BR154" s="79">
        <v>-90</v>
      </c>
      <c r="BS154" s="79">
        <v>-113</v>
      </c>
      <c r="BT154" s="79">
        <v>16</v>
      </c>
      <c r="BU154" s="79">
        <v>0</v>
      </c>
      <c r="BV154" s="79">
        <v>0</v>
      </c>
      <c r="BW154" s="79">
        <v>-124</v>
      </c>
      <c r="BX154" s="79">
        <v>0</v>
      </c>
      <c r="BY154" s="79">
        <v>605</v>
      </c>
      <c r="BZ154" s="79">
        <v>0</v>
      </c>
      <c r="CA154" s="79">
        <v>70</v>
      </c>
      <c r="CB154" s="79">
        <v>18</v>
      </c>
      <c r="CC154" s="79">
        <v>37</v>
      </c>
      <c r="CD154" s="79">
        <v>0</v>
      </c>
      <c r="CE154" s="79">
        <v>0</v>
      </c>
    </row>
    <row r="155" spans="1:83" s="58" customFormat="1" ht="15.6" customHeight="1" x14ac:dyDescent="0.25">
      <c r="A155" s="43">
        <v>18</v>
      </c>
      <c r="B155" s="59" t="s">
        <v>464</v>
      </c>
      <c r="C155" s="77" t="s">
        <v>465</v>
      </c>
      <c r="D155" s="50" t="s">
        <v>466</v>
      </c>
      <c r="E155" s="41" t="s">
        <v>86</v>
      </c>
      <c r="F155" s="50" t="s">
        <v>463</v>
      </c>
      <c r="G155" s="88">
        <v>2292800.91</v>
      </c>
      <c r="H155" s="88">
        <v>0</v>
      </c>
      <c r="I155" s="88">
        <v>30694.1</v>
      </c>
      <c r="J155" s="88">
        <v>1155.1199999999999</v>
      </c>
      <c r="K155" s="89">
        <v>0</v>
      </c>
      <c r="L155" s="89">
        <v>2324650.13</v>
      </c>
      <c r="M155" s="89">
        <v>11551.2</v>
      </c>
      <c r="N155" s="88">
        <v>0</v>
      </c>
      <c r="O155" s="88">
        <v>150322.16</v>
      </c>
      <c r="P155" s="90">
        <v>484844.1</v>
      </c>
      <c r="Q155" s="88">
        <v>0</v>
      </c>
      <c r="R155" s="88">
        <v>293590.24</v>
      </c>
      <c r="S155" s="88">
        <v>788554.98</v>
      </c>
      <c r="T155" s="88">
        <v>262008.16</v>
      </c>
      <c r="U155" s="88">
        <v>0</v>
      </c>
      <c r="V155" s="88">
        <v>0</v>
      </c>
      <c r="W155" s="88">
        <v>65762.09</v>
      </c>
      <c r="X155" s="89">
        <v>230550.19999999998</v>
      </c>
      <c r="Y155" s="89">
        <v>2275631.9300000002</v>
      </c>
      <c r="Z155" s="81">
        <v>6.5033452904552452E-2</v>
      </c>
      <c r="AA155" s="89">
        <v>230550.2</v>
      </c>
      <c r="AB155" s="89">
        <v>0</v>
      </c>
      <c r="AC155" s="89">
        <v>0</v>
      </c>
      <c r="AD155" s="89">
        <v>0</v>
      </c>
      <c r="AE155" s="89">
        <v>0</v>
      </c>
      <c r="AF155" s="89">
        <f t="shared" si="30"/>
        <v>0</v>
      </c>
      <c r="AG155" s="89">
        <v>62290.720000000001</v>
      </c>
      <c r="AH155" s="88">
        <v>4690.95</v>
      </c>
      <c r="AI155" s="88">
        <v>6430.74</v>
      </c>
      <c r="AJ155" s="89">
        <v>0</v>
      </c>
      <c r="AK155" s="88">
        <v>19704</v>
      </c>
      <c r="AL155" s="88">
        <v>7628.75</v>
      </c>
      <c r="AM155" s="88">
        <v>12098</v>
      </c>
      <c r="AN155" s="88">
        <v>5300</v>
      </c>
      <c r="AO155" s="88">
        <v>0</v>
      </c>
      <c r="AP155" s="88">
        <v>0</v>
      </c>
      <c r="AQ155" s="88">
        <v>6190.09</v>
      </c>
      <c r="AR155" s="88">
        <v>3874.21</v>
      </c>
      <c r="AS155" s="88">
        <v>0</v>
      </c>
      <c r="AT155" s="88">
        <v>0</v>
      </c>
      <c r="AU155" s="88">
        <v>981.32</v>
      </c>
      <c r="AV155" s="88">
        <v>12120.6</v>
      </c>
      <c r="AW155" s="88">
        <v>141309.38</v>
      </c>
      <c r="AX155" s="88">
        <v>32146.14</v>
      </c>
      <c r="AY155" s="81">
        <f t="shared" si="31"/>
        <v>0.22748765863950432</v>
      </c>
      <c r="AZ155" s="89">
        <v>1000</v>
      </c>
      <c r="BA155" s="81">
        <v>0.10004990079402407</v>
      </c>
      <c r="BB155" s="79">
        <v>73154.289999999994</v>
      </c>
      <c r="BC155" s="79">
        <v>75954.47</v>
      </c>
      <c r="BD155" s="80">
        <v>85692.23</v>
      </c>
      <c r="BE155" s="80">
        <v>0</v>
      </c>
      <c r="BF155" s="80">
        <v>4050.6300000000301</v>
      </c>
      <c r="BG155" s="80">
        <v>0</v>
      </c>
      <c r="BH155" s="80">
        <v>0</v>
      </c>
      <c r="BI155" s="80">
        <v>0</v>
      </c>
      <c r="BJ155" s="80">
        <f t="shared" si="32"/>
        <v>0</v>
      </c>
      <c r="BK155" s="80">
        <v>0</v>
      </c>
      <c r="BL155" s="80">
        <v>372</v>
      </c>
      <c r="BM155" s="80">
        <v>127</v>
      </c>
      <c r="BN155" s="79">
        <v>1</v>
      </c>
      <c r="BO155" s="79">
        <v>0</v>
      </c>
      <c r="BP155" s="79">
        <v>-1</v>
      </c>
      <c r="BQ155" s="79">
        <v>-7</v>
      </c>
      <c r="BR155" s="79">
        <v>-18</v>
      </c>
      <c r="BS155" s="79">
        <v>-25</v>
      </c>
      <c r="BT155" s="79">
        <v>0</v>
      </c>
      <c r="BU155" s="79">
        <v>-1</v>
      </c>
      <c r="BV155" s="79">
        <v>0</v>
      </c>
      <c r="BW155" s="79">
        <v>-77</v>
      </c>
      <c r="BX155" s="79">
        <v>0</v>
      </c>
      <c r="BY155" s="79">
        <v>371</v>
      </c>
      <c r="BZ155" s="79">
        <v>2</v>
      </c>
      <c r="CA155" s="79">
        <v>16</v>
      </c>
      <c r="CB155" s="79">
        <v>9</v>
      </c>
      <c r="CC155" s="79">
        <v>53</v>
      </c>
      <c r="CD155" s="79">
        <v>1</v>
      </c>
      <c r="CE155" s="79">
        <v>0</v>
      </c>
    </row>
    <row r="156" spans="1:83" s="58" customFormat="1" ht="15.6" customHeight="1" x14ac:dyDescent="0.25">
      <c r="A156" s="43">
        <v>19</v>
      </c>
      <c r="B156" s="50" t="s">
        <v>497</v>
      </c>
      <c r="C156" s="92" t="s">
        <v>498</v>
      </c>
      <c r="D156" s="50" t="s">
        <v>471</v>
      </c>
      <c r="E156" s="41" t="s">
        <v>86</v>
      </c>
      <c r="F156" s="50" t="s">
        <v>472</v>
      </c>
      <c r="G156" s="88">
        <v>21862588.309999999</v>
      </c>
      <c r="H156" s="88">
        <v>0</v>
      </c>
      <c r="I156" s="88">
        <v>195018.68</v>
      </c>
      <c r="J156" s="88">
        <v>0</v>
      </c>
      <c r="K156" s="89">
        <v>283.51</v>
      </c>
      <c r="L156" s="89">
        <v>22057890.5</v>
      </c>
      <c r="M156" s="89">
        <v>0</v>
      </c>
      <c r="N156" s="88">
        <v>0</v>
      </c>
      <c r="O156" s="88">
        <v>2863315.44</v>
      </c>
      <c r="P156" s="90">
        <v>3094690.72</v>
      </c>
      <c r="Q156" s="88">
        <v>0</v>
      </c>
      <c r="R156" s="88">
        <v>2907615.53</v>
      </c>
      <c r="S156" s="88">
        <v>8096248.1500000004</v>
      </c>
      <c r="T156" s="88">
        <v>3330230.49</v>
      </c>
      <c r="U156" s="88">
        <v>0</v>
      </c>
      <c r="V156" s="88">
        <v>0</v>
      </c>
      <c r="W156" s="88">
        <v>588277.73</v>
      </c>
      <c r="X156" s="89">
        <v>1883698.6199999999</v>
      </c>
      <c r="Y156" s="89">
        <v>22764076.68</v>
      </c>
      <c r="Z156" s="81">
        <v>6.6861841757838963E-2</v>
      </c>
      <c r="AA156" s="89">
        <v>1882242.45</v>
      </c>
      <c r="AB156" s="89">
        <v>0</v>
      </c>
      <c r="AC156" s="89">
        <v>0</v>
      </c>
      <c r="AD156" s="89">
        <v>283.51</v>
      </c>
      <c r="AE156" s="89">
        <v>0</v>
      </c>
      <c r="AF156" s="89">
        <f t="shared" si="30"/>
        <v>283.51</v>
      </c>
      <c r="AG156" s="89">
        <v>957738.7</v>
      </c>
      <c r="AH156" s="88">
        <v>77853.38</v>
      </c>
      <c r="AI156" s="88">
        <v>267069.59999999998</v>
      </c>
      <c r="AJ156" s="89">
        <v>0</v>
      </c>
      <c r="AK156" s="88">
        <v>118650.79</v>
      </c>
      <c r="AL156" s="88">
        <v>3305.44</v>
      </c>
      <c r="AM156" s="88">
        <v>74208.86</v>
      </c>
      <c r="AN156" s="88">
        <v>9825</v>
      </c>
      <c r="AO156" s="88">
        <v>25877.08</v>
      </c>
      <c r="AP156" s="88">
        <v>0</v>
      </c>
      <c r="AQ156" s="88">
        <v>40210.770000000004</v>
      </c>
      <c r="AR156" s="88">
        <v>9785.73</v>
      </c>
      <c r="AS156" s="88">
        <v>0</v>
      </c>
      <c r="AT156" s="88">
        <v>16557.89</v>
      </c>
      <c r="AU156" s="88">
        <v>7074.86</v>
      </c>
      <c r="AV156" s="88">
        <v>79296.72</v>
      </c>
      <c r="AW156" s="88">
        <v>1687454.82</v>
      </c>
      <c r="AX156" s="88">
        <v>0</v>
      </c>
      <c r="AY156" s="81">
        <f t="shared" si="31"/>
        <v>0</v>
      </c>
      <c r="AZ156" s="89">
        <v>0</v>
      </c>
      <c r="BA156" s="81">
        <v>8.609421827419482E-2</v>
      </c>
      <c r="BB156" s="79">
        <v>661995.84</v>
      </c>
      <c r="BC156" s="79">
        <v>799777.08</v>
      </c>
      <c r="BD156" s="80">
        <v>219587</v>
      </c>
      <c r="BE156" s="80">
        <v>0</v>
      </c>
      <c r="BF156" s="80">
        <v>333177.37999999902</v>
      </c>
      <c r="BG156" s="80">
        <v>0</v>
      </c>
      <c r="BH156" s="80">
        <v>0</v>
      </c>
      <c r="BI156" s="80">
        <v>0</v>
      </c>
      <c r="BJ156" s="80">
        <f t="shared" si="32"/>
        <v>0</v>
      </c>
      <c r="BK156" s="80">
        <v>0</v>
      </c>
      <c r="BL156" s="80">
        <v>3632</v>
      </c>
      <c r="BM156" s="80">
        <v>1251</v>
      </c>
      <c r="BN156" s="79">
        <v>17</v>
      </c>
      <c r="BO156" s="79">
        <v>0</v>
      </c>
      <c r="BP156" s="79">
        <v>-36</v>
      </c>
      <c r="BQ156" s="79">
        <v>-61</v>
      </c>
      <c r="BR156" s="79">
        <v>-328</v>
      </c>
      <c r="BS156" s="79">
        <v>-360</v>
      </c>
      <c r="BT156" s="79">
        <v>0</v>
      </c>
      <c r="BU156" s="79">
        <v>0</v>
      </c>
      <c r="BV156" s="79">
        <v>289</v>
      </c>
      <c r="BW156" s="79">
        <v>-851</v>
      </c>
      <c r="BX156" s="79">
        <v>-2</v>
      </c>
      <c r="BY156" s="79">
        <v>3551</v>
      </c>
      <c r="BZ156" s="79">
        <v>7</v>
      </c>
      <c r="CA156" s="79">
        <v>179</v>
      </c>
      <c r="CB156" s="79">
        <v>76</v>
      </c>
      <c r="CC156" s="79">
        <v>576</v>
      </c>
      <c r="CD156" s="79">
        <v>13</v>
      </c>
      <c r="CE156" s="79">
        <v>7</v>
      </c>
    </row>
    <row r="157" spans="1:83" s="58" customFormat="1" ht="15.6" customHeight="1" x14ac:dyDescent="0.25">
      <c r="A157" s="51">
        <v>19</v>
      </c>
      <c r="B157" s="52" t="s">
        <v>550</v>
      </c>
      <c r="C157" s="77" t="s">
        <v>556</v>
      </c>
      <c r="D157" s="50" t="s">
        <v>467</v>
      </c>
      <c r="E157" s="41" t="s">
        <v>86</v>
      </c>
      <c r="F157" s="50" t="s">
        <v>468</v>
      </c>
      <c r="G157" s="88">
        <v>55053379.649999999</v>
      </c>
      <c r="H157" s="88">
        <v>0</v>
      </c>
      <c r="I157" s="88">
        <v>1461045.05</v>
      </c>
      <c r="J157" s="88">
        <v>42820.94</v>
      </c>
      <c r="K157" s="89">
        <v>0</v>
      </c>
      <c r="L157" s="89">
        <v>56557245.640000001</v>
      </c>
      <c r="M157" s="89">
        <v>611713.42000000004</v>
      </c>
      <c r="N157" s="88">
        <v>0</v>
      </c>
      <c r="O157" s="88">
        <v>4502202.03</v>
      </c>
      <c r="P157" s="90">
        <v>18021817.289999999</v>
      </c>
      <c r="Q157" s="88">
        <v>0</v>
      </c>
      <c r="R157" s="88">
        <v>5021612.28</v>
      </c>
      <c r="S157" s="88">
        <v>14121172.199999999</v>
      </c>
      <c r="T157" s="88">
        <v>9091524.0700000003</v>
      </c>
      <c r="U157" s="88">
        <v>0</v>
      </c>
      <c r="V157" s="88">
        <v>0</v>
      </c>
      <c r="W157" s="88">
        <v>1731810.47</v>
      </c>
      <c r="X157" s="89">
        <v>3900249.38</v>
      </c>
      <c r="Y157" s="89">
        <v>56390387.719999999</v>
      </c>
      <c r="Z157" s="81">
        <v>9.2880474232611629E-2</v>
      </c>
      <c r="AA157" s="89">
        <v>3858585.42</v>
      </c>
      <c r="AB157" s="89">
        <v>42820.94</v>
      </c>
      <c r="AC157" s="89">
        <v>611713.42000000004</v>
      </c>
      <c r="AD157" s="89">
        <v>0</v>
      </c>
      <c r="AE157" s="89">
        <v>0</v>
      </c>
      <c r="AF157" s="89">
        <f t="shared" si="30"/>
        <v>0</v>
      </c>
      <c r="AG157" s="89">
        <v>2084688.63</v>
      </c>
      <c r="AH157" s="88">
        <v>155289.46</v>
      </c>
      <c r="AI157" s="88">
        <v>552225.39</v>
      </c>
      <c r="AJ157" s="89">
        <v>0</v>
      </c>
      <c r="AK157" s="88">
        <v>198232.59</v>
      </c>
      <c r="AL157" s="88">
        <v>11540.36</v>
      </c>
      <c r="AM157" s="88">
        <v>248558.54</v>
      </c>
      <c r="AN157" s="88">
        <v>10025</v>
      </c>
      <c r="AO157" s="88">
        <v>860.7</v>
      </c>
      <c r="AP157" s="88">
        <v>76000</v>
      </c>
      <c r="AQ157" s="88">
        <v>110004.09</v>
      </c>
      <c r="AR157" s="88">
        <v>44420.55</v>
      </c>
      <c r="AS157" s="88">
        <v>3030</v>
      </c>
      <c r="AT157" s="88">
        <v>23650.35</v>
      </c>
      <c r="AU157" s="88">
        <v>25008.11</v>
      </c>
      <c r="AV157" s="88">
        <v>109063.06</v>
      </c>
      <c r="AW157" s="88">
        <v>3652596.83</v>
      </c>
      <c r="AX157" s="88">
        <v>0</v>
      </c>
      <c r="AY157" s="81">
        <f t="shared" si="31"/>
        <v>0</v>
      </c>
      <c r="AZ157" s="89">
        <v>1240.99</v>
      </c>
      <c r="BA157" s="81">
        <v>6.9325297637371316E-2</v>
      </c>
      <c r="BB157" s="79">
        <v>1859929.34</v>
      </c>
      <c r="BC157" s="79">
        <v>3253454.67</v>
      </c>
      <c r="BD157" s="80">
        <v>216829</v>
      </c>
      <c r="BE157" s="80">
        <v>5.8207660913467401E-11</v>
      </c>
      <c r="BF157" s="80">
        <v>695530.24000000197</v>
      </c>
      <c r="BG157" s="80">
        <v>0</v>
      </c>
      <c r="BH157" s="80">
        <v>0</v>
      </c>
      <c r="BI157" s="80">
        <v>0</v>
      </c>
      <c r="BJ157" s="80">
        <f t="shared" si="32"/>
        <v>0</v>
      </c>
      <c r="BK157" s="80">
        <v>0</v>
      </c>
      <c r="BL157" s="80">
        <v>9673</v>
      </c>
      <c r="BM157" s="80">
        <v>3997</v>
      </c>
      <c r="BN157" s="79">
        <v>0</v>
      </c>
      <c r="BO157" s="79">
        <v>0</v>
      </c>
      <c r="BP157" s="79">
        <v>-125</v>
      </c>
      <c r="BQ157" s="79">
        <v>-233</v>
      </c>
      <c r="BR157" s="79">
        <v>-1167</v>
      </c>
      <c r="BS157" s="79">
        <v>-1470</v>
      </c>
      <c r="BT157" s="79">
        <v>0</v>
      </c>
      <c r="BU157" s="79">
        <v>0</v>
      </c>
      <c r="BV157" s="79">
        <v>0</v>
      </c>
      <c r="BW157" s="79">
        <v>-1728</v>
      </c>
      <c r="BX157" s="79">
        <v>0</v>
      </c>
      <c r="BY157" s="79">
        <v>8947</v>
      </c>
      <c r="BZ157" s="79">
        <v>0</v>
      </c>
      <c r="CA157" s="79">
        <v>314</v>
      </c>
      <c r="CB157" s="79">
        <v>162</v>
      </c>
      <c r="CC157" s="79">
        <v>1087</v>
      </c>
      <c r="CD157" s="79">
        <v>158</v>
      </c>
      <c r="CE157" s="79">
        <v>7</v>
      </c>
    </row>
    <row r="158" spans="1:83" s="58" customFormat="1" ht="15.6" customHeight="1" x14ac:dyDescent="0.25">
      <c r="A158" s="45">
        <v>19</v>
      </c>
      <c r="B158" s="46" t="s">
        <v>469</v>
      </c>
      <c r="C158" s="77" t="s">
        <v>470</v>
      </c>
      <c r="D158" s="50" t="s">
        <v>471</v>
      </c>
      <c r="E158" s="41" t="s">
        <v>86</v>
      </c>
      <c r="F158" s="50" t="s">
        <v>472</v>
      </c>
      <c r="G158" s="88">
        <v>24567281.52</v>
      </c>
      <c r="H158" s="88">
        <v>0</v>
      </c>
      <c r="I158" s="88">
        <v>548223.09</v>
      </c>
      <c r="J158" s="88">
        <v>0</v>
      </c>
      <c r="K158" s="89">
        <v>0</v>
      </c>
      <c r="L158" s="89">
        <v>25115504.609999999</v>
      </c>
      <c r="M158" s="89">
        <v>0</v>
      </c>
      <c r="N158" s="88">
        <v>0</v>
      </c>
      <c r="O158" s="88">
        <v>3042743.46</v>
      </c>
      <c r="P158" s="90">
        <v>2948805.51</v>
      </c>
      <c r="Q158" s="88">
        <v>0</v>
      </c>
      <c r="R158" s="88">
        <v>3116642.69</v>
      </c>
      <c r="S158" s="88">
        <v>9634751.0099999998</v>
      </c>
      <c r="T158" s="88">
        <v>3737007.79</v>
      </c>
      <c r="U158" s="88">
        <v>0</v>
      </c>
      <c r="V158" s="88">
        <v>0</v>
      </c>
      <c r="W158" s="88">
        <v>889391.3</v>
      </c>
      <c r="X158" s="89">
        <v>2145383.1</v>
      </c>
      <c r="Y158" s="89">
        <v>25514724.859999999</v>
      </c>
      <c r="Z158" s="81">
        <v>0.13132672491148342</v>
      </c>
      <c r="AA158" s="89">
        <v>2145383.1</v>
      </c>
      <c r="AB158" s="89">
        <v>0</v>
      </c>
      <c r="AC158" s="89">
        <v>0</v>
      </c>
      <c r="AD158" s="89">
        <v>0</v>
      </c>
      <c r="AE158" s="89">
        <v>0</v>
      </c>
      <c r="AF158" s="89">
        <f t="shared" si="30"/>
        <v>0</v>
      </c>
      <c r="AG158" s="89">
        <v>1077414.82</v>
      </c>
      <c r="AH158" s="88">
        <v>85236.800000000003</v>
      </c>
      <c r="AI158" s="88">
        <v>186476.56</v>
      </c>
      <c r="AJ158" s="89">
        <v>0</v>
      </c>
      <c r="AK158" s="88">
        <v>169512.4</v>
      </c>
      <c r="AL158" s="88">
        <v>3538.91</v>
      </c>
      <c r="AM158" s="88">
        <v>97812.91</v>
      </c>
      <c r="AN158" s="88">
        <v>9825</v>
      </c>
      <c r="AO158" s="88">
        <v>7665</v>
      </c>
      <c r="AP158" s="88">
        <v>0</v>
      </c>
      <c r="AQ158" s="88">
        <v>40625.17</v>
      </c>
      <c r="AR158" s="88">
        <v>19105.23</v>
      </c>
      <c r="AS158" s="88">
        <v>0</v>
      </c>
      <c r="AT158" s="88">
        <v>25550.42</v>
      </c>
      <c r="AU158" s="88">
        <v>23205.51</v>
      </c>
      <c r="AV158" s="88">
        <v>71429.789999999994</v>
      </c>
      <c r="AW158" s="88">
        <v>1817398.52</v>
      </c>
      <c r="AX158" s="88">
        <v>0</v>
      </c>
      <c r="AY158" s="81">
        <f t="shared" si="31"/>
        <v>0</v>
      </c>
      <c r="AZ158" s="89">
        <v>2158.4299999999998</v>
      </c>
      <c r="BA158" s="81">
        <v>8.7326841525118007E-2</v>
      </c>
      <c r="BB158" s="79">
        <v>488906.75</v>
      </c>
      <c r="BC158" s="79">
        <v>2737433.87</v>
      </c>
      <c r="BD158" s="80">
        <v>219587</v>
      </c>
      <c r="BE158" s="80">
        <v>0</v>
      </c>
      <c r="BF158" s="80">
        <v>428971.39999999898</v>
      </c>
      <c r="BG158" s="80">
        <v>0</v>
      </c>
      <c r="BH158" s="80">
        <v>0</v>
      </c>
      <c r="BI158" s="80">
        <v>0</v>
      </c>
      <c r="BJ158" s="80">
        <f t="shared" si="32"/>
        <v>0</v>
      </c>
      <c r="BK158" s="80">
        <v>0</v>
      </c>
      <c r="BL158" s="80">
        <v>4511</v>
      </c>
      <c r="BM158" s="80">
        <v>1224</v>
      </c>
      <c r="BN158" s="79">
        <v>4</v>
      </c>
      <c r="BO158" s="79">
        <v>-4</v>
      </c>
      <c r="BP158" s="79">
        <v>-39</v>
      </c>
      <c r="BQ158" s="79">
        <v>-73</v>
      </c>
      <c r="BR158" s="79">
        <v>-294</v>
      </c>
      <c r="BS158" s="79">
        <v>-497</v>
      </c>
      <c r="BT158" s="79">
        <v>0</v>
      </c>
      <c r="BU158" s="79">
        <v>-2</v>
      </c>
      <c r="BV158" s="79">
        <v>27</v>
      </c>
      <c r="BW158" s="79">
        <v>-922</v>
      </c>
      <c r="BX158" s="79">
        <v>-3</v>
      </c>
      <c r="BY158" s="79">
        <v>3932</v>
      </c>
      <c r="BZ158" s="79">
        <v>8</v>
      </c>
      <c r="CA158" s="79">
        <v>136</v>
      </c>
      <c r="CB158" s="79">
        <v>108</v>
      </c>
      <c r="CC158" s="79">
        <v>671</v>
      </c>
      <c r="CD158" s="79">
        <v>2</v>
      </c>
      <c r="CE158" s="79">
        <v>5</v>
      </c>
    </row>
    <row r="159" spans="1:83" s="58" customFormat="1" ht="15.6" customHeight="1" x14ac:dyDescent="0.25">
      <c r="A159" s="62">
        <v>19</v>
      </c>
      <c r="B159" s="55" t="s">
        <v>473</v>
      </c>
      <c r="C159" s="77" t="s">
        <v>128</v>
      </c>
      <c r="D159" s="50" t="s">
        <v>474</v>
      </c>
      <c r="E159" s="41" t="s">
        <v>86</v>
      </c>
      <c r="F159" s="50" t="s">
        <v>475</v>
      </c>
      <c r="G159" s="89">
        <v>1862966.81</v>
      </c>
      <c r="H159" s="89">
        <v>0</v>
      </c>
      <c r="I159" s="89">
        <v>4897.88</v>
      </c>
      <c r="J159" s="89">
        <v>0</v>
      </c>
      <c r="K159" s="89">
        <v>417.6</v>
      </c>
      <c r="L159" s="89">
        <v>1868282.29</v>
      </c>
      <c r="M159" s="89">
        <v>0</v>
      </c>
      <c r="N159" s="89">
        <v>0</v>
      </c>
      <c r="O159" s="89">
        <v>200557.13</v>
      </c>
      <c r="P159" s="89">
        <v>261042.91</v>
      </c>
      <c r="Q159" s="89">
        <v>0</v>
      </c>
      <c r="R159" s="89">
        <v>118734</v>
      </c>
      <c r="S159" s="89">
        <v>1023614.4</v>
      </c>
      <c r="T159" s="89">
        <v>156645.82999999999</v>
      </c>
      <c r="U159" s="89">
        <v>0</v>
      </c>
      <c r="V159" s="89">
        <v>0</v>
      </c>
      <c r="W159" s="89">
        <v>30639.23</v>
      </c>
      <c r="X159" s="89">
        <f>418+1283+186258</f>
        <v>187959</v>
      </c>
      <c r="Y159" s="89">
        <v>1979193</v>
      </c>
      <c r="Z159" s="81">
        <v>0.10907538390337722</v>
      </c>
      <c r="AA159" s="89">
        <v>186258.18</v>
      </c>
      <c r="AB159" s="89">
        <v>0</v>
      </c>
      <c r="AC159" s="89">
        <v>0</v>
      </c>
      <c r="AD159" s="89">
        <v>417.6</v>
      </c>
      <c r="AE159" s="89">
        <v>0</v>
      </c>
      <c r="AF159" s="89">
        <f t="shared" si="30"/>
        <v>417.6</v>
      </c>
      <c r="AG159" s="89">
        <v>49470.03</v>
      </c>
      <c r="AH159" s="89">
        <v>3855.45</v>
      </c>
      <c r="AI159" s="89">
        <v>0</v>
      </c>
      <c r="AJ159" s="89">
        <v>0</v>
      </c>
      <c r="AK159" s="89">
        <v>13200</v>
      </c>
      <c r="AL159" s="89">
        <v>10600</v>
      </c>
      <c r="AM159" s="89">
        <v>19869.990000000002</v>
      </c>
      <c r="AN159" s="89">
        <v>9625</v>
      </c>
      <c r="AO159" s="89">
        <v>0</v>
      </c>
      <c r="AP159" s="89">
        <v>0</v>
      </c>
      <c r="AQ159" s="89">
        <v>6676.01</v>
      </c>
      <c r="AR159" s="89">
        <v>0</v>
      </c>
      <c r="AS159" s="89">
        <v>0</v>
      </c>
      <c r="AT159" s="89">
        <v>455.75</v>
      </c>
      <c r="AU159" s="89">
        <v>106.14</v>
      </c>
      <c r="AV159" s="89">
        <v>1969.24</v>
      </c>
      <c r="AW159" s="89">
        <v>116592</v>
      </c>
      <c r="AX159" s="89">
        <v>0</v>
      </c>
      <c r="AY159" s="81">
        <f t="shared" si="31"/>
        <v>0</v>
      </c>
      <c r="AZ159" s="89">
        <v>0</v>
      </c>
      <c r="BA159" s="81">
        <v>9.997933350192105E-2</v>
      </c>
      <c r="BB159" s="80">
        <v>44182.28</v>
      </c>
      <c r="BC159" s="80">
        <v>52121.54</v>
      </c>
      <c r="BD159" s="80">
        <v>71000</v>
      </c>
      <c r="BE159" s="80">
        <v>0</v>
      </c>
      <c r="BF159" s="80">
        <v>109</v>
      </c>
      <c r="BG159" s="80">
        <v>0</v>
      </c>
      <c r="BH159" s="80">
        <v>0</v>
      </c>
      <c r="BI159" s="80">
        <v>0</v>
      </c>
      <c r="BJ159" s="80">
        <f t="shared" si="32"/>
        <v>0</v>
      </c>
      <c r="BK159" s="80">
        <v>0</v>
      </c>
      <c r="BL159" s="80">
        <v>206</v>
      </c>
      <c r="BM159" s="80">
        <v>114</v>
      </c>
      <c r="BN159" s="80">
        <v>0</v>
      </c>
      <c r="BO159" s="80">
        <v>0</v>
      </c>
      <c r="BP159" s="80">
        <v>-8</v>
      </c>
      <c r="BQ159" s="80">
        <v>-5</v>
      </c>
      <c r="BR159" s="80">
        <v>-43</v>
      </c>
      <c r="BS159" s="80">
        <v>-25</v>
      </c>
      <c r="BT159" s="80">
        <v>5</v>
      </c>
      <c r="BU159" s="80">
        <v>0</v>
      </c>
      <c r="BV159" s="80">
        <v>0</v>
      </c>
      <c r="BW159" s="80">
        <v>-54</v>
      </c>
      <c r="BX159" s="80">
        <v>-1</v>
      </c>
      <c r="BY159" s="80">
        <v>189</v>
      </c>
      <c r="BZ159" s="80">
        <v>0</v>
      </c>
      <c r="CA159" s="80">
        <v>38</v>
      </c>
      <c r="CB159" s="80">
        <v>9</v>
      </c>
      <c r="CC159" s="80">
        <v>7</v>
      </c>
      <c r="CD159" s="80">
        <v>0</v>
      </c>
      <c r="CE159" s="80">
        <v>0</v>
      </c>
    </row>
    <row r="160" spans="1:83" s="58" customFormat="1" ht="15.6" customHeight="1" x14ac:dyDescent="0.25">
      <c r="A160" s="50">
        <v>20</v>
      </c>
      <c r="B160" s="50" t="s">
        <v>476</v>
      </c>
      <c r="C160" s="77" t="s">
        <v>148</v>
      </c>
      <c r="D160" s="50" t="s">
        <v>477</v>
      </c>
      <c r="E160" s="50" t="s">
        <v>109</v>
      </c>
      <c r="F160" s="50" t="s">
        <v>478</v>
      </c>
      <c r="G160" s="88">
        <v>6550403.9400000004</v>
      </c>
      <c r="H160" s="88">
        <v>373771.97</v>
      </c>
      <c r="I160" s="88">
        <v>90365.01</v>
      </c>
      <c r="J160" s="88">
        <v>0</v>
      </c>
      <c r="K160" s="89">
        <v>2637.06</v>
      </c>
      <c r="L160" s="89">
        <v>7017177.9800000004</v>
      </c>
      <c r="M160" s="89">
        <v>0</v>
      </c>
      <c r="N160" s="88">
        <v>1657337.78</v>
      </c>
      <c r="O160" s="88">
        <v>352681.16</v>
      </c>
      <c r="P160" s="90">
        <v>1831832.71</v>
      </c>
      <c r="Q160" s="88">
        <v>17808.87</v>
      </c>
      <c r="R160" s="88">
        <v>283004.32</v>
      </c>
      <c r="S160" s="88">
        <v>1494508.51</v>
      </c>
      <c r="T160" s="88">
        <v>333009.06</v>
      </c>
      <c r="U160" s="88">
        <v>0</v>
      </c>
      <c r="V160" s="88">
        <v>0</v>
      </c>
      <c r="W160" s="88">
        <v>145020.4</v>
      </c>
      <c r="X160" s="89">
        <v>658542.86</v>
      </c>
      <c r="Y160" s="89">
        <v>6773745.6699999999</v>
      </c>
      <c r="Z160" s="81">
        <v>0.14979594878605559</v>
      </c>
      <c r="AA160" s="89">
        <v>654819.9</v>
      </c>
      <c r="AB160" s="89">
        <v>0</v>
      </c>
      <c r="AC160" s="89">
        <v>0</v>
      </c>
      <c r="AD160" s="89">
        <v>2479.6999999999998</v>
      </c>
      <c r="AE160" s="89">
        <v>94.01</v>
      </c>
      <c r="AF160" s="89">
        <f t="shared" si="30"/>
        <v>2573.71</v>
      </c>
      <c r="AG160" s="89">
        <v>175901.86</v>
      </c>
      <c r="AH160" s="88">
        <v>18431.36</v>
      </c>
      <c r="AI160" s="88">
        <v>36226.81</v>
      </c>
      <c r="AJ160" s="89">
        <v>5162.87</v>
      </c>
      <c r="AK160" s="88">
        <v>32241.72</v>
      </c>
      <c r="AL160" s="88">
        <v>38108.04</v>
      </c>
      <c r="AM160" s="88">
        <v>52885.03</v>
      </c>
      <c r="AN160" s="88">
        <v>9600</v>
      </c>
      <c r="AO160" s="88">
        <v>2175</v>
      </c>
      <c r="AP160" s="88">
        <v>0</v>
      </c>
      <c r="AQ160" s="88">
        <v>25449.34</v>
      </c>
      <c r="AR160" s="88">
        <v>12591.5</v>
      </c>
      <c r="AS160" s="88">
        <v>1400.89</v>
      </c>
      <c r="AT160" s="88">
        <v>4368.2299999999996</v>
      </c>
      <c r="AU160" s="88">
        <v>5258.31</v>
      </c>
      <c r="AV160" s="88">
        <v>29997.38</v>
      </c>
      <c r="AW160" s="88">
        <v>449798.34</v>
      </c>
      <c r="AX160" s="88">
        <v>0</v>
      </c>
      <c r="AY160" s="81">
        <f t="shared" si="31"/>
        <v>0</v>
      </c>
      <c r="AZ160" s="89">
        <v>0</v>
      </c>
      <c r="BA160" s="81">
        <v>9.9966338869782734E-2</v>
      </c>
      <c r="BB160" s="79">
        <v>378591.39</v>
      </c>
      <c r="BC160" s="79">
        <v>658622.11</v>
      </c>
      <c r="BD160" s="80">
        <v>219587</v>
      </c>
      <c r="BE160" s="80">
        <v>0</v>
      </c>
      <c r="BF160" s="80">
        <v>90419.459999999803</v>
      </c>
      <c r="BG160" s="80">
        <v>0</v>
      </c>
      <c r="BH160" s="80">
        <v>0</v>
      </c>
      <c r="BI160" s="80">
        <v>0</v>
      </c>
      <c r="BJ160" s="80">
        <f t="shared" si="32"/>
        <v>0</v>
      </c>
      <c r="BK160" s="80">
        <v>0</v>
      </c>
      <c r="BL160" s="80">
        <v>451</v>
      </c>
      <c r="BM160" s="80">
        <v>145</v>
      </c>
      <c r="BN160" s="79">
        <v>3</v>
      </c>
      <c r="BO160" s="79">
        <v>-2</v>
      </c>
      <c r="BP160" s="79">
        <v>-7</v>
      </c>
      <c r="BQ160" s="79">
        <v>-19</v>
      </c>
      <c r="BR160" s="79">
        <v>-33</v>
      </c>
      <c r="BS160" s="79">
        <v>-35</v>
      </c>
      <c r="BT160" s="79">
        <v>0</v>
      </c>
      <c r="BU160" s="79">
        <v>0</v>
      </c>
      <c r="BV160" s="79">
        <v>3</v>
      </c>
      <c r="BW160" s="79">
        <v>-86</v>
      </c>
      <c r="BX160" s="79">
        <v>0</v>
      </c>
      <c r="BY160" s="79">
        <v>420</v>
      </c>
      <c r="BZ160" s="79">
        <v>3</v>
      </c>
      <c r="CA160" s="79">
        <v>56</v>
      </c>
      <c r="CB160" s="79">
        <v>10</v>
      </c>
      <c r="CC160" s="79">
        <v>12</v>
      </c>
      <c r="CD160" s="79">
        <v>6</v>
      </c>
      <c r="CE160" s="79">
        <v>2</v>
      </c>
    </row>
    <row r="161" spans="1:83" s="58" customFormat="1" ht="15.6" customHeight="1" x14ac:dyDescent="0.25">
      <c r="A161" s="50">
        <v>20</v>
      </c>
      <c r="B161" s="50" t="s">
        <v>584</v>
      </c>
      <c r="C161" s="77" t="s">
        <v>576</v>
      </c>
      <c r="D161" s="50" t="s">
        <v>489</v>
      </c>
      <c r="E161" s="41" t="s">
        <v>86</v>
      </c>
      <c r="F161" s="50" t="s">
        <v>490</v>
      </c>
      <c r="G161" s="80">
        <f>6391222+1387763</f>
        <v>7778985</v>
      </c>
      <c r="H161" s="80">
        <v>0</v>
      </c>
      <c r="I161" s="80">
        <f>269+190000+74317</f>
        <v>264586</v>
      </c>
      <c r="J161" s="80">
        <f>753+358</f>
        <v>1111</v>
      </c>
      <c r="K161" s="80">
        <v>0</v>
      </c>
      <c r="L161" s="80">
        <f>6582244+1462438</f>
        <v>8044682</v>
      </c>
      <c r="M161" s="80">
        <f>7433+3584</f>
        <v>11017</v>
      </c>
      <c r="N161" s="80">
        <f>91792+5725</f>
        <v>97517</v>
      </c>
      <c r="O161" s="80">
        <f>412283+87313</f>
        <v>499596</v>
      </c>
      <c r="P161" s="80">
        <f>1937786+319935</f>
        <v>2257721</v>
      </c>
      <c r="Q161" s="80">
        <f>25619+7295</f>
        <v>32914</v>
      </c>
      <c r="R161" s="80">
        <f>521102+125243</f>
        <v>646345</v>
      </c>
      <c r="S161" s="80">
        <f>2029208+460285</f>
        <v>2489493</v>
      </c>
      <c r="T161" s="80">
        <f>644668+135093</f>
        <v>779761</v>
      </c>
      <c r="U161" s="80">
        <v>0</v>
      </c>
      <c r="V161" s="80">
        <v>0</v>
      </c>
      <c r="W161" s="80">
        <f>190753+74675</f>
        <v>265428</v>
      </c>
      <c r="X161" s="80">
        <f>25289+22252+533181+138972+753+358</f>
        <v>720805</v>
      </c>
      <c r="Y161" s="80">
        <f>6412344+1377127</f>
        <v>7789471</v>
      </c>
      <c r="Z161" s="81">
        <f>777553/(6391222+1387763)</f>
        <v>9.9955585465198865E-2</v>
      </c>
      <c r="AA161" s="80">
        <f>533934+139331</f>
        <v>673265</v>
      </c>
      <c r="AB161" s="80">
        <v>0</v>
      </c>
      <c r="AC161" s="80">
        <v>0</v>
      </c>
      <c r="AD161" s="80">
        <v>0</v>
      </c>
      <c r="AE161" s="80">
        <v>0</v>
      </c>
      <c r="AF161" s="89">
        <f t="shared" ref="AF161" si="33">SUM(AD161:AE161)</f>
        <v>0</v>
      </c>
      <c r="AG161" s="80">
        <f>180427+32094</f>
        <v>212521</v>
      </c>
      <c r="AH161" s="80">
        <f>14665+2455</f>
        <v>17120</v>
      </c>
      <c r="AI161" s="80">
        <f>36837+8707</f>
        <v>45544</v>
      </c>
      <c r="AJ161" s="80">
        <v>0</v>
      </c>
      <c r="AK161" s="80">
        <f>33516</f>
        <v>33516</v>
      </c>
      <c r="AL161" s="80">
        <v>15314</v>
      </c>
      <c r="AM161" s="80">
        <v>46211</v>
      </c>
      <c r="AN161" s="80">
        <v>11500</v>
      </c>
      <c r="AO161" s="80">
        <v>16586</v>
      </c>
      <c r="AP161" s="80">
        <v>0</v>
      </c>
      <c r="AQ161" s="80">
        <v>41247</v>
      </c>
      <c r="AR161" s="80">
        <v>12896</v>
      </c>
      <c r="AS161" s="80">
        <v>0</v>
      </c>
      <c r="AT161" s="80">
        <v>8856</v>
      </c>
      <c r="AU161" s="80">
        <v>10872</v>
      </c>
      <c r="AV161" s="80">
        <v>39080</v>
      </c>
      <c r="AW161" s="80">
        <v>511263</v>
      </c>
      <c r="AX161" s="80">
        <v>0</v>
      </c>
      <c r="AY161" s="81">
        <f t="shared" ref="AY161" si="34">AX161/AW161</f>
        <v>0</v>
      </c>
      <c r="AZ161" s="80">
        <v>0</v>
      </c>
      <c r="BA161" s="81">
        <f>673264/7790002</f>
        <v>8.6426678709453475E-2</v>
      </c>
      <c r="BB161" s="80">
        <v>359670</v>
      </c>
      <c r="BC161" s="80">
        <v>417883</v>
      </c>
      <c r="BD161" s="80">
        <f>180955+36330</f>
        <v>217285</v>
      </c>
      <c r="BE161" s="80">
        <v>0</v>
      </c>
      <c r="BF161" s="80">
        <v>67569</v>
      </c>
      <c r="BG161" s="80">
        <v>0</v>
      </c>
      <c r="BH161" s="80">
        <v>0</v>
      </c>
      <c r="BI161" s="80">
        <v>0</v>
      </c>
      <c r="BJ161" s="48">
        <f t="shared" si="32"/>
        <v>0</v>
      </c>
      <c r="BK161" s="80">
        <v>0</v>
      </c>
      <c r="BL161" s="80">
        <v>789</v>
      </c>
      <c r="BM161" s="80">
        <v>345</v>
      </c>
      <c r="BN161" s="80">
        <v>0</v>
      </c>
      <c r="BO161" s="80">
        <v>-1</v>
      </c>
      <c r="BP161" s="80">
        <v>-30</v>
      </c>
      <c r="BQ161" s="80">
        <v>-24</v>
      </c>
      <c r="BR161" s="80">
        <v>-58</v>
      </c>
      <c r="BS161" s="80">
        <v>-63</v>
      </c>
      <c r="BT161" s="80">
        <v>0</v>
      </c>
      <c r="BU161" s="80">
        <v>0</v>
      </c>
      <c r="BV161" s="80">
        <v>16</v>
      </c>
      <c r="BW161" s="80">
        <v>-123</v>
      </c>
      <c r="BX161" s="80">
        <v>0</v>
      </c>
      <c r="BY161" s="80">
        <v>853</v>
      </c>
      <c r="BZ161" s="80">
        <v>25</v>
      </c>
      <c r="CA161" s="80">
        <v>54</v>
      </c>
      <c r="CB161" s="80">
        <v>14</v>
      </c>
      <c r="CC161" s="80">
        <v>53</v>
      </c>
      <c r="CD161" s="80">
        <v>2</v>
      </c>
      <c r="CE161" s="80">
        <v>3</v>
      </c>
    </row>
    <row r="162" spans="1:83" s="58" customFormat="1" ht="15.6" customHeight="1" x14ac:dyDescent="0.25">
      <c r="A162" s="50">
        <v>20</v>
      </c>
      <c r="B162" s="50" t="s">
        <v>563</v>
      </c>
      <c r="C162" s="77" t="s">
        <v>158</v>
      </c>
      <c r="D162" s="50" t="s">
        <v>492</v>
      </c>
      <c r="E162" s="41" t="s">
        <v>86</v>
      </c>
      <c r="F162" s="50" t="s">
        <v>484</v>
      </c>
      <c r="G162" s="88">
        <v>22127422.75</v>
      </c>
      <c r="H162" s="88">
        <v>0</v>
      </c>
      <c r="I162" s="88">
        <v>338965.29</v>
      </c>
      <c r="J162" s="88">
        <v>0</v>
      </c>
      <c r="K162" s="89">
        <v>11111.46</v>
      </c>
      <c r="L162" s="89">
        <v>22477499.5</v>
      </c>
      <c r="M162" s="89">
        <v>0</v>
      </c>
      <c r="N162" s="88">
        <v>4477293.88</v>
      </c>
      <c r="O162" s="88">
        <v>1031332.63</v>
      </c>
      <c r="P162" s="90">
        <v>7618352.9800000004</v>
      </c>
      <c r="Q162" s="88">
        <v>8459.4500000000007</v>
      </c>
      <c r="R162" s="88">
        <v>1457528.38</v>
      </c>
      <c r="S162" s="88">
        <v>4465497.1500000004</v>
      </c>
      <c r="T162" s="88">
        <v>1564202.39</v>
      </c>
      <c r="U162" s="88">
        <v>0</v>
      </c>
      <c r="V162" s="88">
        <v>0</v>
      </c>
      <c r="W162" s="88">
        <v>481802.51</v>
      </c>
      <c r="X162" s="89">
        <v>1706337.78</v>
      </c>
      <c r="Y162" s="89">
        <v>22810807.149999999</v>
      </c>
      <c r="Z162" s="81">
        <v>4.3516588934876879E-2</v>
      </c>
      <c r="AA162" s="89">
        <v>1555220.52</v>
      </c>
      <c r="AB162" s="89">
        <v>0</v>
      </c>
      <c r="AC162" s="89">
        <v>0</v>
      </c>
      <c r="AD162" s="89">
        <v>11111.46</v>
      </c>
      <c r="AE162" s="89">
        <v>0</v>
      </c>
      <c r="AF162" s="89">
        <f>SUM(AD162:AE162)</f>
        <v>11111.46</v>
      </c>
      <c r="AG162" s="89">
        <v>755985.7</v>
      </c>
      <c r="AH162" s="88">
        <v>62624.77</v>
      </c>
      <c r="AI162" s="88">
        <v>149242.07</v>
      </c>
      <c r="AJ162" s="89">
        <v>0</v>
      </c>
      <c r="AK162" s="88">
        <v>78992.61</v>
      </c>
      <c r="AL162" s="88">
        <v>36698.33</v>
      </c>
      <c r="AM162" s="88">
        <v>72639.78</v>
      </c>
      <c r="AN162" s="88">
        <v>10700</v>
      </c>
      <c r="AO162" s="88">
        <v>1458.42</v>
      </c>
      <c r="AP162" s="88">
        <v>0</v>
      </c>
      <c r="AQ162" s="88">
        <v>54675.08</v>
      </c>
      <c r="AR162" s="88">
        <v>23152.49</v>
      </c>
      <c r="AS162" s="88">
        <v>0</v>
      </c>
      <c r="AT162" s="88">
        <v>1174.6400000000001</v>
      </c>
      <c r="AU162" s="88">
        <v>12374.75</v>
      </c>
      <c r="AV162" s="88">
        <v>78429.03</v>
      </c>
      <c r="AW162" s="88">
        <v>1338147.67</v>
      </c>
      <c r="AX162" s="88">
        <v>0</v>
      </c>
      <c r="AY162" s="81">
        <f>AX162/AW162</f>
        <v>0</v>
      </c>
      <c r="AZ162" s="89">
        <v>0</v>
      </c>
      <c r="BA162" s="81">
        <v>7.0284756501974452E-2</v>
      </c>
      <c r="BB162" s="79">
        <v>239005.75</v>
      </c>
      <c r="BC162" s="79">
        <v>723904.21</v>
      </c>
      <c r="BD162" s="80">
        <v>216829.1</v>
      </c>
      <c r="BE162" s="80">
        <v>0.100000000034925</v>
      </c>
      <c r="BF162" s="80">
        <v>320244.12</v>
      </c>
      <c r="BG162" s="80">
        <v>0</v>
      </c>
      <c r="BH162" s="80">
        <v>0</v>
      </c>
      <c r="BI162" s="80">
        <v>0</v>
      </c>
      <c r="BJ162" s="80">
        <f>SUM(BH162:BI162)</f>
        <v>0</v>
      </c>
      <c r="BK162" s="80">
        <v>0</v>
      </c>
      <c r="BL162" s="80">
        <v>2640</v>
      </c>
      <c r="BM162" s="80">
        <v>655</v>
      </c>
      <c r="BN162" s="79">
        <v>22</v>
      </c>
      <c r="BO162" s="79">
        <v>-17</v>
      </c>
      <c r="BP162" s="79">
        <v>-20</v>
      </c>
      <c r="BQ162" s="79">
        <v>-69</v>
      </c>
      <c r="BR162" s="79">
        <v>-70</v>
      </c>
      <c r="BS162" s="79">
        <v>-144</v>
      </c>
      <c r="BT162" s="79">
        <v>0</v>
      </c>
      <c r="BU162" s="79">
        <v>0</v>
      </c>
      <c r="BV162" s="79">
        <v>0</v>
      </c>
      <c r="BW162" s="79">
        <v>-541</v>
      </c>
      <c r="BX162" s="79">
        <v>-1</v>
      </c>
      <c r="BY162" s="79">
        <v>2455</v>
      </c>
      <c r="BZ162" s="79">
        <v>4</v>
      </c>
      <c r="CA162" s="79">
        <v>108</v>
      </c>
      <c r="CB162" s="79">
        <v>48</v>
      </c>
      <c r="CC162" s="79">
        <v>380</v>
      </c>
      <c r="CD162" s="79">
        <v>8</v>
      </c>
      <c r="CE162" s="79">
        <v>1</v>
      </c>
    </row>
    <row r="163" spans="1:83" s="58" customFormat="1" ht="15.6" customHeight="1" x14ac:dyDescent="0.25">
      <c r="A163" s="50">
        <v>20</v>
      </c>
      <c r="B163" s="50" t="s">
        <v>479</v>
      </c>
      <c r="C163" s="77" t="s">
        <v>480</v>
      </c>
      <c r="D163" s="50" t="s">
        <v>481</v>
      </c>
      <c r="E163" s="50" t="s">
        <v>104</v>
      </c>
      <c r="F163" s="50" t="s">
        <v>478</v>
      </c>
      <c r="G163" s="89">
        <v>11073091.73</v>
      </c>
      <c r="H163" s="89">
        <v>137875.47</v>
      </c>
      <c r="I163" s="89">
        <v>0</v>
      </c>
      <c r="J163" s="89">
        <v>0</v>
      </c>
      <c r="K163" s="89">
        <v>0</v>
      </c>
      <c r="L163" s="89">
        <v>11210967.199999999</v>
      </c>
      <c r="M163" s="89">
        <v>0</v>
      </c>
      <c r="N163" s="89">
        <v>2399972.42</v>
      </c>
      <c r="O163" s="89">
        <v>837547.18</v>
      </c>
      <c r="P163" s="89">
        <v>2372745.08</v>
      </c>
      <c r="Q163" s="89">
        <v>0</v>
      </c>
      <c r="R163" s="89">
        <v>642187</v>
      </c>
      <c r="S163" s="89">
        <v>2603555.8199999998</v>
      </c>
      <c r="T163" s="89">
        <v>525622.64</v>
      </c>
      <c r="U163" s="89">
        <v>0</v>
      </c>
      <c r="V163" s="89">
        <v>0</v>
      </c>
      <c r="W163" s="89">
        <v>532168.86</v>
      </c>
      <c r="X163" s="89">
        <v>832979.15</v>
      </c>
      <c r="Y163" s="89">
        <v>10746778.15</v>
      </c>
      <c r="Z163" s="81">
        <v>0.18099032793530961</v>
      </c>
      <c r="AA163" s="89">
        <v>832979.15</v>
      </c>
      <c r="AB163" s="89">
        <v>0</v>
      </c>
      <c r="AC163" s="89">
        <v>0</v>
      </c>
      <c r="AD163" s="89">
        <v>0</v>
      </c>
      <c r="AE163" s="89">
        <v>174.34</v>
      </c>
      <c r="AF163" s="89">
        <f>SUM(AD163:AE163)</f>
        <v>174.34</v>
      </c>
      <c r="AG163" s="89">
        <v>289045.44</v>
      </c>
      <c r="AH163" s="89">
        <v>22533.35</v>
      </c>
      <c r="AI163" s="89">
        <v>54994.98</v>
      </c>
      <c r="AJ163" s="89">
        <v>22472.959999999999</v>
      </c>
      <c r="AK163" s="89">
        <v>77617.53</v>
      </c>
      <c r="AL163" s="89">
        <v>13897.9</v>
      </c>
      <c r="AM163" s="89">
        <v>34722.03</v>
      </c>
      <c r="AN163" s="89">
        <v>9600</v>
      </c>
      <c r="AO163" s="89">
        <v>0</v>
      </c>
      <c r="AP163" s="89">
        <v>0</v>
      </c>
      <c r="AQ163" s="89">
        <v>27687.040000000001</v>
      </c>
      <c r="AR163" s="89">
        <v>10136.82</v>
      </c>
      <c r="AS163" s="89">
        <v>0</v>
      </c>
      <c r="AT163" s="89">
        <v>2249.5500000000002</v>
      </c>
      <c r="AU163" s="89">
        <v>15598.8</v>
      </c>
      <c r="AV163" s="89">
        <v>34175.919999999998</v>
      </c>
      <c r="AW163" s="89">
        <v>614732.31999999995</v>
      </c>
      <c r="AX163" s="89">
        <v>142496.98000000001</v>
      </c>
      <c r="AY163" s="81">
        <f>AX163/AW163</f>
        <v>0.23180329936125699</v>
      </c>
      <c r="AZ163" s="89">
        <v>0</v>
      </c>
      <c r="BA163" s="81">
        <v>7.522552601485584E-2</v>
      </c>
      <c r="BB163" s="80">
        <v>1068476.29</v>
      </c>
      <c r="BC163" s="80">
        <v>960600.34</v>
      </c>
      <c r="BD163" s="80">
        <v>219587</v>
      </c>
      <c r="BE163" s="80">
        <v>0</v>
      </c>
      <c r="BF163" s="80">
        <v>133590.20000000001</v>
      </c>
      <c r="BG163" s="80">
        <v>0</v>
      </c>
      <c r="BH163" s="80">
        <v>0</v>
      </c>
      <c r="BI163" s="80">
        <v>0</v>
      </c>
      <c r="BJ163" s="80">
        <f>SUM(BH163:BI163)</f>
        <v>0</v>
      </c>
      <c r="BK163" s="80">
        <v>0</v>
      </c>
      <c r="BL163" s="80">
        <v>769</v>
      </c>
      <c r="BM163" s="80">
        <v>274</v>
      </c>
      <c r="BN163" s="80">
        <v>0</v>
      </c>
      <c r="BO163" s="80">
        <v>0</v>
      </c>
      <c r="BP163" s="80">
        <v>-22</v>
      </c>
      <c r="BQ163" s="80">
        <v>-21</v>
      </c>
      <c r="BR163" s="80">
        <v>-87</v>
      </c>
      <c r="BS163" s="80">
        <v>-78</v>
      </c>
      <c r="BT163" s="80">
        <v>1</v>
      </c>
      <c r="BU163" s="80">
        <v>0</v>
      </c>
      <c r="BV163" s="80">
        <v>2</v>
      </c>
      <c r="BW163" s="80">
        <v>-143</v>
      </c>
      <c r="BX163" s="80">
        <v>-1</v>
      </c>
      <c r="BY163" s="80">
        <v>694</v>
      </c>
      <c r="BZ163" s="80">
        <v>0</v>
      </c>
      <c r="CA163" s="80">
        <v>67</v>
      </c>
      <c r="CB163" s="80">
        <v>23</v>
      </c>
      <c r="CC163" s="80">
        <v>53</v>
      </c>
      <c r="CD163" s="80">
        <v>0</v>
      </c>
      <c r="CE163" s="80">
        <v>0</v>
      </c>
    </row>
    <row r="164" spans="1:83" s="58" customFormat="1" ht="15.6" customHeight="1" x14ac:dyDescent="0.25">
      <c r="A164" s="50">
        <v>20</v>
      </c>
      <c r="B164" s="50" t="s">
        <v>482</v>
      </c>
      <c r="C164" s="77" t="s">
        <v>148</v>
      </c>
      <c r="D164" s="42" t="s">
        <v>483</v>
      </c>
      <c r="E164" s="41" t="s">
        <v>86</v>
      </c>
      <c r="F164" s="50" t="s">
        <v>484</v>
      </c>
      <c r="G164" s="89">
        <v>32102195.02</v>
      </c>
      <c r="H164" s="89">
        <v>0</v>
      </c>
      <c r="I164" s="89">
        <v>870905.89</v>
      </c>
      <c r="J164" s="89">
        <v>0</v>
      </c>
      <c r="K164" s="89">
        <v>0</v>
      </c>
      <c r="L164" s="89">
        <v>32973100.91</v>
      </c>
      <c r="M164" s="89">
        <v>0</v>
      </c>
      <c r="N164" s="89">
        <v>7255484.04</v>
      </c>
      <c r="O164" s="89">
        <v>1332532.69</v>
      </c>
      <c r="P164" s="89">
        <v>10355269.449999999</v>
      </c>
      <c r="Q164" s="89">
        <v>4735.9799999999996</v>
      </c>
      <c r="R164" s="89">
        <v>2884628.97</v>
      </c>
      <c r="S164" s="89">
        <v>3917111.09</v>
      </c>
      <c r="T164" s="89">
        <v>3700940.61</v>
      </c>
      <c r="U164" s="89">
        <v>0</v>
      </c>
      <c r="V164" s="89">
        <v>0</v>
      </c>
      <c r="W164" s="89">
        <v>969897.47</v>
      </c>
      <c r="X164" s="89">
        <v>2510593.67</v>
      </c>
      <c r="Y164" s="89">
        <v>32931193.969999999</v>
      </c>
      <c r="Z164" s="81">
        <v>2.6249353337833344E-2</v>
      </c>
      <c r="AA164" s="89">
        <v>2247538.4</v>
      </c>
      <c r="AB164" s="89">
        <v>0</v>
      </c>
      <c r="AC164" s="89">
        <v>0</v>
      </c>
      <c r="AD164" s="89">
        <v>0</v>
      </c>
      <c r="AE164" s="89">
        <v>0</v>
      </c>
      <c r="AF164" s="89">
        <f>SUM(AD164:AE164)</f>
        <v>0</v>
      </c>
      <c r="AG164" s="89">
        <v>1132823.77</v>
      </c>
      <c r="AH164" s="89">
        <v>86728.2</v>
      </c>
      <c r="AI164" s="89">
        <v>265653.65999999997</v>
      </c>
      <c r="AJ164" s="89">
        <v>0</v>
      </c>
      <c r="AK164" s="89">
        <v>81192.990000000005</v>
      </c>
      <c r="AL164" s="89">
        <v>10100</v>
      </c>
      <c r="AM164" s="89">
        <v>78898.240000000005</v>
      </c>
      <c r="AN164" s="89">
        <v>11600</v>
      </c>
      <c r="AO164" s="89">
        <v>4280</v>
      </c>
      <c r="AP164" s="89">
        <v>0</v>
      </c>
      <c r="AQ164" s="89">
        <v>56165.850000000006</v>
      </c>
      <c r="AR164" s="89">
        <v>17191.919999999998</v>
      </c>
      <c r="AS164" s="89">
        <v>0</v>
      </c>
      <c r="AT164" s="89">
        <v>14521.65</v>
      </c>
      <c r="AU164" s="89">
        <v>72522.52</v>
      </c>
      <c r="AV164" s="89">
        <v>37799.93</v>
      </c>
      <c r="AW164" s="89">
        <v>1869478.73</v>
      </c>
      <c r="AX164" s="89">
        <v>0</v>
      </c>
      <c r="AY164" s="81">
        <f>AX164/AW164</f>
        <v>0</v>
      </c>
      <c r="AZ164" s="89">
        <v>0</v>
      </c>
      <c r="BA164" s="81">
        <v>7.0011985118144104E-2</v>
      </c>
      <c r="BB164" s="80">
        <v>238205.74</v>
      </c>
      <c r="BC164" s="80">
        <v>604456.12</v>
      </c>
      <c r="BD164" s="80">
        <v>219587</v>
      </c>
      <c r="BE164" s="80">
        <v>0</v>
      </c>
      <c r="BF164" s="80">
        <v>335280.73</v>
      </c>
      <c r="BG164" s="80">
        <v>0</v>
      </c>
      <c r="BH164" s="80">
        <v>0</v>
      </c>
      <c r="BI164" s="80">
        <v>0</v>
      </c>
      <c r="BJ164" s="80">
        <f>SUM(BH164:BI164)</f>
        <v>0</v>
      </c>
      <c r="BK164" s="80">
        <v>0</v>
      </c>
      <c r="BL164" s="80">
        <v>4677</v>
      </c>
      <c r="BM164" s="80">
        <v>1222</v>
      </c>
      <c r="BN164" s="80">
        <v>0</v>
      </c>
      <c r="BO164" s="80">
        <v>0</v>
      </c>
      <c r="BP164" s="80">
        <v>-6</v>
      </c>
      <c r="BQ164" s="80">
        <v>-42</v>
      </c>
      <c r="BR164" s="80">
        <v>-57</v>
      </c>
      <c r="BS164" s="80">
        <v>-345</v>
      </c>
      <c r="BT164" s="80">
        <v>0</v>
      </c>
      <c r="BU164" s="80">
        <v>-2</v>
      </c>
      <c r="BV164" s="80">
        <v>154</v>
      </c>
      <c r="BW164" s="80">
        <v>-895</v>
      </c>
      <c r="BX164" s="80">
        <v>-10</v>
      </c>
      <c r="BY164" s="80">
        <v>4696</v>
      </c>
      <c r="BZ164" s="80">
        <v>21</v>
      </c>
      <c r="CA164" s="80">
        <v>89</v>
      </c>
      <c r="CB164" s="80">
        <v>31</v>
      </c>
      <c r="CC164" s="80">
        <v>315</v>
      </c>
      <c r="CD164" s="80">
        <v>455</v>
      </c>
      <c r="CE164" s="80">
        <v>5</v>
      </c>
    </row>
    <row r="165" spans="1:83" s="58" customFormat="1" ht="15.6" customHeight="1" x14ac:dyDescent="0.25">
      <c r="A165" s="50">
        <v>20</v>
      </c>
      <c r="B165" s="50" t="s">
        <v>485</v>
      </c>
      <c r="C165" s="77" t="s">
        <v>124</v>
      </c>
      <c r="D165" s="50" t="s">
        <v>486</v>
      </c>
      <c r="E165" s="41" t="s">
        <v>86</v>
      </c>
      <c r="F165" s="50" t="s">
        <v>484</v>
      </c>
      <c r="G165" s="88">
        <v>16210181.550000001</v>
      </c>
      <c r="H165" s="88">
        <v>0</v>
      </c>
      <c r="I165" s="88">
        <v>454889.45</v>
      </c>
      <c r="J165" s="88">
        <v>0</v>
      </c>
      <c r="K165" s="89">
        <v>4846.6499999999996</v>
      </c>
      <c r="L165" s="89">
        <v>16669917.65</v>
      </c>
      <c r="M165" s="89">
        <v>0</v>
      </c>
      <c r="N165" s="88">
        <v>3373613.87</v>
      </c>
      <c r="O165" s="88">
        <v>513582.83</v>
      </c>
      <c r="P165" s="90">
        <v>4625011.5999999996</v>
      </c>
      <c r="Q165" s="88">
        <v>401</v>
      </c>
      <c r="R165" s="88">
        <v>1463571.79</v>
      </c>
      <c r="S165" s="88">
        <v>2058606.76</v>
      </c>
      <c r="T165" s="88">
        <v>2255942.5</v>
      </c>
      <c r="U165" s="88">
        <v>0</v>
      </c>
      <c r="V165" s="88">
        <v>0</v>
      </c>
      <c r="W165" s="88">
        <v>478440.23</v>
      </c>
      <c r="X165" s="89">
        <v>1893758.2000000002</v>
      </c>
      <c r="Y165" s="89">
        <v>16662928.779999999</v>
      </c>
      <c r="Z165" s="81">
        <v>0.11260322436055628</v>
      </c>
      <c r="AA165" s="89">
        <v>1621021.61</v>
      </c>
      <c r="AB165" s="89">
        <v>0</v>
      </c>
      <c r="AC165" s="89">
        <v>0</v>
      </c>
      <c r="AD165" s="89">
        <v>4472.29</v>
      </c>
      <c r="AE165" s="89">
        <v>213.22</v>
      </c>
      <c r="AF165" s="89">
        <f>SUM(AD165:AE165)</f>
        <v>4685.51</v>
      </c>
      <c r="AG165" s="89">
        <v>863021.91</v>
      </c>
      <c r="AH165" s="88">
        <v>62812.77</v>
      </c>
      <c r="AI165" s="88">
        <v>208232.34</v>
      </c>
      <c r="AJ165" s="89">
        <v>0</v>
      </c>
      <c r="AK165" s="88">
        <v>46500.82</v>
      </c>
      <c r="AL165" s="88">
        <v>6146.37</v>
      </c>
      <c r="AM165" s="88">
        <v>59456.84</v>
      </c>
      <c r="AN165" s="88">
        <v>10700</v>
      </c>
      <c r="AO165" s="88">
        <v>-5000</v>
      </c>
      <c r="AP165" s="88">
        <v>0</v>
      </c>
      <c r="AQ165" s="88">
        <v>50425.8</v>
      </c>
      <c r="AR165" s="88">
        <v>8154.37</v>
      </c>
      <c r="AS165" s="88">
        <v>0</v>
      </c>
      <c r="AT165" s="88">
        <v>1808.51</v>
      </c>
      <c r="AU165" s="88">
        <v>23353.15</v>
      </c>
      <c r="AV165" s="88">
        <v>53450.01</v>
      </c>
      <c r="AW165" s="88">
        <v>1389062.89</v>
      </c>
      <c r="AX165" s="88">
        <v>0</v>
      </c>
      <c r="AY165" s="81">
        <f>AX165/AW165</f>
        <v>0</v>
      </c>
      <c r="AZ165" s="89">
        <v>0</v>
      </c>
      <c r="BA165" s="81">
        <v>0.1000002131376499</v>
      </c>
      <c r="BB165" s="79">
        <v>207964.06</v>
      </c>
      <c r="BC165" s="79">
        <v>1617354.65</v>
      </c>
      <c r="BD165" s="80">
        <v>219587</v>
      </c>
      <c r="BE165" s="80">
        <v>0</v>
      </c>
      <c r="BF165" s="80">
        <v>157784.42000000001</v>
      </c>
      <c r="BG165" s="80">
        <v>0</v>
      </c>
      <c r="BH165" s="80">
        <v>0</v>
      </c>
      <c r="BI165" s="80">
        <v>0</v>
      </c>
      <c r="BJ165" s="80">
        <f>SUM(BH165:BI165)</f>
        <v>0</v>
      </c>
      <c r="BK165" s="80">
        <v>0</v>
      </c>
      <c r="BL165" s="80">
        <v>2972</v>
      </c>
      <c r="BM165" s="80">
        <v>1070</v>
      </c>
      <c r="BN165" s="79">
        <v>0</v>
      </c>
      <c r="BO165" s="79">
        <v>0</v>
      </c>
      <c r="BP165" s="79">
        <v>-3</v>
      </c>
      <c r="BQ165" s="79">
        <v>-58</v>
      </c>
      <c r="BR165" s="79">
        <v>-49</v>
      </c>
      <c r="BS165" s="79">
        <v>-192</v>
      </c>
      <c r="BT165" s="79">
        <v>0</v>
      </c>
      <c r="BU165" s="79">
        <v>-1</v>
      </c>
      <c r="BV165" s="79">
        <v>-4</v>
      </c>
      <c r="BW165" s="79">
        <v>-625</v>
      </c>
      <c r="BX165" s="79">
        <v>0</v>
      </c>
      <c r="BY165" s="79">
        <v>3110</v>
      </c>
      <c r="BZ165" s="79">
        <v>0</v>
      </c>
      <c r="CA165" s="79">
        <v>30</v>
      </c>
      <c r="CB165" s="79">
        <v>26</v>
      </c>
      <c r="CC165" s="79">
        <v>231</v>
      </c>
      <c r="CD165" s="79">
        <v>337</v>
      </c>
      <c r="CE165" s="79">
        <v>1</v>
      </c>
    </row>
    <row r="166" spans="1:83" s="58" customFormat="1" ht="15.6" customHeight="1" x14ac:dyDescent="0.25">
      <c r="A166" s="50">
        <v>20</v>
      </c>
      <c r="B166" s="50" t="s">
        <v>487</v>
      </c>
      <c r="C166" s="77" t="s">
        <v>89</v>
      </c>
      <c r="D166" s="50" t="s">
        <v>488</v>
      </c>
      <c r="E166" s="50" t="s">
        <v>116</v>
      </c>
      <c r="F166" s="50" t="s">
        <v>478</v>
      </c>
      <c r="G166" s="88">
        <v>39598339.240000002</v>
      </c>
      <c r="H166" s="88">
        <v>493705.22</v>
      </c>
      <c r="I166" s="88">
        <v>4541.21</v>
      </c>
      <c r="J166" s="88">
        <v>0</v>
      </c>
      <c r="K166" s="89">
        <v>0</v>
      </c>
      <c r="L166" s="89">
        <v>40096585.670000002</v>
      </c>
      <c r="M166" s="89">
        <v>0</v>
      </c>
      <c r="N166" s="88">
        <v>12171830.949999999</v>
      </c>
      <c r="O166" s="88">
        <v>2967895.2</v>
      </c>
      <c r="P166" s="90">
        <v>10952830.432</v>
      </c>
      <c r="Q166" s="88">
        <v>3000</v>
      </c>
      <c r="R166" s="88">
        <v>1954892.79</v>
      </c>
      <c r="S166" s="88">
        <v>6355955.0599999996</v>
      </c>
      <c r="T166" s="88">
        <v>2530658.0499999998</v>
      </c>
      <c r="U166" s="88">
        <v>0</v>
      </c>
      <c r="V166" s="88">
        <v>0</v>
      </c>
      <c r="W166" s="88">
        <v>808479.39</v>
      </c>
      <c r="X166" s="89">
        <v>2147650.89</v>
      </c>
      <c r="Y166" s="89">
        <v>39893192.762000002</v>
      </c>
      <c r="Z166" s="81">
        <v>8.9842935338299526E-2</v>
      </c>
      <c r="AA166" s="89">
        <v>2146595.89</v>
      </c>
      <c r="AB166" s="89">
        <v>0</v>
      </c>
      <c r="AC166" s="89">
        <v>0</v>
      </c>
      <c r="AD166" s="89">
        <v>0</v>
      </c>
      <c r="AE166" s="89">
        <v>451.66</v>
      </c>
      <c r="AF166" s="89">
        <f>SUM(AD166:AE166)</f>
        <v>451.66</v>
      </c>
      <c r="AG166" s="89">
        <v>1100228.07</v>
      </c>
      <c r="AH166" s="88">
        <v>82397.69</v>
      </c>
      <c r="AI166" s="88">
        <v>290333.84000000003</v>
      </c>
      <c r="AJ166" s="89">
        <v>0</v>
      </c>
      <c r="AK166" s="88">
        <v>112531.45</v>
      </c>
      <c r="AL166" s="88">
        <v>4713.7299999999996</v>
      </c>
      <c r="AM166" s="88">
        <v>78320.740000000005</v>
      </c>
      <c r="AN166" s="88">
        <v>11800</v>
      </c>
      <c r="AO166" s="88">
        <v>0</v>
      </c>
      <c r="AP166" s="88">
        <v>0</v>
      </c>
      <c r="AQ166" s="88">
        <v>68672.399999999994</v>
      </c>
      <c r="AR166" s="88">
        <v>28687.26</v>
      </c>
      <c r="AS166" s="88">
        <v>1400</v>
      </c>
      <c r="AT166" s="88">
        <v>82551.789999999994</v>
      </c>
      <c r="AU166" s="88">
        <v>37017.589999999997</v>
      </c>
      <c r="AV166" s="88">
        <v>39587.949999999997</v>
      </c>
      <c r="AW166" s="88">
        <v>1938242.51</v>
      </c>
      <c r="AX166" s="88">
        <v>0</v>
      </c>
      <c r="AY166" s="81">
        <f>AX166/AW166</f>
        <v>0</v>
      </c>
      <c r="AZ166" s="89">
        <v>0</v>
      </c>
      <c r="BA166" s="81">
        <v>5.4209240367122026E-2</v>
      </c>
      <c r="BB166" s="79">
        <v>405776.54</v>
      </c>
      <c r="BC166" s="79">
        <v>3196210.42</v>
      </c>
      <c r="BD166" s="80">
        <v>219587</v>
      </c>
      <c r="BE166" s="80">
        <v>0</v>
      </c>
      <c r="BF166" s="80">
        <v>457713.36</v>
      </c>
      <c r="BG166" s="80">
        <v>0</v>
      </c>
      <c r="BH166" s="80">
        <v>0</v>
      </c>
      <c r="BI166" s="80">
        <v>0</v>
      </c>
      <c r="BJ166" s="80">
        <f>SUM(BH166:BI166)</f>
        <v>0</v>
      </c>
      <c r="BK166" s="80">
        <v>0</v>
      </c>
      <c r="BL166" s="80">
        <v>3822</v>
      </c>
      <c r="BM166" s="80">
        <v>1202</v>
      </c>
      <c r="BN166" s="79">
        <v>16</v>
      </c>
      <c r="BO166" s="79">
        <v>-20</v>
      </c>
      <c r="BP166" s="79">
        <v>-40</v>
      </c>
      <c r="BQ166" s="79">
        <v>-85</v>
      </c>
      <c r="BR166" s="79">
        <v>-204</v>
      </c>
      <c r="BS166" s="79">
        <v>-320</v>
      </c>
      <c r="BT166" s="79">
        <v>0</v>
      </c>
      <c r="BU166" s="79">
        <v>0</v>
      </c>
      <c r="BV166" s="79">
        <v>24</v>
      </c>
      <c r="BW166" s="79">
        <v>-557</v>
      </c>
      <c r="BX166" s="79">
        <v>0</v>
      </c>
      <c r="BY166" s="79">
        <v>3838</v>
      </c>
      <c r="BZ166" s="79">
        <v>7</v>
      </c>
      <c r="CA166" s="79">
        <v>218</v>
      </c>
      <c r="CB166" s="79">
        <v>42</v>
      </c>
      <c r="CC166" s="79">
        <v>266</v>
      </c>
      <c r="CD166" s="79">
        <v>35</v>
      </c>
      <c r="CE166" s="79">
        <v>6</v>
      </c>
    </row>
    <row r="167" spans="1:83" s="58" customFormat="1" ht="15.6" customHeight="1" x14ac:dyDescent="0.25">
      <c r="A167" s="50">
        <v>21</v>
      </c>
      <c r="B167" s="50" t="s">
        <v>493</v>
      </c>
      <c r="C167" s="77" t="s">
        <v>494</v>
      </c>
      <c r="D167" s="50" t="s">
        <v>495</v>
      </c>
      <c r="E167" s="41" t="s">
        <v>86</v>
      </c>
      <c r="F167" s="50" t="s">
        <v>496</v>
      </c>
      <c r="G167" s="88">
        <v>37436123.130000003</v>
      </c>
      <c r="H167" s="88">
        <v>0</v>
      </c>
      <c r="I167" s="88">
        <v>565114.48</v>
      </c>
      <c r="J167" s="88">
        <v>0</v>
      </c>
      <c r="K167" s="89">
        <v>0</v>
      </c>
      <c r="L167" s="89">
        <v>38001237.609999999</v>
      </c>
      <c r="M167" s="89">
        <v>0</v>
      </c>
      <c r="N167" s="88">
        <v>0</v>
      </c>
      <c r="O167" s="88">
        <v>1258534.74</v>
      </c>
      <c r="P167" s="90">
        <v>12374956.949999999</v>
      </c>
      <c r="Q167" s="88">
        <v>424311.9</v>
      </c>
      <c r="R167" s="88">
        <v>2355230.61</v>
      </c>
      <c r="S167" s="88">
        <v>11788088.640000001</v>
      </c>
      <c r="T167" s="88">
        <v>5411048.1900000004</v>
      </c>
      <c r="U167" s="88">
        <v>0</v>
      </c>
      <c r="V167" s="88">
        <v>0</v>
      </c>
      <c r="W167" s="88">
        <v>1324515.73</v>
      </c>
      <c r="X167" s="89">
        <v>2884058.96</v>
      </c>
      <c r="Y167" s="89">
        <v>37820745.719999999</v>
      </c>
      <c r="Z167" s="81">
        <v>0.15437595848082653</v>
      </c>
      <c r="AA167" s="89">
        <v>2879929.96</v>
      </c>
      <c r="AB167" s="89">
        <v>0</v>
      </c>
      <c r="AC167" s="89">
        <v>0</v>
      </c>
      <c r="AD167" s="89">
        <v>0</v>
      </c>
      <c r="AE167" s="89">
        <v>0</v>
      </c>
      <c r="AF167" s="89">
        <f t="shared" ref="AF167:AF183" si="35">SUM(AD167:AE167)</f>
        <v>0</v>
      </c>
      <c r="AG167" s="89">
        <v>1666595.8400000001</v>
      </c>
      <c r="AH167" s="88">
        <v>137214.97</v>
      </c>
      <c r="AI167" s="88">
        <v>340665.86</v>
      </c>
      <c r="AJ167" s="89">
        <v>16051.68</v>
      </c>
      <c r="AK167" s="88">
        <v>228340.02</v>
      </c>
      <c r="AL167" s="88">
        <v>22419.15</v>
      </c>
      <c r="AM167" s="88">
        <v>84708.63</v>
      </c>
      <c r="AN167" s="88">
        <v>11900</v>
      </c>
      <c r="AO167" s="88">
        <v>11007.56</v>
      </c>
      <c r="AP167" s="88">
        <v>22987.064999999999</v>
      </c>
      <c r="AQ167" s="88">
        <v>53259.47</v>
      </c>
      <c r="AR167" s="88">
        <v>13530.73</v>
      </c>
      <c r="AS167" s="88">
        <v>0</v>
      </c>
      <c r="AT167" s="88">
        <v>30707.32</v>
      </c>
      <c r="AU167" s="88">
        <v>53148.7</v>
      </c>
      <c r="AV167" s="88">
        <v>209846.45</v>
      </c>
      <c r="AW167" s="88">
        <v>2902383.4449999998</v>
      </c>
      <c r="AX167" s="88">
        <v>0</v>
      </c>
      <c r="AY167" s="81">
        <f t="shared" ref="AY167:AY183" si="36">AX167/AW167</f>
        <v>0</v>
      </c>
      <c r="AZ167" s="89">
        <v>0</v>
      </c>
      <c r="BA167" s="81">
        <v>7.6929172126056086E-2</v>
      </c>
      <c r="BB167" s="79">
        <v>2103998.9500000002</v>
      </c>
      <c r="BC167" s="79">
        <v>3675238.44</v>
      </c>
      <c r="BD167" s="80">
        <v>219587</v>
      </c>
      <c r="BE167" s="80">
        <v>0</v>
      </c>
      <c r="BF167" s="80">
        <v>598399.87600000005</v>
      </c>
      <c r="BG167" s="80">
        <v>0</v>
      </c>
      <c r="BH167" s="80">
        <v>0</v>
      </c>
      <c r="BI167" s="80">
        <v>0</v>
      </c>
      <c r="BJ167" s="80">
        <f t="shared" ref="BJ167:BJ183" si="37">SUM(BH167:BI167)</f>
        <v>0</v>
      </c>
      <c r="BK167" s="80">
        <v>0</v>
      </c>
      <c r="BL167" s="80">
        <v>9290</v>
      </c>
      <c r="BM167" s="80">
        <v>1974</v>
      </c>
      <c r="BN167" s="79">
        <v>0</v>
      </c>
      <c r="BO167" s="79">
        <v>0</v>
      </c>
      <c r="BP167" s="79">
        <v>-53</v>
      </c>
      <c r="BQ167" s="79">
        <v>-214</v>
      </c>
      <c r="BR167" s="79">
        <v>-415</v>
      </c>
      <c r="BS167" s="79">
        <v>-825</v>
      </c>
      <c r="BT167" s="79">
        <v>0</v>
      </c>
      <c r="BU167" s="79">
        <v>0</v>
      </c>
      <c r="BV167" s="79">
        <v>-4</v>
      </c>
      <c r="BW167" s="79">
        <v>-1351</v>
      </c>
      <c r="BX167" s="79">
        <v>-22</v>
      </c>
      <c r="BY167" s="79">
        <v>8380</v>
      </c>
      <c r="BZ167" s="79">
        <v>55</v>
      </c>
      <c r="CA167" s="79">
        <v>217</v>
      </c>
      <c r="CB167" s="79">
        <v>200</v>
      </c>
      <c r="CC167" s="79">
        <v>901</v>
      </c>
      <c r="CD167" s="79">
        <v>4</v>
      </c>
      <c r="CE167" s="79">
        <v>29</v>
      </c>
    </row>
    <row r="168" spans="1:83" s="58" customFormat="1" ht="15.6" customHeight="1" x14ac:dyDescent="0.25">
      <c r="A168" s="50">
        <v>21</v>
      </c>
      <c r="B168" s="50" t="s">
        <v>580</v>
      </c>
      <c r="C168" s="77" t="s">
        <v>581</v>
      </c>
      <c r="D168" s="50" t="s">
        <v>499</v>
      </c>
      <c r="E168" s="50" t="s">
        <v>104</v>
      </c>
      <c r="F168" s="50" t="s">
        <v>500</v>
      </c>
      <c r="G168" s="88">
        <v>60163713.509999998</v>
      </c>
      <c r="H168" s="88">
        <v>0</v>
      </c>
      <c r="I168" s="88">
        <v>1550641.65</v>
      </c>
      <c r="J168" s="88">
        <v>0</v>
      </c>
      <c r="K168" s="89">
        <v>0</v>
      </c>
      <c r="L168" s="89">
        <v>61714355.159999996</v>
      </c>
      <c r="M168" s="89">
        <v>0</v>
      </c>
      <c r="N168" s="88">
        <v>0</v>
      </c>
      <c r="O168" s="88">
        <v>4370349.0599999996</v>
      </c>
      <c r="P168" s="90">
        <v>25308650.07</v>
      </c>
      <c r="Q168" s="88">
        <v>0</v>
      </c>
      <c r="R168" s="88">
        <v>3301702.01</v>
      </c>
      <c r="S168" s="88">
        <v>12035244.23</v>
      </c>
      <c r="T168" s="88">
        <v>10191823.41</v>
      </c>
      <c r="U168" s="88">
        <v>0</v>
      </c>
      <c r="V168" s="88">
        <v>0</v>
      </c>
      <c r="W168" s="88">
        <v>2169956.4500000002</v>
      </c>
      <c r="X168" s="89">
        <v>4114787.29</v>
      </c>
      <c r="Y168" s="89">
        <v>61492512.520000003</v>
      </c>
      <c r="Z168" s="81">
        <v>0.12809523765049888</v>
      </c>
      <c r="AA168" s="89">
        <v>4053590.8</v>
      </c>
      <c r="AB168" s="89">
        <v>0</v>
      </c>
      <c r="AC168" s="89">
        <v>0</v>
      </c>
      <c r="AD168" s="89">
        <v>0</v>
      </c>
      <c r="AE168" s="89">
        <v>0</v>
      </c>
      <c r="AF168" s="89">
        <f t="shared" si="35"/>
        <v>0</v>
      </c>
      <c r="AG168" s="89">
        <v>2102263.34</v>
      </c>
      <c r="AH168" s="88">
        <v>177360.31</v>
      </c>
      <c r="AI168" s="88">
        <v>538816.06000000006</v>
      </c>
      <c r="AJ168" s="89">
        <v>0</v>
      </c>
      <c r="AK168" s="88">
        <v>234733.41</v>
      </c>
      <c r="AL168" s="88">
        <v>11042.85</v>
      </c>
      <c r="AM168" s="88">
        <v>62504.63</v>
      </c>
      <c r="AN168" s="88">
        <v>11750</v>
      </c>
      <c r="AO168" s="88">
        <v>1775.5</v>
      </c>
      <c r="AP168" s="88">
        <v>0</v>
      </c>
      <c r="AQ168" s="88">
        <v>142202.28</v>
      </c>
      <c r="AR168" s="88">
        <v>36318.78</v>
      </c>
      <c r="AS168" s="88">
        <v>0</v>
      </c>
      <c r="AT168" s="88">
        <v>39001.19</v>
      </c>
      <c r="AU168" s="88">
        <v>24043.53</v>
      </c>
      <c r="AV168" s="88">
        <v>177710.04</v>
      </c>
      <c r="AW168" s="88">
        <v>3559521.92</v>
      </c>
      <c r="AX168" s="88">
        <v>0</v>
      </c>
      <c r="AY168" s="81">
        <f t="shared" si="36"/>
        <v>0</v>
      </c>
      <c r="AZ168" s="89">
        <v>0</v>
      </c>
      <c r="BA168" s="81">
        <v>6.7376007289281434E-2</v>
      </c>
      <c r="BB168" s="79">
        <v>2432871.2599999998</v>
      </c>
      <c r="BC168" s="79">
        <v>5273813.92</v>
      </c>
      <c r="BD168" s="80">
        <v>216829</v>
      </c>
      <c r="BE168" s="80">
        <v>0</v>
      </c>
      <c r="BF168" s="80">
        <v>725874.90000000095</v>
      </c>
      <c r="BG168" s="80">
        <v>0</v>
      </c>
      <c r="BH168" s="80">
        <v>0</v>
      </c>
      <c r="BI168" s="80">
        <v>0</v>
      </c>
      <c r="BJ168" s="80">
        <f t="shared" si="37"/>
        <v>0</v>
      </c>
      <c r="BK168" s="80">
        <v>0</v>
      </c>
      <c r="BL168" s="80">
        <v>8408</v>
      </c>
      <c r="BM168" s="80">
        <v>5101</v>
      </c>
      <c r="BN168" s="79">
        <v>107</v>
      </c>
      <c r="BO168" s="79">
        <v>0</v>
      </c>
      <c r="BP168" s="79">
        <v>-171</v>
      </c>
      <c r="BQ168" s="79">
        <v>-225</v>
      </c>
      <c r="BR168" s="79">
        <v>-2416</v>
      </c>
      <c r="BS168" s="79">
        <v>-1148</v>
      </c>
      <c r="BT168" s="79">
        <v>0</v>
      </c>
      <c r="BU168" s="79">
        <v>-4</v>
      </c>
      <c r="BV168" s="79">
        <v>-1</v>
      </c>
      <c r="BW168" s="79">
        <v>-1282</v>
      </c>
      <c r="BX168" s="79">
        <v>-2</v>
      </c>
      <c r="BY168" s="79">
        <v>8367</v>
      </c>
      <c r="BZ168" s="79">
        <v>17</v>
      </c>
      <c r="CA168" s="79">
        <v>258</v>
      </c>
      <c r="CB168" s="79">
        <v>67</v>
      </c>
      <c r="CC168" s="79">
        <v>313</v>
      </c>
      <c r="CD168" s="79">
        <v>623</v>
      </c>
      <c r="CE168" s="79">
        <v>21</v>
      </c>
    </row>
    <row r="169" spans="1:83" s="58" customFormat="1" ht="15.6" customHeight="1" x14ac:dyDescent="0.25">
      <c r="A169" s="50">
        <v>21</v>
      </c>
      <c r="B169" s="50" t="s">
        <v>501</v>
      </c>
      <c r="C169" s="77" t="s">
        <v>502</v>
      </c>
      <c r="D169" s="50" t="s">
        <v>503</v>
      </c>
      <c r="E169" s="50" t="s">
        <v>104</v>
      </c>
      <c r="F169" s="50" t="s">
        <v>504</v>
      </c>
      <c r="G169" s="88">
        <v>11454147.99</v>
      </c>
      <c r="H169" s="88">
        <v>320509.86</v>
      </c>
      <c r="I169" s="88">
        <v>267823.82</v>
      </c>
      <c r="J169" s="88">
        <v>3133.9</v>
      </c>
      <c r="K169" s="89">
        <v>0</v>
      </c>
      <c r="L169" s="89">
        <v>12045615.57</v>
      </c>
      <c r="M169" s="89">
        <v>31339.02</v>
      </c>
      <c r="N169" s="88">
        <v>2762964.34</v>
      </c>
      <c r="O169" s="88">
        <v>1212502.1399999999</v>
      </c>
      <c r="P169" s="90">
        <v>1818668.15</v>
      </c>
      <c r="Q169" s="88">
        <v>0</v>
      </c>
      <c r="R169" s="88">
        <v>502486.38</v>
      </c>
      <c r="S169" s="88">
        <v>3231257.88</v>
      </c>
      <c r="T169" s="88">
        <v>1183917.05</v>
      </c>
      <c r="U169" s="88">
        <v>29487.4</v>
      </c>
      <c r="V169" s="88">
        <v>35</v>
      </c>
      <c r="W169" s="88">
        <v>557339.51</v>
      </c>
      <c r="X169" s="89">
        <v>1148585.1599999999</v>
      </c>
      <c r="Y169" s="89">
        <v>12447243.01</v>
      </c>
      <c r="Z169" s="81">
        <v>8.0270004618436031E-2</v>
      </c>
      <c r="AA169" s="89">
        <v>1148585.1599999999</v>
      </c>
      <c r="AB169" s="89">
        <v>0</v>
      </c>
      <c r="AC169" s="89">
        <v>0</v>
      </c>
      <c r="AD169" s="89">
        <v>0</v>
      </c>
      <c r="AE169" s="89">
        <v>0</v>
      </c>
      <c r="AF169" s="89">
        <f t="shared" si="35"/>
        <v>0</v>
      </c>
      <c r="AG169" s="89">
        <v>493627.45</v>
      </c>
      <c r="AH169" s="88">
        <v>37934.65</v>
      </c>
      <c r="AI169" s="88">
        <v>70445.509999999995</v>
      </c>
      <c r="AJ169" s="89">
        <v>0</v>
      </c>
      <c r="AK169" s="88">
        <v>47195.199999999997</v>
      </c>
      <c r="AL169" s="88">
        <v>0</v>
      </c>
      <c r="AM169" s="88">
        <v>44097.15</v>
      </c>
      <c r="AN169" s="88">
        <v>8200</v>
      </c>
      <c r="AO169" s="88">
        <v>0</v>
      </c>
      <c r="AP169" s="88">
        <v>9060</v>
      </c>
      <c r="AQ169" s="88">
        <v>76123.92</v>
      </c>
      <c r="AR169" s="88">
        <v>10455.99</v>
      </c>
      <c r="AS169" s="88">
        <v>0</v>
      </c>
      <c r="AT169" s="88">
        <v>20664.2</v>
      </c>
      <c r="AU169" s="88">
        <v>23090.51</v>
      </c>
      <c r="AV169" s="88">
        <v>68481.72</v>
      </c>
      <c r="AW169" s="88">
        <v>909376.3</v>
      </c>
      <c r="AX169" s="88">
        <v>0</v>
      </c>
      <c r="AY169" s="81">
        <f t="shared" si="36"/>
        <v>0</v>
      </c>
      <c r="AZ169" s="89">
        <v>0</v>
      </c>
      <c r="BA169" s="81">
        <v>0.10000317435385789</v>
      </c>
      <c r="BB169" s="79">
        <v>638091.63</v>
      </c>
      <c r="BC169" s="79">
        <v>307060.21000000002</v>
      </c>
      <c r="BD169" s="80">
        <v>219587</v>
      </c>
      <c r="BE169" s="80">
        <v>0</v>
      </c>
      <c r="BF169" s="80">
        <v>289087.40999999997</v>
      </c>
      <c r="BG169" s="80">
        <v>61743.334999999701</v>
      </c>
      <c r="BH169" s="80">
        <v>0</v>
      </c>
      <c r="BI169" s="80">
        <v>0</v>
      </c>
      <c r="BJ169" s="80">
        <f t="shared" si="37"/>
        <v>0</v>
      </c>
      <c r="BK169" s="80">
        <v>0</v>
      </c>
      <c r="BL169" s="80">
        <v>1073</v>
      </c>
      <c r="BM169" s="80">
        <v>491</v>
      </c>
      <c r="BN169" s="79">
        <v>2</v>
      </c>
      <c r="BO169" s="79">
        <v>-1</v>
      </c>
      <c r="BP169" s="79">
        <v>-22</v>
      </c>
      <c r="BQ169" s="79">
        <v>-26</v>
      </c>
      <c r="BR169" s="79">
        <v>-184</v>
      </c>
      <c r="BS169" s="79">
        <v>-103</v>
      </c>
      <c r="BT169" s="79">
        <v>1</v>
      </c>
      <c r="BU169" s="79">
        <v>-4</v>
      </c>
      <c r="BV169" s="79">
        <v>0</v>
      </c>
      <c r="BW169" s="79">
        <v>-165</v>
      </c>
      <c r="BX169" s="79">
        <v>0</v>
      </c>
      <c r="BY169" s="79">
        <v>1062</v>
      </c>
      <c r="BZ169" s="79">
        <v>4</v>
      </c>
      <c r="CA169" s="79">
        <v>86</v>
      </c>
      <c r="CB169" s="79">
        <v>14</v>
      </c>
      <c r="CC169" s="79">
        <v>60</v>
      </c>
      <c r="CD169" s="79">
        <v>0</v>
      </c>
      <c r="CE169" s="79">
        <v>5</v>
      </c>
    </row>
    <row r="170" spans="1:83" s="58" customFormat="1" ht="15.6" customHeight="1" x14ac:dyDescent="0.25">
      <c r="A170" s="50">
        <v>21</v>
      </c>
      <c r="B170" s="50" t="s">
        <v>505</v>
      </c>
      <c r="C170" s="77" t="s">
        <v>506</v>
      </c>
      <c r="D170" s="50" t="s">
        <v>507</v>
      </c>
      <c r="E170" s="50" t="s">
        <v>139</v>
      </c>
      <c r="F170" s="50" t="s">
        <v>500</v>
      </c>
      <c r="G170" s="88">
        <v>50371691.240000002</v>
      </c>
      <c r="H170" s="88">
        <v>-4618.6400000000003</v>
      </c>
      <c r="I170" s="88">
        <v>841177.16</v>
      </c>
      <c r="J170" s="88">
        <v>0</v>
      </c>
      <c r="K170" s="89">
        <v>0</v>
      </c>
      <c r="L170" s="89">
        <v>51208249.759999998</v>
      </c>
      <c r="M170" s="89">
        <v>0</v>
      </c>
      <c r="N170" s="88">
        <v>8981451.8499999996</v>
      </c>
      <c r="O170" s="88">
        <v>2405053.9500000002</v>
      </c>
      <c r="P170" s="90">
        <v>21950642.390000001</v>
      </c>
      <c r="Q170" s="88">
        <v>12097</v>
      </c>
      <c r="R170" s="88">
        <v>2060931.98</v>
      </c>
      <c r="S170" s="88">
        <v>7549758.0099999998</v>
      </c>
      <c r="T170" s="88">
        <v>4787957.8600000003</v>
      </c>
      <c r="U170" s="88">
        <v>0</v>
      </c>
      <c r="V170" s="88">
        <v>0</v>
      </c>
      <c r="W170" s="88">
        <v>1039644.59</v>
      </c>
      <c r="X170" s="89">
        <v>2362526.9700000002</v>
      </c>
      <c r="Y170" s="89">
        <v>51150064.600000001</v>
      </c>
      <c r="Z170" s="81">
        <v>9.2418215308388008E-2</v>
      </c>
      <c r="AA170" s="89">
        <v>2312111.08</v>
      </c>
      <c r="AB170" s="89">
        <v>0</v>
      </c>
      <c r="AC170" s="89">
        <v>0</v>
      </c>
      <c r="AD170" s="89">
        <v>0</v>
      </c>
      <c r="AE170" s="89">
        <v>0</v>
      </c>
      <c r="AF170" s="89">
        <f t="shared" si="35"/>
        <v>0</v>
      </c>
      <c r="AG170" s="89">
        <v>1153828.28</v>
      </c>
      <c r="AH170" s="88">
        <v>86603.02</v>
      </c>
      <c r="AI170" s="88">
        <v>318838.84999999998</v>
      </c>
      <c r="AJ170" s="89">
        <v>0</v>
      </c>
      <c r="AK170" s="88">
        <v>141139.44</v>
      </c>
      <c r="AL170" s="88">
        <v>11676.97</v>
      </c>
      <c r="AM170" s="88">
        <v>97158.99</v>
      </c>
      <c r="AN170" s="88">
        <v>9750</v>
      </c>
      <c r="AO170" s="88">
        <v>0</v>
      </c>
      <c r="AP170" s="88">
        <v>0</v>
      </c>
      <c r="AQ170" s="88">
        <v>48404.479999999996</v>
      </c>
      <c r="AR170" s="88">
        <v>19098.39</v>
      </c>
      <c r="AS170" s="88">
        <v>0</v>
      </c>
      <c r="AT170" s="88">
        <v>34561.46</v>
      </c>
      <c r="AU170" s="88">
        <v>49031.56</v>
      </c>
      <c r="AV170" s="88">
        <v>105676.52</v>
      </c>
      <c r="AW170" s="88">
        <v>2075767.96</v>
      </c>
      <c r="AX170" s="88">
        <v>0</v>
      </c>
      <c r="AY170" s="81">
        <f t="shared" si="36"/>
        <v>0</v>
      </c>
      <c r="AZ170" s="89">
        <v>0</v>
      </c>
      <c r="BA170" s="81">
        <v>4.5901001595990885E-2</v>
      </c>
      <c r="BB170" s="79">
        <v>977207.67</v>
      </c>
      <c r="BC170" s="79">
        <v>3677627.29</v>
      </c>
      <c r="BD170" s="80">
        <v>219587</v>
      </c>
      <c r="BE170" s="80">
        <v>0</v>
      </c>
      <c r="BF170" s="80">
        <v>418186.86</v>
      </c>
      <c r="BG170" s="80">
        <v>0</v>
      </c>
      <c r="BH170" s="80">
        <v>0</v>
      </c>
      <c r="BI170" s="80">
        <v>0</v>
      </c>
      <c r="BJ170" s="80">
        <f t="shared" si="37"/>
        <v>0</v>
      </c>
      <c r="BK170" s="80">
        <v>0</v>
      </c>
      <c r="BL170" s="80">
        <v>6759</v>
      </c>
      <c r="BM170" s="80">
        <v>2332</v>
      </c>
      <c r="BN170" s="79">
        <v>0</v>
      </c>
      <c r="BO170" s="79">
        <v>-1</v>
      </c>
      <c r="BP170" s="79">
        <v>-41</v>
      </c>
      <c r="BQ170" s="79">
        <v>-166</v>
      </c>
      <c r="BR170" s="79">
        <v>-552</v>
      </c>
      <c r="BS170" s="79">
        <v>-680</v>
      </c>
      <c r="BT170" s="79">
        <v>0</v>
      </c>
      <c r="BU170" s="79">
        <v>-1</v>
      </c>
      <c r="BV170" s="79">
        <v>0</v>
      </c>
      <c r="BW170" s="79">
        <v>-1280</v>
      </c>
      <c r="BX170" s="79">
        <v>-4</v>
      </c>
      <c r="BY170" s="79">
        <v>6366</v>
      </c>
      <c r="BZ170" s="79">
        <v>8</v>
      </c>
      <c r="CA170" s="79">
        <v>260</v>
      </c>
      <c r="CB170" s="79">
        <v>107</v>
      </c>
      <c r="CC170" s="79">
        <v>401</v>
      </c>
      <c r="CD170" s="79">
        <v>494</v>
      </c>
      <c r="CE170" s="79">
        <v>18</v>
      </c>
    </row>
    <row r="171" spans="1:83" s="58" customFormat="1" ht="15.6" customHeight="1" x14ac:dyDescent="0.25">
      <c r="A171" s="50">
        <v>21</v>
      </c>
      <c r="B171" s="50" t="s">
        <v>508</v>
      </c>
      <c r="C171" s="77" t="s">
        <v>509</v>
      </c>
      <c r="D171" s="50" t="s">
        <v>293</v>
      </c>
      <c r="E171" s="50" t="s">
        <v>139</v>
      </c>
      <c r="F171" s="50" t="s">
        <v>500</v>
      </c>
      <c r="G171" s="88">
        <v>53194848.640000001</v>
      </c>
      <c r="H171" s="88">
        <v>0</v>
      </c>
      <c r="I171" s="88">
        <v>1939693.76</v>
      </c>
      <c r="J171" s="88">
        <v>178.24</v>
      </c>
      <c r="K171" s="89">
        <v>0</v>
      </c>
      <c r="L171" s="89">
        <v>55134720.640000001</v>
      </c>
      <c r="M171" s="89">
        <v>2700.64</v>
      </c>
      <c r="N171" s="88">
        <v>5454458.4800000004</v>
      </c>
      <c r="O171" s="88">
        <v>1953917.93</v>
      </c>
      <c r="P171" s="90">
        <v>25396847.68</v>
      </c>
      <c r="Q171" s="88">
        <v>0</v>
      </c>
      <c r="R171" s="88">
        <v>2718674.74</v>
      </c>
      <c r="S171" s="88">
        <v>6365230.1799999997</v>
      </c>
      <c r="T171" s="88">
        <v>7434851.3700000001</v>
      </c>
      <c r="U171" s="88">
        <v>0</v>
      </c>
      <c r="V171" s="88">
        <v>0</v>
      </c>
      <c r="W171" s="88">
        <v>2059344.61</v>
      </c>
      <c r="X171" s="89">
        <v>3420881.68</v>
      </c>
      <c r="Y171" s="89">
        <v>54804206.670000002</v>
      </c>
      <c r="Z171" s="81">
        <v>0.10475656031493503</v>
      </c>
      <c r="AA171" s="89">
        <v>3339872.7</v>
      </c>
      <c r="AB171" s="89">
        <v>0</v>
      </c>
      <c r="AC171" s="89">
        <v>0</v>
      </c>
      <c r="AD171" s="89">
        <v>0</v>
      </c>
      <c r="AE171" s="89">
        <v>0</v>
      </c>
      <c r="AF171" s="89">
        <f t="shared" si="35"/>
        <v>0</v>
      </c>
      <c r="AG171" s="89">
        <v>1746076.17</v>
      </c>
      <c r="AH171" s="88">
        <v>126275.39</v>
      </c>
      <c r="AI171" s="88">
        <v>507788.73</v>
      </c>
      <c r="AJ171" s="89">
        <v>0</v>
      </c>
      <c r="AK171" s="88">
        <v>196885.7</v>
      </c>
      <c r="AL171" s="88">
        <v>7524.1</v>
      </c>
      <c r="AM171" s="88">
        <v>63674.92</v>
      </c>
      <c r="AN171" s="88">
        <v>10500</v>
      </c>
      <c r="AO171" s="88">
        <v>0</v>
      </c>
      <c r="AP171" s="88">
        <v>0</v>
      </c>
      <c r="AQ171" s="88">
        <v>101571.55</v>
      </c>
      <c r="AR171" s="88">
        <v>23223.72</v>
      </c>
      <c r="AS171" s="88">
        <v>0</v>
      </c>
      <c r="AT171" s="88">
        <v>41226.65</v>
      </c>
      <c r="AU171" s="88">
        <v>103242.11</v>
      </c>
      <c r="AV171" s="88">
        <v>106471.89</v>
      </c>
      <c r="AW171" s="88">
        <v>3034460.93</v>
      </c>
      <c r="AX171" s="88">
        <v>0</v>
      </c>
      <c r="AY171" s="81">
        <f t="shared" si="36"/>
        <v>0</v>
      </c>
      <c r="AZ171" s="89">
        <v>0</v>
      </c>
      <c r="BA171" s="81">
        <v>6.2782454176994379E-2</v>
      </c>
      <c r="BB171" s="79">
        <v>1088504.2</v>
      </c>
      <c r="BC171" s="79">
        <v>4484005.17</v>
      </c>
      <c r="BD171" s="80">
        <v>219587</v>
      </c>
      <c r="BE171" s="80">
        <v>2.91038304567337E-11</v>
      </c>
      <c r="BF171" s="80">
        <v>665962.30000000098</v>
      </c>
      <c r="BG171" s="80">
        <v>0</v>
      </c>
      <c r="BH171" s="80">
        <v>0</v>
      </c>
      <c r="BI171" s="80">
        <v>0</v>
      </c>
      <c r="BJ171" s="80">
        <f t="shared" si="37"/>
        <v>0</v>
      </c>
      <c r="BK171" s="80">
        <v>0</v>
      </c>
      <c r="BL171" s="80">
        <v>11032</v>
      </c>
      <c r="BM171" s="80">
        <v>3240</v>
      </c>
      <c r="BN171" s="79">
        <v>59</v>
      </c>
      <c r="BO171" s="79">
        <v>-69</v>
      </c>
      <c r="BP171" s="79">
        <v>-20</v>
      </c>
      <c r="BQ171" s="79">
        <v>-151</v>
      </c>
      <c r="BR171" s="79">
        <v>-431</v>
      </c>
      <c r="BS171" s="79">
        <v>-1044</v>
      </c>
      <c r="BT171" s="79">
        <v>1</v>
      </c>
      <c r="BU171" s="79">
        <v>-12</v>
      </c>
      <c r="BV171" s="79">
        <v>7</v>
      </c>
      <c r="BW171" s="79">
        <v>-1882</v>
      </c>
      <c r="BX171" s="79">
        <v>-1</v>
      </c>
      <c r="BY171" s="79">
        <v>10729</v>
      </c>
      <c r="BZ171" s="79">
        <v>28</v>
      </c>
      <c r="CA171" s="79">
        <v>247</v>
      </c>
      <c r="CB171" s="79">
        <v>104</v>
      </c>
      <c r="CC171" s="79">
        <v>636</v>
      </c>
      <c r="CD171" s="79">
        <v>911</v>
      </c>
      <c r="CE171" s="79">
        <v>18</v>
      </c>
    </row>
    <row r="172" spans="1:83" s="58" customFormat="1" ht="15.6" customHeight="1" x14ac:dyDescent="0.25">
      <c r="A172" s="50">
        <v>21</v>
      </c>
      <c r="B172" s="42" t="s">
        <v>510</v>
      </c>
      <c r="C172" s="78" t="s">
        <v>511</v>
      </c>
      <c r="D172" s="50" t="s">
        <v>512</v>
      </c>
      <c r="E172" s="50" t="s">
        <v>122</v>
      </c>
      <c r="F172" s="50" t="s">
        <v>500</v>
      </c>
      <c r="G172" s="88">
        <v>29386608.75</v>
      </c>
      <c r="H172" s="88">
        <v>0</v>
      </c>
      <c r="I172" s="88">
        <v>977344.68</v>
      </c>
      <c r="J172" s="88">
        <v>0</v>
      </c>
      <c r="K172" s="89">
        <v>0</v>
      </c>
      <c r="L172" s="89">
        <v>30363953.43</v>
      </c>
      <c r="M172" s="89">
        <v>0</v>
      </c>
      <c r="N172" s="88">
        <v>75795.350000000006</v>
      </c>
      <c r="O172" s="88">
        <v>1336054.81</v>
      </c>
      <c r="P172" s="90">
        <v>14980969.560000001</v>
      </c>
      <c r="Q172" s="88">
        <v>0</v>
      </c>
      <c r="R172" s="88">
        <v>1433342.45</v>
      </c>
      <c r="S172" s="88">
        <v>4557238.82</v>
      </c>
      <c r="T172" s="88">
        <v>4333126.05</v>
      </c>
      <c r="U172" s="88">
        <v>0</v>
      </c>
      <c r="V172" s="88">
        <v>0</v>
      </c>
      <c r="W172" s="88">
        <v>1031370.94</v>
      </c>
      <c r="X172" s="89">
        <v>2734790.6</v>
      </c>
      <c r="Y172" s="89">
        <v>30482688.579999998</v>
      </c>
      <c r="Z172" s="81">
        <v>9.4642694012795542E-2</v>
      </c>
      <c r="AA172" s="89">
        <v>2654925.13</v>
      </c>
      <c r="AB172" s="89">
        <v>0</v>
      </c>
      <c r="AC172" s="89">
        <v>0</v>
      </c>
      <c r="AD172" s="89">
        <v>0</v>
      </c>
      <c r="AE172" s="89">
        <v>0</v>
      </c>
      <c r="AF172" s="89">
        <f t="shared" si="35"/>
        <v>0</v>
      </c>
      <c r="AG172" s="89">
        <v>1391144.2</v>
      </c>
      <c r="AH172" s="88">
        <v>106088.79</v>
      </c>
      <c r="AI172" s="88">
        <v>298345.99</v>
      </c>
      <c r="AJ172" s="89">
        <v>0</v>
      </c>
      <c r="AK172" s="88">
        <v>188544</v>
      </c>
      <c r="AL172" s="88">
        <v>9063.7000000000007</v>
      </c>
      <c r="AM172" s="88">
        <v>81268.89</v>
      </c>
      <c r="AN172" s="88">
        <v>9500</v>
      </c>
      <c r="AO172" s="88">
        <v>280</v>
      </c>
      <c r="AP172" s="88">
        <v>0</v>
      </c>
      <c r="AQ172" s="88">
        <v>60900.369999999995</v>
      </c>
      <c r="AR172" s="88">
        <v>34613.86</v>
      </c>
      <c r="AS172" s="88">
        <v>0</v>
      </c>
      <c r="AT172" s="88">
        <v>67369.56</v>
      </c>
      <c r="AU172" s="88">
        <v>77562.14</v>
      </c>
      <c r="AV172" s="88">
        <v>77034.429999999993</v>
      </c>
      <c r="AW172" s="88">
        <v>2401715.9300000002</v>
      </c>
      <c r="AX172" s="88">
        <v>0</v>
      </c>
      <c r="AY172" s="81">
        <f t="shared" si="36"/>
        <v>0</v>
      </c>
      <c r="AZ172" s="89">
        <v>0</v>
      </c>
      <c r="BA172" s="81">
        <v>9.0344726490429073E-2</v>
      </c>
      <c r="BB172" s="79">
        <v>367327.35</v>
      </c>
      <c r="BC172" s="79">
        <v>2413900.4700000002</v>
      </c>
      <c r="BD172" s="80">
        <v>219587</v>
      </c>
      <c r="BE172" s="80">
        <v>0</v>
      </c>
      <c r="BF172" s="80">
        <v>590638.94999999995</v>
      </c>
      <c r="BG172" s="80">
        <v>0</v>
      </c>
      <c r="BH172" s="80">
        <v>0</v>
      </c>
      <c r="BI172" s="80">
        <v>0</v>
      </c>
      <c r="BJ172" s="80">
        <f t="shared" si="37"/>
        <v>0</v>
      </c>
      <c r="BK172" s="80">
        <v>0</v>
      </c>
      <c r="BL172" s="80">
        <v>5422</v>
      </c>
      <c r="BM172" s="80">
        <v>1622</v>
      </c>
      <c r="BN172" s="79">
        <v>15</v>
      </c>
      <c r="BO172" s="79">
        <v>0</v>
      </c>
      <c r="BP172" s="79">
        <v>-7</v>
      </c>
      <c r="BQ172" s="79">
        <v>-104</v>
      </c>
      <c r="BR172" s="79">
        <v>-196</v>
      </c>
      <c r="BS172" s="79">
        <v>-604</v>
      </c>
      <c r="BT172" s="79">
        <v>11</v>
      </c>
      <c r="BU172" s="79">
        <v>0</v>
      </c>
      <c r="BV172" s="79">
        <v>0</v>
      </c>
      <c r="BW172" s="79">
        <v>-1291</v>
      </c>
      <c r="BX172" s="79">
        <v>-2</v>
      </c>
      <c r="BY172" s="79">
        <v>4866</v>
      </c>
      <c r="BZ172" s="79">
        <v>6</v>
      </c>
      <c r="CA172" s="79">
        <v>283</v>
      </c>
      <c r="CB172" s="79">
        <v>82</v>
      </c>
      <c r="CC172" s="79">
        <v>556</v>
      </c>
      <c r="CD172" s="79">
        <v>364</v>
      </c>
      <c r="CE172" s="79">
        <v>6</v>
      </c>
    </row>
    <row r="173" spans="1:83" s="58" customFormat="1" ht="15.6" customHeight="1" x14ac:dyDescent="0.25">
      <c r="A173" s="50">
        <v>21</v>
      </c>
      <c r="B173" s="50" t="s">
        <v>513</v>
      </c>
      <c r="C173" s="77" t="s">
        <v>514</v>
      </c>
      <c r="D173" s="50" t="s">
        <v>92</v>
      </c>
      <c r="E173" s="50" t="s">
        <v>122</v>
      </c>
      <c r="F173" s="50" t="s">
        <v>500</v>
      </c>
      <c r="G173" s="88">
        <v>20149041.68</v>
      </c>
      <c r="H173" s="88">
        <v>0</v>
      </c>
      <c r="I173" s="88">
        <v>713743.84</v>
      </c>
      <c r="J173" s="88">
        <v>0</v>
      </c>
      <c r="K173" s="89">
        <v>0</v>
      </c>
      <c r="L173" s="89">
        <v>20862785.52</v>
      </c>
      <c r="M173" s="89">
        <v>0</v>
      </c>
      <c r="N173" s="88">
        <v>10640.33</v>
      </c>
      <c r="O173" s="88">
        <v>530224.03</v>
      </c>
      <c r="P173" s="90">
        <v>10829546.67</v>
      </c>
      <c r="Q173" s="88">
        <v>0</v>
      </c>
      <c r="R173" s="88">
        <v>1040154.22</v>
      </c>
      <c r="S173" s="88">
        <v>2516566.2200000002</v>
      </c>
      <c r="T173" s="88">
        <v>3323243.92</v>
      </c>
      <c r="U173" s="88">
        <v>0</v>
      </c>
      <c r="V173" s="88">
        <v>0</v>
      </c>
      <c r="W173" s="88">
        <v>739002.78</v>
      </c>
      <c r="X173" s="89">
        <v>1779030.73</v>
      </c>
      <c r="Y173" s="89">
        <v>20768408.899999999</v>
      </c>
      <c r="Z173" s="81">
        <v>9.7368372707639358E-2</v>
      </c>
      <c r="AA173" s="89">
        <v>1747454.75</v>
      </c>
      <c r="AB173" s="89">
        <v>0</v>
      </c>
      <c r="AC173" s="89">
        <v>0</v>
      </c>
      <c r="AD173" s="89">
        <v>0</v>
      </c>
      <c r="AE173" s="89">
        <v>426.53</v>
      </c>
      <c r="AF173" s="89">
        <f t="shared" si="35"/>
        <v>426.53</v>
      </c>
      <c r="AG173" s="89">
        <v>895269.08</v>
      </c>
      <c r="AH173" s="88">
        <v>68037.39</v>
      </c>
      <c r="AI173" s="88">
        <v>196854.15</v>
      </c>
      <c r="AJ173" s="89">
        <v>0</v>
      </c>
      <c r="AK173" s="88">
        <v>147303.74</v>
      </c>
      <c r="AL173" s="88">
        <v>3432.24</v>
      </c>
      <c r="AM173" s="88">
        <v>58753.83</v>
      </c>
      <c r="AN173" s="88">
        <v>8250</v>
      </c>
      <c r="AO173" s="88">
        <v>0</v>
      </c>
      <c r="AP173" s="88">
        <v>0</v>
      </c>
      <c r="AQ173" s="88">
        <v>41590.160000000003</v>
      </c>
      <c r="AR173" s="88">
        <v>18281.41</v>
      </c>
      <c r="AS173" s="88">
        <v>0</v>
      </c>
      <c r="AT173" s="88">
        <v>35798.39</v>
      </c>
      <c r="AU173" s="88">
        <v>84.97</v>
      </c>
      <c r="AV173" s="88">
        <v>55916.53</v>
      </c>
      <c r="AW173" s="88">
        <v>1529571.89</v>
      </c>
      <c r="AX173" s="88">
        <v>0</v>
      </c>
      <c r="AY173" s="81">
        <f t="shared" si="36"/>
        <v>0</v>
      </c>
      <c r="AZ173" s="89">
        <v>0</v>
      </c>
      <c r="BA173" s="81">
        <v>8.6726444748711246E-2</v>
      </c>
      <c r="BB173" s="79">
        <v>378778.79</v>
      </c>
      <c r="BC173" s="79">
        <v>1583100.61</v>
      </c>
      <c r="BD173" s="80">
        <v>219586.4</v>
      </c>
      <c r="BE173" s="80">
        <v>0</v>
      </c>
      <c r="BF173" s="80">
        <v>378669.19</v>
      </c>
      <c r="BG173" s="80">
        <v>0</v>
      </c>
      <c r="BH173" s="80">
        <v>0</v>
      </c>
      <c r="BI173" s="80">
        <v>0</v>
      </c>
      <c r="BJ173" s="80">
        <f t="shared" si="37"/>
        <v>0</v>
      </c>
      <c r="BK173" s="80">
        <v>0</v>
      </c>
      <c r="BL173" s="80">
        <v>4942</v>
      </c>
      <c r="BM173" s="80">
        <v>1474</v>
      </c>
      <c r="BN173" s="79">
        <v>26</v>
      </c>
      <c r="BO173" s="79">
        <v>0</v>
      </c>
      <c r="BP173" s="79">
        <v>-7</v>
      </c>
      <c r="BQ173" s="79">
        <v>-45</v>
      </c>
      <c r="BR173" s="79">
        <v>-236</v>
      </c>
      <c r="BS173" s="79">
        <v>-596</v>
      </c>
      <c r="BT173" s="79">
        <v>0</v>
      </c>
      <c r="BU173" s="79">
        <v>0</v>
      </c>
      <c r="BV173" s="79">
        <v>-27</v>
      </c>
      <c r="BW173" s="79">
        <v>-894</v>
      </c>
      <c r="BX173" s="79">
        <v>0</v>
      </c>
      <c r="BY173" s="79">
        <v>4637</v>
      </c>
      <c r="BZ173" s="79">
        <v>3</v>
      </c>
      <c r="CA173" s="79">
        <v>79</v>
      </c>
      <c r="CB173" s="79">
        <v>42</v>
      </c>
      <c r="CC173" s="79">
        <v>317</v>
      </c>
      <c r="CD173" s="79">
        <v>444</v>
      </c>
      <c r="CE173" s="79">
        <v>12</v>
      </c>
    </row>
    <row r="174" spans="1:83" s="58" customFormat="1" ht="15.6" customHeight="1" x14ac:dyDescent="0.25">
      <c r="A174" s="50">
        <v>21</v>
      </c>
      <c r="B174" s="50" t="s">
        <v>515</v>
      </c>
      <c r="C174" s="77" t="s">
        <v>516</v>
      </c>
      <c r="D174" s="50" t="s">
        <v>517</v>
      </c>
      <c r="E174" s="50" t="s">
        <v>122</v>
      </c>
      <c r="F174" s="50" t="s">
        <v>500</v>
      </c>
      <c r="G174" s="88">
        <v>32491136.170000002</v>
      </c>
      <c r="H174" s="88">
        <v>0</v>
      </c>
      <c r="I174" s="88">
        <v>1906457.52</v>
      </c>
      <c r="J174" s="88">
        <v>0</v>
      </c>
      <c r="K174" s="89">
        <v>462.98</v>
      </c>
      <c r="L174" s="89">
        <v>34398056.670000002</v>
      </c>
      <c r="M174" s="89">
        <v>0</v>
      </c>
      <c r="N174" s="88">
        <v>184868.53</v>
      </c>
      <c r="O174" s="88">
        <v>1589728.41</v>
      </c>
      <c r="P174" s="90">
        <v>14670788.16</v>
      </c>
      <c r="Q174" s="88">
        <v>0</v>
      </c>
      <c r="R174" s="88">
        <v>2224606.9700000002</v>
      </c>
      <c r="S174" s="88">
        <v>5304995.71</v>
      </c>
      <c r="T174" s="88">
        <v>5131863.79</v>
      </c>
      <c r="U174" s="88">
        <v>0</v>
      </c>
      <c r="V174" s="88">
        <v>0</v>
      </c>
      <c r="W174" s="88">
        <v>1955681.96</v>
      </c>
      <c r="X174" s="89">
        <v>3281048.79</v>
      </c>
      <c r="Y174" s="89">
        <v>34343582.32</v>
      </c>
      <c r="Z174" s="81">
        <v>3.5682783265378187E-2</v>
      </c>
      <c r="AA174" s="89">
        <v>3254204.49</v>
      </c>
      <c r="AB174" s="89">
        <v>0</v>
      </c>
      <c r="AC174" s="89">
        <v>0</v>
      </c>
      <c r="AD174" s="89">
        <v>462.98</v>
      </c>
      <c r="AE174" s="89">
        <v>0</v>
      </c>
      <c r="AF174" s="89">
        <f t="shared" si="35"/>
        <v>462.98</v>
      </c>
      <c r="AG174" s="89">
        <v>1639225.25</v>
      </c>
      <c r="AH174" s="88">
        <v>127981.38</v>
      </c>
      <c r="AI174" s="88">
        <v>368639.71</v>
      </c>
      <c r="AJ174" s="89">
        <v>332.64</v>
      </c>
      <c r="AK174" s="88">
        <v>267670.98</v>
      </c>
      <c r="AL174" s="88">
        <v>2679.93</v>
      </c>
      <c r="AM174" s="88">
        <v>88280.79</v>
      </c>
      <c r="AN174" s="88">
        <v>9750</v>
      </c>
      <c r="AO174" s="88">
        <v>0</v>
      </c>
      <c r="AP174" s="88">
        <v>6000</v>
      </c>
      <c r="AQ174" s="88">
        <v>78656.350000000006</v>
      </c>
      <c r="AR174" s="88">
        <v>38276.03</v>
      </c>
      <c r="AS174" s="88">
        <v>0</v>
      </c>
      <c r="AT174" s="88">
        <v>47774.1</v>
      </c>
      <c r="AU174" s="88">
        <v>139412.59</v>
      </c>
      <c r="AV174" s="88">
        <v>112805.53</v>
      </c>
      <c r="AW174" s="88">
        <v>2927485.28</v>
      </c>
      <c r="AX174" s="88">
        <v>0</v>
      </c>
      <c r="AY174" s="81">
        <f t="shared" si="36"/>
        <v>0</v>
      </c>
      <c r="AZ174" s="89">
        <v>0</v>
      </c>
      <c r="BA174" s="81">
        <v>0.10015668497935448</v>
      </c>
      <c r="BB174" s="79">
        <v>721226.16</v>
      </c>
      <c r="BC174" s="79">
        <v>438148.01</v>
      </c>
      <c r="BD174" s="80">
        <v>219587</v>
      </c>
      <c r="BE174" s="80">
        <v>0</v>
      </c>
      <c r="BF174" s="80">
        <v>429614.82999999903</v>
      </c>
      <c r="BG174" s="80">
        <v>0</v>
      </c>
      <c r="BH174" s="80">
        <v>0</v>
      </c>
      <c r="BI174" s="80">
        <v>0</v>
      </c>
      <c r="BJ174" s="80">
        <f t="shared" si="37"/>
        <v>0</v>
      </c>
      <c r="BK174" s="80">
        <v>0</v>
      </c>
      <c r="BL174" s="80">
        <v>6879</v>
      </c>
      <c r="BM174" s="80">
        <v>1984</v>
      </c>
      <c r="BN174" s="79">
        <v>6</v>
      </c>
      <c r="BO174" s="79">
        <v>0</v>
      </c>
      <c r="BP174" s="79">
        <v>-25</v>
      </c>
      <c r="BQ174" s="79">
        <v>-185</v>
      </c>
      <c r="BR174" s="79">
        <v>-346</v>
      </c>
      <c r="BS174" s="79">
        <v>-705</v>
      </c>
      <c r="BT174" s="79">
        <v>0</v>
      </c>
      <c r="BU174" s="79">
        <v>0</v>
      </c>
      <c r="BV174" s="79">
        <v>22</v>
      </c>
      <c r="BW174" s="79">
        <v>-1125</v>
      </c>
      <c r="BX174" s="79">
        <v>-4</v>
      </c>
      <c r="BY174" s="79">
        <v>6501</v>
      </c>
      <c r="BZ174" s="79">
        <v>7</v>
      </c>
      <c r="CA174" s="79">
        <v>240</v>
      </c>
      <c r="CB174" s="79">
        <v>86</v>
      </c>
      <c r="CC174" s="79">
        <v>560</v>
      </c>
      <c r="CD174" s="79">
        <v>237</v>
      </c>
      <c r="CE174" s="79">
        <v>2</v>
      </c>
    </row>
    <row r="175" spans="1:83" s="58" customFormat="1" ht="15.75" x14ac:dyDescent="0.25">
      <c r="A175" s="50">
        <v>21</v>
      </c>
      <c r="B175" s="50" t="s">
        <v>518</v>
      </c>
      <c r="C175" s="77" t="s">
        <v>177</v>
      </c>
      <c r="D175" s="50" t="s">
        <v>519</v>
      </c>
      <c r="E175" s="50" t="s">
        <v>122</v>
      </c>
      <c r="F175" s="50" t="s">
        <v>504</v>
      </c>
      <c r="G175" s="88">
        <v>73411006.819999993</v>
      </c>
      <c r="H175" s="88">
        <v>0</v>
      </c>
      <c r="I175" s="88">
        <v>544150.5</v>
      </c>
      <c r="J175" s="88">
        <v>0</v>
      </c>
      <c r="K175" s="89">
        <v>0</v>
      </c>
      <c r="L175" s="89">
        <v>73955157.319999993</v>
      </c>
      <c r="M175" s="89">
        <v>0</v>
      </c>
      <c r="N175" s="88">
        <v>22942857.719999999</v>
      </c>
      <c r="O175" s="88">
        <v>4702631.41</v>
      </c>
      <c r="P175" s="90">
        <v>13163089.91</v>
      </c>
      <c r="Q175" s="88">
        <v>136089.35</v>
      </c>
      <c r="R175" s="88">
        <v>2179602.7000000002</v>
      </c>
      <c r="S175" s="88">
        <v>18733292.289999999</v>
      </c>
      <c r="T175" s="88">
        <v>7680043.54</v>
      </c>
      <c r="U175" s="88">
        <v>0</v>
      </c>
      <c r="V175" s="88">
        <v>0</v>
      </c>
      <c r="W175" s="88">
        <v>2657145.87</v>
      </c>
      <c r="X175" s="89">
        <v>3484489.44</v>
      </c>
      <c r="Y175" s="89">
        <v>75679242.230000004</v>
      </c>
      <c r="Z175" s="81">
        <v>0.15934161860334503</v>
      </c>
      <c r="AA175" s="89">
        <v>3450179.92</v>
      </c>
      <c r="AB175" s="89">
        <v>0</v>
      </c>
      <c r="AC175" s="89">
        <v>0</v>
      </c>
      <c r="AD175" s="89">
        <v>0</v>
      </c>
      <c r="AE175" s="89">
        <v>414.1</v>
      </c>
      <c r="AF175" s="89">
        <f t="shared" si="35"/>
        <v>414.1</v>
      </c>
      <c r="AG175" s="89">
        <v>1667626.61</v>
      </c>
      <c r="AH175" s="88">
        <v>129228.38</v>
      </c>
      <c r="AI175" s="88">
        <v>485175.93</v>
      </c>
      <c r="AJ175" s="89">
        <v>0</v>
      </c>
      <c r="AK175" s="88">
        <v>361297.94</v>
      </c>
      <c r="AL175" s="88">
        <v>7269.04</v>
      </c>
      <c r="AM175" s="88">
        <v>70031.08</v>
      </c>
      <c r="AN175" s="88">
        <v>11500</v>
      </c>
      <c r="AO175" s="88">
        <v>4560</v>
      </c>
      <c r="AP175" s="88">
        <v>6989.97</v>
      </c>
      <c r="AQ175" s="88">
        <v>99940.800000000003</v>
      </c>
      <c r="AR175" s="88">
        <v>17965.09</v>
      </c>
      <c r="AS175" s="88">
        <v>0</v>
      </c>
      <c r="AT175" s="88">
        <v>24875.279999999999</v>
      </c>
      <c r="AU175" s="88">
        <v>86389.27</v>
      </c>
      <c r="AV175" s="88">
        <v>130529.22</v>
      </c>
      <c r="AW175" s="88">
        <v>3103378.61</v>
      </c>
      <c r="AX175" s="88">
        <v>0</v>
      </c>
      <c r="AY175" s="81">
        <f t="shared" si="36"/>
        <v>0</v>
      </c>
      <c r="AZ175" s="89">
        <v>0</v>
      </c>
      <c r="BA175" s="81">
        <v>4.6998128338706258E-2</v>
      </c>
      <c r="BB175" s="79">
        <v>3282020.65</v>
      </c>
      <c r="BC175" s="79">
        <v>8415408</v>
      </c>
      <c r="BD175" s="80">
        <v>219587</v>
      </c>
      <c r="BE175" s="80">
        <v>2.91038304567337E-11</v>
      </c>
      <c r="BF175" s="80">
        <v>498697.87000000098</v>
      </c>
      <c r="BG175" s="80">
        <v>0</v>
      </c>
      <c r="BH175" s="80">
        <v>0</v>
      </c>
      <c r="BI175" s="80">
        <v>0</v>
      </c>
      <c r="BJ175" s="80">
        <f t="shared" si="37"/>
        <v>0</v>
      </c>
      <c r="BK175" s="80">
        <v>0</v>
      </c>
      <c r="BL175" s="80">
        <v>10915</v>
      </c>
      <c r="BM175" s="80">
        <v>3155</v>
      </c>
      <c r="BN175" s="79">
        <v>119</v>
      </c>
      <c r="BO175" s="79">
        <v>0</v>
      </c>
      <c r="BP175" s="79">
        <v>-58</v>
      </c>
      <c r="BQ175" s="79">
        <v>-25</v>
      </c>
      <c r="BR175" s="79">
        <v>-1051</v>
      </c>
      <c r="BS175" s="79">
        <v>-817</v>
      </c>
      <c r="BT175" s="79">
        <v>0</v>
      </c>
      <c r="BU175" s="79">
        <v>0</v>
      </c>
      <c r="BV175" s="79">
        <v>41</v>
      </c>
      <c r="BW175" s="79">
        <v>-1896</v>
      </c>
      <c r="BX175" s="79">
        <v>-1</v>
      </c>
      <c r="BY175" s="79">
        <v>10382</v>
      </c>
      <c r="BZ175" s="79">
        <v>354</v>
      </c>
      <c r="CA175" s="79">
        <v>517</v>
      </c>
      <c r="CB175" s="79">
        <v>150</v>
      </c>
      <c r="CC175" s="79">
        <v>1103</v>
      </c>
      <c r="CD175" s="79">
        <v>0</v>
      </c>
      <c r="CE175" s="79">
        <v>126</v>
      </c>
    </row>
    <row r="176" spans="1:83" s="58" customFormat="1" ht="15.75" x14ac:dyDescent="0.25">
      <c r="A176" s="50">
        <v>21</v>
      </c>
      <c r="B176" s="50" t="s">
        <v>520</v>
      </c>
      <c r="C176" s="78" t="s">
        <v>470</v>
      </c>
      <c r="D176" s="50" t="s">
        <v>521</v>
      </c>
      <c r="E176" s="50" t="s">
        <v>139</v>
      </c>
      <c r="F176" s="50" t="s">
        <v>504</v>
      </c>
      <c r="G176" s="88">
        <v>37474059.950000003</v>
      </c>
      <c r="H176" s="88">
        <v>0</v>
      </c>
      <c r="I176" s="88">
        <v>2613627.7599999998</v>
      </c>
      <c r="J176" s="88">
        <v>0</v>
      </c>
      <c r="K176" s="89">
        <v>0</v>
      </c>
      <c r="L176" s="89">
        <v>40087687.710000001</v>
      </c>
      <c r="M176" s="89">
        <v>0</v>
      </c>
      <c r="N176" s="88">
        <v>13659255.83</v>
      </c>
      <c r="O176" s="88">
        <v>2379894.29</v>
      </c>
      <c r="P176" s="90">
        <v>7704233.0800000001</v>
      </c>
      <c r="Q176" s="88">
        <v>0</v>
      </c>
      <c r="R176" s="88">
        <v>1538854.25</v>
      </c>
      <c r="S176" s="88">
        <v>8361583.0999999996</v>
      </c>
      <c r="T176" s="88">
        <v>2141163.2400000002</v>
      </c>
      <c r="U176" s="88">
        <v>0</v>
      </c>
      <c r="V176" s="88">
        <v>0</v>
      </c>
      <c r="W176" s="88">
        <v>3615091.64</v>
      </c>
      <c r="X176" s="89">
        <v>2436678.96</v>
      </c>
      <c r="Y176" s="89">
        <v>41836754.390000001</v>
      </c>
      <c r="Z176" s="81">
        <v>0.17802293690358439</v>
      </c>
      <c r="AA176" s="89">
        <v>2436678.96</v>
      </c>
      <c r="AB176" s="89">
        <v>0</v>
      </c>
      <c r="AC176" s="89">
        <v>0</v>
      </c>
      <c r="AD176" s="89">
        <v>0</v>
      </c>
      <c r="AE176" s="89">
        <v>0</v>
      </c>
      <c r="AF176" s="89">
        <f t="shared" si="35"/>
        <v>0</v>
      </c>
      <c r="AG176" s="89">
        <v>1382540.72</v>
      </c>
      <c r="AH176" s="88">
        <v>107486.37</v>
      </c>
      <c r="AI176" s="88">
        <v>330661.8</v>
      </c>
      <c r="AJ176" s="89">
        <v>0</v>
      </c>
      <c r="AK176" s="88">
        <v>196554.77</v>
      </c>
      <c r="AL176" s="88">
        <v>6998.33</v>
      </c>
      <c r="AM176" s="88">
        <v>81251.759999999995</v>
      </c>
      <c r="AN176" s="88">
        <v>8200</v>
      </c>
      <c r="AO176" s="88">
        <v>13350</v>
      </c>
      <c r="AP176" s="88">
        <v>76193.679999999993</v>
      </c>
      <c r="AQ176" s="88">
        <v>62081.16</v>
      </c>
      <c r="AR176" s="88">
        <v>27437.66</v>
      </c>
      <c r="AS176" s="88">
        <v>0</v>
      </c>
      <c r="AT176" s="88">
        <v>30127.14</v>
      </c>
      <c r="AU176" s="88">
        <v>11302.08</v>
      </c>
      <c r="AV176" s="88">
        <v>103792.72</v>
      </c>
      <c r="AW176" s="88">
        <v>2437978.19</v>
      </c>
      <c r="AX176" s="88">
        <v>0</v>
      </c>
      <c r="AY176" s="81">
        <f t="shared" si="36"/>
        <v>0</v>
      </c>
      <c r="AZ176" s="89">
        <v>0</v>
      </c>
      <c r="BA176" s="81">
        <v>6.5023084321558802E-2</v>
      </c>
      <c r="BB176" s="79">
        <v>2231084.9300000002</v>
      </c>
      <c r="BC176" s="79">
        <v>4440157.28</v>
      </c>
      <c r="BD176" s="80">
        <v>219587</v>
      </c>
      <c r="BE176" s="80">
        <v>0</v>
      </c>
      <c r="BF176" s="80">
        <v>229710.639999999</v>
      </c>
      <c r="BG176" s="80">
        <v>0</v>
      </c>
      <c r="BH176" s="80">
        <v>0</v>
      </c>
      <c r="BI176" s="80">
        <v>0</v>
      </c>
      <c r="BJ176" s="80">
        <f t="shared" si="37"/>
        <v>0</v>
      </c>
      <c r="BK176" s="80">
        <v>0</v>
      </c>
      <c r="BL176" s="80">
        <v>3665</v>
      </c>
      <c r="BM176" s="80">
        <v>1160</v>
      </c>
      <c r="BN176" s="79">
        <v>224</v>
      </c>
      <c r="BO176" s="79">
        <v>-151</v>
      </c>
      <c r="BP176" s="79">
        <v>-38</v>
      </c>
      <c r="BQ176" s="79">
        <v>-42</v>
      </c>
      <c r="BR176" s="79">
        <v>-540</v>
      </c>
      <c r="BS176" s="79">
        <v>-334</v>
      </c>
      <c r="BT176" s="79">
        <v>0</v>
      </c>
      <c r="BU176" s="79">
        <v>-4</v>
      </c>
      <c r="BV176" s="79">
        <v>13</v>
      </c>
      <c r="BW176" s="79">
        <v>-797</v>
      </c>
      <c r="BX176" s="79">
        <v>-1</v>
      </c>
      <c r="BY176" s="79">
        <v>3155</v>
      </c>
      <c r="BZ176" s="79">
        <v>5</v>
      </c>
      <c r="CA176" s="79">
        <v>422</v>
      </c>
      <c r="CB176" s="79">
        <v>66</v>
      </c>
      <c r="CC176" s="79">
        <v>274</v>
      </c>
      <c r="CD176" s="79">
        <v>26</v>
      </c>
      <c r="CE176" s="79">
        <v>9</v>
      </c>
    </row>
    <row r="177" spans="1:83" s="58" customFormat="1" ht="15.75" x14ac:dyDescent="0.25">
      <c r="A177" s="50">
        <v>21</v>
      </c>
      <c r="B177" s="50" t="s">
        <v>522</v>
      </c>
      <c r="C177" s="77" t="s">
        <v>523</v>
      </c>
      <c r="D177" s="50" t="s">
        <v>495</v>
      </c>
      <c r="E177" s="41" t="s">
        <v>86</v>
      </c>
      <c r="F177" s="50" t="s">
        <v>524</v>
      </c>
      <c r="G177" s="88">
        <v>38259523.780000001</v>
      </c>
      <c r="H177" s="88">
        <v>0</v>
      </c>
      <c r="I177" s="88">
        <v>427846.96</v>
      </c>
      <c r="J177" s="88">
        <v>0</v>
      </c>
      <c r="K177" s="89">
        <v>0</v>
      </c>
      <c r="L177" s="89">
        <v>38687370.740000002</v>
      </c>
      <c r="M177" s="89">
        <v>0</v>
      </c>
      <c r="N177" s="88">
        <v>12583.91</v>
      </c>
      <c r="O177" s="88">
        <v>3810598.47</v>
      </c>
      <c r="P177" s="90">
        <v>9659295.0199999996</v>
      </c>
      <c r="Q177" s="88">
        <v>0</v>
      </c>
      <c r="R177" s="88">
        <v>2717142.2</v>
      </c>
      <c r="S177" s="88">
        <v>12372865.57</v>
      </c>
      <c r="T177" s="88">
        <v>4941221.4000000004</v>
      </c>
      <c r="U177" s="88">
        <v>0</v>
      </c>
      <c r="V177" s="88">
        <v>0</v>
      </c>
      <c r="W177" s="88">
        <v>1231071.95</v>
      </c>
      <c r="X177" s="89">
        <v>2872814.66</v>
      </c>
      <c r="Y177" s="89">
        <v>37617593.18</v>
      </c>
      <c r="Z177" s="81">
        <v>0.16010920536345447</v>
      </c>
      <c r="AA177" s="89">
        <v>2862992.66</v>
      </c>
      <c r="AB177" s="89">
        <v>0</v>
      </c>
      <c r="AC177" s="89">
        <v>0</v>
      </c>
      <c r="AD177" s="89">
        <v>0</v>
      </c>
      <c r="AE177" s="89">
        <v>0</v>
      </c>
      <c r="AF177" s="89">
        <f t="shared" si="35"/>
        <v>0</v>
      </c>
      <c r="AG177" s="89">
        <v>1441928.5</v>
      </c>
      <c r="AH177" s="88">
        <v>118983.85</v>
      </c>
      <c r="AI177" s="88">
        <v>293464.21000000002</v>
      </c>
      <c r="AJ177" s="89">
        <v>244.72</v>
      </c>
      <c r="AK177" s="88">
        <v>242610.73</v>
      </c>
      <c r="AL177" s="88">
        <v>27989.4</v>
      </c>
      <c r="AM177" s="88">
        <v>73683.23</v>
      </c>
      <c r="AN177" s="88">
        <v>11900</v>
      </c>
      <c r="AO177" s="88">
        <v>6781</v>
      </c>
      <c r="AP177" s="88">
        <v>39900.5</v>
      </c>
      <c r="AQ177" s="88">
        <v>56003.040000000001</v>
      </c>
      <c r="AR177" s="88">
        <v>18551.89</v>
      </c>
      <c r="AS177" s="88">
        <v>0</v>
      </c>
      <c r="AT177" s="88">
        <v>54055.519999999997</v>
      </c>
      <c r="AU177" s="88">
        <v>78303.37</v>
      </c>
      <c r="AV177" s="88">
        <v>270633.06</v>
      </c>
      <c r="AW177" s="88">
        <v>2735033.02</v>
      </c>
      <c r="AX177" s="88">
        <v>0</v>
      </c>
      <c r="AY177" s="81">
        <f t="shared" si="36"/>
        <v>0</v>
      </c>
      <c r="AZ177" s="89">
        <v>0</v>
      </c>
      <c r="BA177" s="81">
        <v>7.4830849345192768E-2</v>
      </c>
      <c r="BB177" s="79">
        <v>1819097.84</v>
      </c>
      <c r="BC177" s="79">
        <v>4306604.1100000003</v>
      </c>
      <c r="BD177" s="80">
        <v>219587</v>
      </c>
      <c r="BE177" s="80">
        <v>0</v>
      </c>
      <c r="BF177" s="80">
        <v>664652.27</v>
      </c>
      <c r="BG177" s="80">
        <v>0</v>
      </c>
      <c r="BH177" s="80">
        <v>0</v>
      </c>
      <c r="BI177" s="80">
        <v>0</v>
      </c>
      <c r="BJ177" s="80">
        <f t="shared" si="37"/>
        <v>0</v>
      </c>
      <c r="BK177" s="80">
        <v>0</v>
      </c>
      <c r="BL177" s="80">
        <v>9689</v>
      </c>
      <c r="BM177" s="80">
        <v>1839</v>
      </c>
      <c r="BN177" s="79">
        <v>0</v>
      </c>
      <c r="BO177" s="79">
        <v>0</v>
      </c>
      <c r="BP177" s="79">
        <v>-64</v>
      </c>
      <c r="BQ177" s="79">
        <v>-216</v>
      </c>
      <c r="BR177" s="79">
        <v>-383</v>
      </c>
      <c r="BS177" s="79">
        <v>-910</v>
      </c>
      <c r="BT177" s="79">
        <v>0</v>
      </c>
      <c r="BU177" s="79">
        <v>-8</v>
      </c>
      <c r="BV177" s="79">
        <v>75</v>
      </c>
      <c r="BW177" s="79">
        <v>-1322</v>
      </c>
      <c r="BX177" s="79">
        <v>-18</v>
      </c>
      <c r="BY177" s="79">
        <v>8682</v>
      </c>
      <c r="BZ177" s="79">
        <v>15</v>
      </c>
      <c r="CA177" s="79">
        <v>191</v>
      </c>
      <c r="CB177" s="79">
        <v>174</v>
      </c>
      <c r="CC177" s="79">
        <v>932</v>
      </c>
      <c r="CD177" s="79">
        <v>2</v>
      </c>
      <c r="CE177" s="79">
        <v>23</v>
      </c>
    </row>
    <row r="178" spans="1:83" s="58" customFormat="1" ht="15.75" x14ac:dyDescent="0.25">
      <c r="A178" s="50">
        <v>21</v>
      </c>
      <c r="B178" s="50" t="s">
        <v>525</v>
      </c>
      <c r="C178" s="77" t="s">
        <v>526</v>
      </c>
      <c r="D178" s="50" t="s">
        <v>314</v>
      </c>
      <c r="E178" s="50" t="s">
        <v>139</v>
      </c>
      <c r="F178" s="50" t="s">
        <v>504</v>
      </c>
      <c r="G178" s="88">
        <v>35335152.799999997</v>
      </c>
      <c r="H178" s="88">
        <v>0</v>
      </c>
      <c r="I178" s="88">
        <v>823467.53</v>
      </c>
      <c r="J178" s="88">
        <v>0</v>
      </c>
      <c r="K178" s="89">
        <v>0</v>
      </c>
      <c r="L178" s="89">
        <v>36158620.329999998</v>
      </c>
      <c r="M178" s="89">
        <v>0</v>
      </c>
      <c r="N178" s="88">
        <v>10319518.58</v>
      </c>
      <c r="O178" s="88">
        <v>2084709.7</v>
      </c>
      <c r="P178" s="90">
        <v>3373866.92</v>
      </c>
      <c r="Q178" s="88">
        <v>0</v>
      </c>
      <c r="R178" s="88">
        <v>1799190.4</v>
      </c>
      <c r="S178" s="88">
        <v>14045072.02</v>
      </c>
      <c r="T178" s="88">
        <v>1702817.98</v>
      </c>
      <c r="U178" s="88">
        <v>0</v>
      </c>
      <c r="V178" s="88">
        <v>0</v>
      </c>
      <c r="W178" s="88">
        <v>3037773.18</v>
      </c>
      <c r="X178" s="89">
        <v>2697965.55</v>
      </c>
      <c r="Y178" s="89">
        <v>39060914.329999998</v>
      </c>
      <c r="Z178" s="81">
        <v>0.10391496877862688</v>
      </c>
      <c r="AA178" s="89">
        <v>2697965.55</v>
      </c>
      <c r="AB178" s="89">
        <v>0</v>
      </c>
      <c r="AC178" s="89">
        <v>0</v>
      </c>
      <c r="AD178" s="89">
        <v>0</v>
      </c>
      <c r="AE178" s="89">
        <v>0</v>
      </c>
      <c r="AF178" s="89">
        <f t="shared" si="35"/>
        <v>0</v>
      </c>
      <c r="AG178" s="89">
        <v>1363064.36</v>
      </c>
      <c r="AH178" s="88">
        <v>104579.02</v>
      </c>
      <c r="AI178" s="88">
        <v>382802.56</v>
      </c>
      <c r="AJ178" s="89">
        <v>15753.64</v>
      </c>
      <c r="AK178" s="88">
        <v>169710.53</v>
      </c>
      <c r="AL178" s="88">
        <v>0</v>
      </c>
      <c r="AM178" s="88">
        <v>108590.22</v>
      </c>
      <c r="AN178" s="88">
        <v>11400</v>
      </c>
      <c r="AO178" s="88">
        <v>3848</v>
      </c>
      <c r="AP178" s="88">
        <v>89399.01</v>
      </c>
      <c r="AQ178" s="88">
        <v>78368.25</v>
      </c>
      <c r="AR178" s="88">
        <v>21624.99</v>
      </c>
      <c r="AS178" s="88">
        <v>0</v>
      </c>
      <c r="AT178" s="88">
        <v>78748.87</v>
      </c>
      <c r="AU178" s="88">
        <v>6244.9</v>
      </c>
      <c r="AV178" s="88">
        <v>122378.42</v>
      </c>
      <c r="AW178" s="88">
        <v>2556512.77</v>
      </c>
      <c r="AX178" s="88">
        <v>0</v>
      </c>
      <c r="AY178" s="81">
        <f t="shared" si="36"/>
        <v>0</v>
      </c>
      <c r="AZ178" s="89">
        <v>0</v>
      </c>
      <c r="BA178" s="81">
        <v>7.6353583788662721E-2</v>
      </c>
      <c r="BB178" s="79">
        <v>1854535.82</v>
      </c>
      <c r="BC178" s="79">
        <v>1817315.48</v>
      </c>
      <c r="BD178" s="80">
        <v>216829</v>
      </c>
      <c r="BE178" s="80">
        <v>0</v>
      </c>
      <c r="BF178" s="80">
        <v>539161.75</v>
      </c>
      <c r="BG178" s="80">
        <v>0</v>
      </c>
      <c r="BH178" s="80">
        <v>0</v>
      </c>
      <c r="BI178" s="80">
        <v>0</v>
      </c>
      <c r="BJ178" s="80">
        <f t="shared" si="37"/>
        <v>0</v>
      </c>
      <c r="BK178" s="80">
        <v>0</v>
      </c>
      <c r="BL178" s="80">
        <v>5385</v>
      </c>
      <c r="BM178" s="80">
        <v>1365</v>
      </c>
      <c r="BN178" s="79">
        <v>19</v>
      </c>
      <c r="BO178" s="79">
        <v>-48</v>
      </c>
      <c r="BP178" s="79">
        <v>-72</v>
      </c>
      <c r="BQ178" s="79">
        <v>-43</v>
      </c>
      <c r="BR178" s="79">
        <v>-860</v>
      </c>
      <c r="BS178" s="79">
        <v>-300</v>
      </c>
      <c r="BT178" s="79">
        <v>0</v>
      </c>
      <c r="BU178" s="79">
        <v>-12</v>
      </c>
      <c r="BV178" s="79">
        <v>0</v>
      </c>
      <c r="BW178" s="79">
        <v>-1570</v>
      </c>
      <c r="BX178" s="79">
        <v>-2</v>
      </c>
      <c r="BY178" s="79">
        <v>3862</v>
      </c>
      <c r="BZ178" s="79">
        <v>21</v>
      </c>
      <c r="CA178" s="79">
        <v>435</v>
      </c>
      <c r="CB178" s="79">
        <v>198</v>
      </c>
      <c r="CC178" s="79">
        <v>677</v>
      </c>
      <c r="CD178" s="79">
        <v>155</v>
      </c>
      <c r="CE178" s="79">
        <v>105</v>
      </c>
    </row>
    <row r="179" spans="1:83" s="58" customFormat="1" ht="15.75" x14ac:dyDescent="0.25">
      <c r="A179" s="50">
        <v>21</v>
      </c>
      <c r="B179" s="50" t="s">
        <v>527</v>
      </c>
      <c r="C179" s="77" t="s">
        <v>528</v>
      </c>
      <c r="D179" s="50" t="s">
        <v>499</v>
      </c>
      <c r="E179" s="50" t="s">
        <v>104</v>
      </c>
      <c r="F179" s="50" t="s">
        <v>500</v>
      </c>
      <c r="G179" s="88">
        <v>62714377.950000003</v>
      </c>
      <c r="H179" s="88">
        <v>0</v>
      </c>
      <c r="I179" s="88">
        <v>2368260.92</v>
      </c>
      <c r="J179" s="88">
        <v>0</v>
      </c>
      <c r="K179" s="80">
        <v>-595.15</v>
      </c>
      <c r="L179" s="89">
        <v>65082043.719999999</v>
      </c>
      <c r="M179" s="89">
        <v>0</v>
      </c>
      <c r="N179" s="88">
        <v>19006.400000000001</v>
      </c>
      <c r="O179" s="88">
        <v>5052636.4800000004</v>
      </c>
      <c r="P179" s="90">
        <v>26555823.149999999</v>
      </c>
      <c r="Q179" s="88">
        <v>0</v>
      </c>
      <c r="R179" s="88">
        <v>3923788.95</v>
      </c>
      <c r="S179" s="88">
        <v>11476652.859999999</v>
      </c>
      <c r="T179" s="88">
        <v>10136831.109999999</v>
      </c>
      <c r="U179" s="88">
        <v>0</v>
      </c>
      <c r="V179" s="88">
        <v>0</v>
      </c>
      <c r="W179" s="88">
        <v>2610589.5699999998</v>
      </c>
      <c r="X179" s="89">
        <v>4583552.3899999997</v>
      </c>
      <c r="Y179" s="89">
        <v>64358880.909999996</v>
      </c>
      <c r="Z179" s="81">
        <v>0.13730849131383274</v>
      </c>
      <c r="AA179" s="89">
        <v>4546550.79</v>
      </c>
      <c r="AB179" s="89">
        <v>0</v>
      </c>
      <c r="AC179" s="89">
        <v>0</v>
      </c>
      <c r="AD179" s="89">
        <v>0</v>
      </c>
      <c r="AE179" s="89">
        <v>0</v>
      </c>
      <c r="AF179" s="89">
        <f t="shared" si="35"/>
        <v>0</v>
      </c>
      <c r="AG179" s="89">
        <v>2346376.71</v>
      </c>
      <c r="AH179" s="88">
        <v>178103.34</v>
      </c>
      <c r="AI179" s="88">
        <v>536420.79</v>
      </c>
      <c r="AJ179" s="89">
        <v>0</v>
      </c>
      <c r="AK179" s="88">
        <v>460499.58</v>
      </c>
      <c r="AL179" s="88">
        <v>8933.27</v>
      </c>
      <c r="AM179" s="88">
        <v>80602.58</v>
      </c>
      <c r="AN179" s="88">
        <v>13250</v>
      </c>
      <c r="AO179" s="88">
        <v>10342.61</v>
      </c>
      <c r="AP179" s="88">
        <v>0</v>
      </c>
      <c r="AQ179" s="88">
        <v>99912</v>
      </c>
      <c r="AR179" s="88">
        <v>50735.4</v>
      </c>
      <c r="AS179" s="88">
        <v>0</v>
      </c>
      <c r="AT179" s="88">
        <v>9435.93</v>
      </c>
      <c r="AU179" s="88">
        <v>24945.75</v>
      </c>
      <c r="AV179" s="88">
        <v>121636.13</v>
      </c>
      <c r="AW179" s="88">
        <v>3941194.09</v>
      </c>
      <c r="AX179" s="88">
        <v>0</v>
      </c>
      <c r="AY179" s="81">
        <f t="shared" si="36"/>
        <v>0</v>
      </c>
      <c r="AZ179" s="89">
        <v>2209.13</v>
      </c>
      <c r="BA179" s="81">
        <v>7.2496147432488403E-2</v>
      </c>
      <c r="BB179" s="79">
        <v>1409973.81</v>
      </c>
      <c r="BC179" s="79">
        <v>7201242.8099999996</v>
      </c>
      <c r="BD179" s="80">
        <v>219587</v>
      </c>
      <c r="BE179" s="80">
        <v>0</v>
      </c>
      <c r="BF179" s="80">
        <v>1100547.3700000001</v>
      </c>
      <c r="BG179" s="80">
        <v>115248.8475</v>
      </c>
      <c r="BH179" s="80">
        <v>0</v>
      </c>
      <c r="BI179" s="80">
        <v>0</v>
      </c>
      <c r="BJ179" s="80">
        <f t="shared" si="37"/>
        <v>0</v>
      </c>
      <c r="BK179" s="80">
        <v>0</v>
      </c>
      <c r="BL179" s="80">
        <v>10300</v>
      </c>
      <c r="BM179" s="80">
        <v>4636</v>
      </c>
      <c r="BN179" s="79">
        <v>43</v>
      </c>
      <c r="BO179" s="79">
        <v>0</v>
      </c>
      <c r="BP179" s="79">
        <v>-110</v>
      </c>
      <c r="BQ179" s="79">
        <v>-242</v>
      </c>
      <c r="BR179" s="79">
        <v>-1789</v>
      </c>
      <c r="BS179" s="79">
        <v>-1287</v>
      </c>
      <c r="BT179" s="79">
        <v>5</v>
      </c>
      <c r="BU179" s="79">
        <v>-4</v>
      </c>
      <c r="BV179" s="79">
        <v>0</v>
      </c>
      <c r="BW179" s="79">
        <v>-1920</v>
      </c>
      <c r="BX179" s="79">
        <v>-6</v>
      </c>
      <c r="BY179" s="79">
        <v>9626</v>
      </c>
      <c r="BZ179" s="79">
        <v>52</v>
      </c>
      <c r="CA179" s="79">
        <v>321</v>
      </c>
      <c r="CB179" s="79">
        <v>133</v>
      </c>
      <c r="CC179" s="79">
        <v>878</v>
      </c>
      <c r="CD179" s="79">
        <v>569</v>
      </c>
      <c r="CE179" s="79">
        <v>19</v>
      </c>
    </row>
    <row r="180" spans="1:83" s="58" customFormat="1" ht="15.75" x14ac:dyDescent="0.25">
      <c r="A180" s="50">
        <v>21</v>
      </c>
      <c r="B180" s="50" t="s">
        <v>529</v>
      </c>
      <c r="C180" s="77" t="s">
        <v>225</v>
      </c>
      <c r="D180" s="50" t="s">
        <v>530</v>
      </c>
      <c r="E180" s="50" t="s">
        <v>139</v>
      </c>
      <c r="F180" s="50" t="s">
        <v>504</v>
      </c>
      <c r="G180" s="88">
        <v>30555698.890000001</v>
      </c>
      <c r="H180" s="88">
        <v>0</v>
      </c>
      <c r="I180" s="88">
        <v>382123.22</v>
      </c>
      <c r="J180" s="88">
        <v>0</v>
      </c>
      <c r="K180" s="89">
        <v>0</v>
      </c>
      <c r="L180" s="89">
        <v>30937822.109999999</v>
      </c>
      <c r="M180" s="89">
        <v>0</v>
      </c>
      <c r="N180" s="88">
        <v>8741449.5199999996</v>
      </c>
      <c r="O180" s="88">
        <v>1125345.6299999999</v>
      </c>
      <c r="P180" s="90">
        <v>2564795.7999999998</v>
      </c>
      <c r="Q180" s="88">
        <v>0</v>
      </c>
      <c r="R180" s="88">
        <v>1987838.4</v>
      </c>
      <c r="S180" s="88">
        <v>9910205.2899999991</v>
      </c>
      <c r="T180" s="88">
        <v>2702459</v>
      </c>
      <c r="U180" s="88">
        <v>0</v>
      </c>
      <c r="V180" s="88">
        <v>0</v>
      </c>
      <c r="W180" s="88">
        <v>2307236.7799999998</v>
      </c>
      <c r="X180" s="89">
        <v>2623462.1</v>
      </c>
      <c r="Y180" s="89">
        <v>31962792.52</v>
      </c>
      <c r="Z180" s="81">
        <v>0.15088793932017963</v>
      </c>
      <c r="AA180" s="89">
        <v>2622648.5</v>
      </c>
      <c r="AB180" s="89">
        <v>0</v>
      </c>
      <c r="AC180" s="89">
        <v>0</v>
      </c>
      <c r="AD180" s="89">
        <v>0</v>
      </c>
      <c r="AE180" s="89">
        <v>918.1</v>
      </c>
      <c r="AF180" s="89">
        <f t="shared" si="35"/>
        <v>918.1</v>
      </c>
      <c r="AG180" s="89">
        <v>1345837.2</v>
      </c>
      <c r="AH180" s="88">
        <v>107231.83</v>
      </c>
      <c r="AI180" s="88">
        <v>374961.85</v>
      </c>
      <c r="AJ180" s="89">
        <v>0</v>
      </c>
      <c r="AK180" s="88">
        <v>240219.19</v>
      </c>
      <c r="AL180" s="88">
        <v>0</v>
      </c>
      <c r="AM180" s="88">
        <v>68267.77</v>
      </c>
      <c r="AN180" s="88">
        <v>11400</v>
      </c>
      <c r="AO180" s="88">
        <v>11227.9</v>
      </c>
      <c r="AP180" s="88">
        <v>62079.97</v>
      </c>
      <c r="AQ180" s="88">
        <v>72739.62</v>
      </c>
      <c r="AR180" s="88">
        <v>35091.65</v>
      </c>
      <c r="AS180" s="88">
        <v>0</v>
      </c>
      <c r="AT180" s="88">
        <v>14523.93</v>
      </c>
      <c r="AU180" s="88">
        <v>9426.34</v>
      </c>
      <c r="AV180" s="88">
        <v>124306.55</v>
      </c>
      <c r="AW180" s="88">
        <v>2477313.7999999998</v>
      </c>
      <c r="AX180" s="88">
        <v>0</v>
      </c>
      <c r="AY180" s="81">
        <f t="shared" si="36"/>
        <v>0</v>
      </c>
      <c r="AZ180" s="89">
        <v>241.88</v>
      </c>
      <c r="BA180" s="81">
        <v>8.5831730095308575E-2</v>
      </c>
      <c r="BB180" s="79">
        <v>2923702.22</v>
      </c>
      <c r="BC180" s="79">
        <v>1686784.22</v>
      </c>
      <c r="BD180" s="80">
        <v>219586.98</v>
      </c>
      <c r="BE180" s="80">
        <v>0</v>
      </c>
      <c r="BF180" s="80">
        <v>761115.05</v>
      </c>
      <c r="BG180" s="80">
        <v>141786.6</v>
      </c>
      <c r="BH180" s="80">
        <v>0</v>
      </c>
      <c r="BI180" s="80">
        <v>0</v>
      </c>
      <c r="BJ180" s="80">
        <f t="shared" si="37"/>
        <v>0</v>
      </c>
      <c r="BK180" s="80">
        <v>0</v>
      </c>
      <c r="BL180" s="80">
        <v>4624</v>
      </c>
      <c r="BM180" s="80">
        <v>1598</v>
      </c>
      <c r="BN180" s="79">
        <v>19</v>
      </c>
      <c r="BO180" s="79">
        <v>0</v>
      </c>
      <c r="BP180" s="79">
        <v>-99</v>
      </c>
      <c r="BQ180" s="79">
        <v>-42</v>
      </c>
      <c r="BR180" s="79">
        <v>-896</v>
      </c>
      <c r="BS180" s="79">
        <v>-161</v>
      </c>
      <c r="BT180" s="79">
        <v>39</v>
      </c>
      <c r="BU180" s="79">
        <v>-3</v>
      </c>
      <c r="BV180" s="79">
        <v>15</v>
      </c>
      <c r="BW180" s="79">
        <v>-1085</v>
      </c>
      <c r="BX180" s="79">
        <v>-9</v>
      </c>
      <c r="BY180" s="79">
        <v>4000</v>
      </c>
      <c r="BZ180" s="79">
        <v>11</v>
      </c>
      <c r="CA180" s="79">
        <v>276</v>
      </c>
      <c r="CB180" s="79">
        <v>129</v>
      </c>
      <c r="CC180" s="79">
        <v>522</v>
      </c>
      <c r="CD180" s="79">
        <v>138</v>
      </c>
      <c r="CE180" s="79">
        <v>20</v>
      </c>
    </row>
    <row r="181" spans="1:83" s="58" customFormat="1" ht="15.75" x14ac:dyDescent="0.25">
      <c r="A181" s="50">
        <v>21</v>
      </c>
      <c r="B181" s="50" t="s">
        <v>531</v>
      </c>
      <c r="C181" s="77" t="s">
        <v>491</v>
      </c>
      <c r="D181" s="50" t="s">
        <v>532</v>
      </c>
      <c r="E181" s="50" t="s">
        <v>139</v>
      </c>
      <c r="F181" s="50" t="s">
        <v>504</v>
      </c>
      <c r="G181" s="88">
        <v>76631144.730000004</v>
      </c>
      <c r="H181" s="88">
        <v>0</v>
      </c>
      <c r="I181" s="88">
        <v>2502053.2999999998</v>
      </c>
      <c r="J181" s="88">
        <v>0</v>
      </c>
      <c r="K181" s="89">
        <v>6744.92</v>
      </c>
      <c r="L181" s="89">
        <v>79139942.950000003</v>
      </c>
      <c r="M181" s="89">
        <v>0</v>
      </c>
      <c r="N181" s="88">
        <v>36849516.979999997</v>
      </c>
      <c r="O181" s="88">
        <v>3730264.22</v>
      </c>
      <c r="P181" s="90">
        <v>12883298.75</v>
      </c>
      <c r="Q181" s="88">
        <v>0</v>
      </c>
      <c r="R181" s="88">
        <v>3791756.03</v>
      </c>
      <c r="S181" s="88">
        <v>14038773.34</v>
      </c>
      <c r="T181" s="88">
        <v>2953916.69</v>
      </c>
      <c r="U181" s="88">
        <v>0</v>
      </c>
      <c r="V181" s="88">
        <v>0</v>
      </c>
      <c r="W181" s="88">
        <v>5054380.6900000004</v>
      </c>
      <c r="X181" s="89">
        <v>3066863.05</v>
      </c>
      <c r="Y181" s="89">
        <v>82368769.75</v>
      </c>
      <c r="Z181" s="81">
        <v>0.16855767228208024</v>
      </c>
      <c r="AA181" s="89">
        <v>3060118.13</v>
      </c>
      <c r="AB181" s="89">
        <v>0</v>
      </c>
      <c r="AC181" s="89">
        <v>0</v>
      </c>
      <c r="AD181" s="89">
        <v>6744.92</v>
      </c>
      <c r="AE181" s="89">
        <v>440.33</v>
      </c>
      <c r="AF181" s="89">
        <f t="shared" si="35"/>
        <v>7185.25</v>
      </c>
      <c r="AG181" s="89">
        <v>1742185.04</v>
      </c>
      <c r="AH181" s="88">
        <v>132787.26</v>
      </c>
      <c r="AI181" s="88">
        <v>481470.18</v>
      </c>
      <c r="AJ181" s="89">
        <v>0</v>
      </c>
      <c r="AK181" s="88">
        <v>316254.59999999998</v>
      </c>
      <c r="AL181" s="88">
        <v>10706.75</v>
      </c>
      <c r="AM181" s="88">
        <v>99763.35</v>
      </c>
      <c r="AN181" s="88">
        <v>8200</v>
      </c>
      <c r="AO181" s="88">
        <v>4500</v>
      </c>
      <c r="AP181" s="88">
        <v>186152.19</v>
      </c>
      <c r="AQ181" s="88">
        <v>126909.47</v>
      </c>
      <c r="AR181" s="88">
        <v>17477.89</v>
      </c>
      <c r="AS181" s="88">
        <v>340</v>
      </c>
      <c r="AT181" s="88">
        <v>18491.27</v>
      </c>
      <c r="AU181" s="88">
        <v>0</v>
      </c>
      <c r="AV181" s="88">
        <v>102703.03</v>
      </c>
      <c r="AW181" s="88">
        <v>3247941.03</v>
      </c>
      <c r="AX181" s="88">
        <v>0</v>
      </c>
      <c r="AY181" s="81">
        <f t="shared" si="36"/>
        <v>0</v>
      </c>
      <c r="AZ181" s="89">
        <v>0</v>
      </c>
      <c r="BA181" s="81">
        <v>3.9933086485683243E-2</v>
      </c>
      <c r="BB181" s="79">
        <v>1441299.24</v>
      </c>
      <c r="BC181" s="79">
        <v>11475468.140000001</v>
      </c>
      <c r="BD181" s="80">
        <v>219587</v>
      </c>
      <c r="BE181" s="80">
        <v>0</v>
      </c>
      <c r="BF181" s="80">
        <v>246012.510000001</v>
      </c>
      <c r="BG181" s="80">
        <v>0</v>
      </c>
      <c r="BH181" s="80">
        <v>0</v>
      </c>
      <c r="BI181" s="80">
        <v>0</v>
      </c>
      <c r="BJ181" s="80">
        <f t="shared" si="37"/>
        <v>0</v>
      </c>
      <c r="BK181" s="80">
        <v>0</v>
      </c>
      <c r="BL181" s="80">
        <v>5227</v>
      </c>
      <c r="BM181" s="80">
        <v>1774</v>
      </c>
      <c r="BN181" s="79">
        <v>2</v>
      </c>
      <c r="BO181" s="79">
        <v>-2</v>
      </c>
      <c r="BP181" s="79">
        <v>-71</v>
      </c>
      <c r="BQ181" s="79">
        <v>-98</v>
      </c>
      <c r="BR181" s="79">
        <v>-831</v>
      </c>
      <c r="BS181" s="79">
        <v>-548</v>
      </c>
      <c r="BT181" s="79">
        <v>13</v>
      </c>
      <c r="BU181" s="79">
        <v>-4</v>
      </c>
      <c r="BV181" s="79">
        <v>55</v>
      </c>
      <c r="BW181" s="79">
        <v>-1106</v>
      </c>
      <c r="BX181" s="79">
        <v>-1</v>
      </c>
      <c r="BY181" s="79">
        <v>4410</v>
      </c>
      <c r="BZ181" s="79">
        <v>36</v>
      </c>
      <c r="CA181" s="79">
        <v>379</v>
      </c>
      <c r="CB181" s="79">
        <v>145</v>
      </c>
      <c r="CC181" s="79">
        <v>538</v>
      </c>
      <c r="CD181" s="79">
        <v>35</v>
      </c>
      <c r="CE181" s="79">
        <v>9</v>
      </c>
    </row>
    <row r="182" spans="1:83" s="58" customFormat="1" ht="15.75" x14ac:dyDescent="0.25">
      <c r="A182" s="50">
        <v>21</v>
      </c>
      <c r="B182" s="50" t="s">
        <v>533</v>
      </c>
      <c r="C182" s="77" t="s">
        <v>534</v>
      </c>
      <c r="D182" s="50" t="s">
        <v>535</v>
      </c>
      <c r="E182" s="50" t="s">
        <v>122</v>
      </c>
      <c r="F182" s="50" t="s">
        <v>504</v>
      </c>
      <c r="G182" s="89">
        <v>81844015.019999996</v>
      </c>
      <c r="H182" s="89">
        <v>0</v>
      </c>
      <c r="I182" s="89">
        <v>1019440.34</v>
      </c>
      <c r="J182" s="89">
        <v>0</v>
      </c>
      <c r="K182" s="89">
        <v>0</v>
      </c>
      <c r="L182" s="89">
        <v>82863455.359999999</v>
      </c>
      <c r="M182" s="89">
        <v>0</v>
      </c>
      <c r="N182" s="89">
        <v>26172676.969999999</v>
      </c>
      <c r="O182" s="89">
        <v>4943674.18</v>
      </c>
      <c r="P182" s="89">
        <v>14518668.85</v>
      </c>
      <c r="Q182" s="89">
        <v>146477.53</v>
      </c>
      <c r="R182" s="89">
        <v>4440713.55</v>
      </c>
      <c r="S182" s="89">
        <v>20600367.710000001</v>
      </c>
      <c r="T182" s="89">
        <v>7776045.9000000004</v>
      </c>
      <c r="U182" s="89">
        <v>0</v>
      </c>
      <c r="V182" s="89">
        <v>0</v>
      </c>
      <c r="W182" s="89">
        <v>1671227.98</v>
      </c>
      <c r="X182" s="89">
        <v>3683010.6</v>
      </c>
      <c r="Y182" s="89">
        <v>83952863.269999996</v>
      </c>
      <c r="Z182" s="81">
        <v>0.13660452651629945</v>
      </c>
      <c r="AA182" s="89">
        <v>3683010.6</v>
      </c>
      <c r="AB182" s="89">
        <v>0</v>
      </c>
      <c r="AC182" s="89">
        <v>0</v>
      </c>
      <c r="AD182" s="89">
        <v>0</v>
      </c>
      <c r="AE182" s="89">
        <v>0</v>
      </c>
      <c r="AF182" s="89">
        <f t="shared" si="35"/>
        <v>0</v>
      </c>
      <c r="AG182" s="89">
        <v>1829598.2</v>
      </c>
      <c r="AH182" s="89">
        <v>140375.72</v>
      </c>
      <c r="AI182" s="89">
        <v>480058.33</v>
      </c>
      <c r="AJ182" s="89">
        <v>0</v>
      </c>
      <c r="AK182" s="89">
        <v>227353.15</v>
      </c>
      <c r="AL182" s="89">
        <v>46988.11</v>
      </c>
      <c r="AM182" s="89">
        <v>71922.710000000006</v>
      </c>
      <c r="AN182" s="89">
        <v>11400</v>
      </c>
      <c r="AO182" s="89">
        <v>1785</v>
      </c>
      <c r="AP182" s="89">
        <v>30000</v>
      </c>
      <c r="AQ182" s="89">
        <v>225038.73</v>
      </c>
      <c r="AR182" s="89">
        <v>9925.7099999999991</v>
      </c>
      <c r="AS182" s="89">
        <v>0</v>
      </c>
      <c r="AT182" s="89">
        <v>23010.63</v>
      </c>
      <c r="AU182" s="89">
        <v>0</v>
      </c>
      <c r="AV182" s="89">
        <v>197301.23</v>
      </c>
      <c r="AW182" s="89">
        <v>3294757.52</v>
      </c>
      <c r="AX182" s="89">
        <v>0</v>
      </c>
      <c r="AY182" s="81">
        <f t="shared" si="36"/>
        <v>0</v>
      </c>
      <c r="AZ182" s="89">
        <v>0</v>
      </c>
      <c r="BA182" s="81">
        <v>4.5000365623558337E-2</v>
      </c>
      <c r="BB182" s="80">
        <v>3195577.84</v>
      </c>
      <c r="BC182" s="80">
        <v>7984685.0800000001</v>
      </c>
      <c r="BD182" s="80">
        <v>219587</v>
      </c>
      <c r="BE182" s="80">
        <v>0</v>
      </c>
      <c r="BF182" s="80">
        <v>577681.51</v>
      </c>
      <c r="BG182" s="80">
        <v>0</v>
      </c>
      <c r="BH182" s="80">
        <v>0</v>
      </c>
      <c r="BI182" s="80">
        <v>0</v>
      </c>
      <c r="BJ182" s="80">
        <f t="shared" si="37"/>
        <v>0</v>
      </c>
      <c r="BK182" s="80">
        <v>0</v>
      </c>
      <c r="BL182" s="80">
        <v>11247</v>
      </c>
      <c r="BM182" s="80">
        <v>3643</v>
      </c>
      <c r="BN182" s="80">
        <v>24</v>
      </c>
      <c r="BO182" s="80">
        <v>0</v>
      </c>
      <c r="BP182" s="80">
        <v>-95</v>
      </c>
      <c r="BQ182" s="80">
        <v>-53</v>
      </c>
      <c r="BR182" s="80">
        <v>-1075</v>
      </c>
      <c r="BS182" s="80">
        <v>-770</v>
      </c>
      <c r="BT182" s="80">
        <v>5</v>
      </c>
      <c r="BU182" s="80">
        <v>-5</v>
      </c>
      <c r="BV182" s="80">
        <v>0</v>
      </c>
      <c r="BW182" s="80">
        <v>-2548</v>
      </c>
      <c r="BX182" s="80">
        <v>-1</v>
      </c>
      <c r="BY182" s="80">
        <v>10372</v>
      </c>
      <c r="BZ182" s="80">
        <v>25</v>
      </c>
      <c r="CA182" s="80">
        <v>470</v>
      </c>
      <c r="CB182" s="80">
        <v>215</v>
      </c>
      <c r="CC182" s="80">
        <v>1778</v>
      </c>
      <c r="CD182" s="80">
        <v>2</v>
      </c>
      <c r="CE182" s="80">
        <v>83</v>
      </c>
    </row>
    <row r="183" spans="1:83" s="58" customFormat="1" ht="15.75" x14ac:dyDescent="0.25">
      <c r="A183" s="50">
        <v>21</v>
      </c>
      <c r="B183" s="50" t="s">
        <v>536</v>
      </c>
      <c r="C183" s="77" t="s">
        <v>177</v>
      </c>
      <c r="D183" s="50" t="s">
        <v>499</v>
      </c>
      <c r="E183" s="50" t="s">
        <v>104</v>
      </c>
      <c r="F183" s="50" t="s">
        <v>500</v>
      </c>
      <c r="G183" s="88">
        <v>64481620.530000001</v>
      </c>
      <c r="H183" s="88">
        <v>0</v>
      </c>
      <c r="I183" s="88">
        <v>1836441.9100000001</v>
      </c>
      <c r="J183" s="88">
        <v>6989.69</v>
      </c>
      <c r="K183" s="89">
        <v>0</v>
      </c>
      <c r="L183" s="89">
        <v>66325052.130000003</v>
      </c>
      <c r="M183" s="89">
        <v>103551.02</v>
      </c>
      <c r="N183" s="88">
        <v>16252.56</v>
      </c>
      <c r="O183" s="88">
        <v>5719025.0499999998</v>
      </c>
      <c r="P183" s="90">
        <v>27096991.77</v>
      </c>
      <c r="Q183" s="88">
        <v>2916.68</v>
      </c>
      <c r="R183" s="88">
        <v>3454555.05</v>
      </c>
      <c r="S183" s="88">
        <v>13356993.119999999</v>
      </c>
      <c r="T183" s="88">
        <v>10171138.66</v>
      </c>
      <c r="U183" s="88">
        <v>0</v>
      </c>
      <c r="V183" s="88">
        <v>0</v>
      </c>
      <c r="W183" s="88">
        <v>2484773.58</v>
      </c>
      <c r="X183" s="89">
        <v>3940585.42</v>
      </c>
      <c r="Y183" s="89">
        <v>66243231.890000001</v>
      </c>
      <c r="Z183" s="81">
        <v>0.12110345267093475</v>
      </c>
      <c r="AA183" s="89">
        <v>3890706.83</v>
      </c>
      <c r="AB183" s="89">
        <v>0</v>
      </c>
      <c r="AC183" s="89">
        <v>0</v>
      </c>
      <c r="AD183" s="89">
        <v>0</v>
      </c>
      <c r="AE183" s="89">
        <v>0</v>
      </c>
      <c r="AF183" s="89">
        <f t="shared" si="35"/>
        <v>0</v>
      </c>
      <c r="AG183" s="89">
        <v>2165731.52</v>
      </c>
      <c r="AH183" s="88">
        <v>167174.79999999999</v>
      </c>
      <c r="AI183" s="88">
        <v>460283.18</v>
      </c>
      <c r="AJ183" s="89">
        <v>29235</v>
      </c>
      <c r="AK183" s="88">
        <v>285435.36</v>
      </c>
      <c r="AL183" s="88">
        <v>18122.64</v>
      </c>
      <c r="AM183" s="88">
        <v>154867.62</v>
      </c>
      <c r="AN183" s="88">
        <v>11250</v>
      </c>
      <c r="AO183" s="88">
        <v>4980</v>
      </c>
      <c r="AP183" s="88">
        <v>0</v>
      </c>
      <c r="AQ183" s="88">
        <v>132745.35</v>
      </c>
      <c r="AR183" s="88">
        <v>56719</v>
      </c>
      <c r="AS183" s="88">
        <v>3295.13</v>
      </c>
      <c r="AT183" s="88">
        <v>108457.64</v>
      </c>
      <c r="AU183" s="88">
        <v>0</v>
      </c>
      <c r="AV183" s="88">
        <v>110557.25</v>
      </c>
      <c r="AW183" s="88">
        <v>3708854.49</v>
      </c>
      <c r="AX183" s="88">
        <v>0</v>
      </c>
      <c r="AY183" s="81">
        <f t="shared" si="36"/>
        <v>0</v>
      </c>
      <c r="AZ183" s="89">
        <v>0</v>
      </c>
      <c r="BA183" s="81">
        <v>6.0241487893051823E-2</v>
      </c>
      <c r="BB183" s="79">
        <v>1974504.61</v>
      </c>
      <c r="BC183" s="79">
        <v>5834442.2699999996</v>
      </c>
      <c r="BD183" s="80">
        <v>219587</v>
      </c>
      <c r="BE183" s="80">
        <v>2.91038304567337E-11</v>
      </c>
      <c r="BF183" s="80">
        <v>796115.70999999903</v>
      </c>
      <c r="BG183" s="80">
        <v>0</v>
      </c>
      <c r="BH183" s="80">
        <v>0</v>
      </c>
      <c r="BI183" s="80">
        <v>0</v>
      </c>
      <c r="BJ183" s="80">
        <f t="shared" si="37"/>
        <v>0</v>
      </c>
      <c r="BK183" s="80">
        <v>0</v>
      </c>
      <c r="BL183" s="80">
        <v>8979</v>
      </c>
      <c r="BM183" s="80">
        <v>5273</v>
      </c>
      <c r="BN183" s="79">
        <v>46</v>
      </c>
      <c r="BO183" s="79">
        <v>-37</v>
      </c>
      <c r="BP183" s="79">
        <v>-148</v>
      </c>
      <c r="BQ183" s="79">
        <v>-218</v>
      </c>
      <c r="BR183" s="79">
        <v>-2513</v>
      </c>
      <c r="BS183" s="79">
        <v>-1215</v>
      </c>
      <c r="BT183" s="79">
        <v>4</v>
      </c>
      <c r="BU183" s="79">
        <v>-5</v>
      </c>
      <c r="BV183" s="79">
        <v>0</v>
      </c>
      <c r="BW183" s="79">
        <v>-1169</v>
      </c>
      <c r="BX183" s="79">
        <v>-2</v>
      </c>
      <c r="BY183" s="79">
        <v>8995</v>
      </c>
      <c r="BZ183" s="79">
        <v>9</v>
      </c>
      <c r="CA183" s="79">
        <v>591</v>
      </c>
      <c r="CB183" s="79">
        <v>95</v>
      </c>
      <c r="CC183" s="79">
        <v>317</v>
      </c>
      <c r="CD183" s="79">
        <v>148</v>
      </c>
      <c r="CE183" s="79">
        <v>18</v>
      </c>
    </row>
    <row r="185" spans="1:83" ht="15.75" x14ac:dyDescent="0.25">
      <c r="A185" s="84" t="s">
        <v>557</v>
      </c>
    </row>
    <row r="186" spans="1:83" ht="15.75" x14ac:dyDescent="0.25">
      <c r="A186" s="85" t="s">
        <v>558</v>
      </c>
    </row>
    <row r="187" spans="1:83" ht="15.75" x14ac:dyDescent="0.25">
      <c r="A187" s="86"/>
    </row>
  </sheetData>
  <mergeCells count="4">
    <mergeCell ref="G2:Z2"/>
    <mergeCell ref="AA2:AZ2"/>
    <mergeCell ref="BA2:BZ2"/>
    <mergeCell ref="CA4:C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Finan, Debra  (USTP)</dc:creator>
  <cp:lastModifiedBy>Finan, Debra  (USTP)</cp:lastModifiedBy>
  <dcterms:created xsi:type="dcterms:W3CDTF">2016-02-10T14:37:10Z</dcterms:created>
  <dcterms:modified xsi:type="dcterms:W3CDTF">2019-03-28T13:07:47Z</dcterms:modified>
</cp:coreProperties>
</file>